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8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LA11 .C545 1986</t>
        </is>
      </c>
      <c r="C2" t="inlineStr">
        <is>
          <t>0                      LA 0011000C  545         1986</t>
        </is>
      </c>
      <c r="D2" t="inlineStr">
        <is>
          <t>Visions of childhood : influential models from Locke to Spock / John Cleverley, D.C. Phillips.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Cleverley, John F.</t>
        </is>
      </c>
      <c r="L2" t="inlineStr">
        <is>
          <t>New York, N.Y. : Teachers College Press, c1986.</t>
        </is>
      </c>
      <c r="M2" t="inlineStr">
        <is>
          <t>1986</t>
        </is>
      </c>
      <c r="N2" t="inlineStr">
        <is>
          <t>Rev. ed.</t>
        </is>
      </c>
      <c r="O2" t="inlineStr">
        <is>
          <t>eng</t>
        </is>
      </c>
      <c r="P2" t="inlineStr">
        <is>
          <t>nyu</t>
        </is>
      </c>
      <c r="Q2" t="inlineStr">
        <is>
          <t>Early childhood education series</t>
        </is>
      </c>
      <c r="R2" t="inlineStr">
        <is>
          <t xml:space="preserve">LA </t>
        </is>
      </c>
      <c r="S2" t="n">
        <v>1</v>
      </c>
      <c r="T2" t="n">
        <v>1</v>
      </c>
      <c r="U2" t="inlineStr">
        <is>
          <t>2000-12-05</t>
        </is>
      </c>
      <c r="V2" t="inlineStr">
        <is>
          <t>2000-12-05</t>
        </is>
      </c>
      <c r="W2" t="inlineStr">
        <is>
          <t>1992-08-03</t>
        </is>
      </c>
      <c r="X2" t="inlineStr">
        <is>
          <t>1992-08-03</t>
        </is>
      </c>
      <c r="Y2" t="n">
        <v>696</v>
      </c>
      <c r="Z2" t="n">
        <v>595</v>
      </c>
      <c r="AA2" t="n">
        <v>615</v>
      </c>
      <c r="AB2" t="n">
        <v>3</v>
      </c>
      <c r="AC2" t="n">
        <v>3</v>
      </c>
      <c r="AD2" t="n">
        <v>22</v>
      </c>
      <c r="AE2" t="n">
        <v>23</v>
      </c>
      <c r="AF2" t="n">
        <v>8</v>
      </c>
      <c r="AG2" t="n">
        <v>9</v>
      </c>
      <c r="AH2" t="n">
        <v>4</v>
      </c>
      <c r="AI2" t="n">
        <v>5</v>
      </c>
      <c r="AJ2" t="n">
        <v>13</v>
      </c>
      <c r="AK2" t="n">
        <v>13</v>
      </c>
      <c r="AL2" t="n">
        <v>2</v>
      </c>
      <c r="AM2" t="n">
        <v>2</v>
      </c>
      <c r="AN2" t="n">
        <v>0</v>
      </c>
      <c r="AO2" t="n">
        <v>0</v>
      </c>
      <c r="AP2" t="inlineStr">
        <is>
          <t>No</t>
        </is>
      </c>
      <c r="AQ2" t="inlineStr">
        <is>
          <t>No</t>
        </is>
      </c>
      <c r="AS2">
        <f>HYPERLINK("https://creighton-primo.hosted.exlibrisgroup.com/primo-explore/search?tab=default_tab&amp;search_scope=EVERYTHING&amp;vid=01CRU&amp;lang=en_US&amp;offset=0&amp;query=any,contains,991000770599702656","Catalog Record")</f>
        <v/>
      </c>
      <c r="AT2">
        <f>HYPERLINK("http://www.worldcat.org/oclc/13010899","WorldCat Record")</f>
        <v/>
      </c>
      <c r="AU2" t="inlineStr">
        <is>
          <t>961294:eng</t>
        </is>
      </c>
      <c r="AV2" t="inlineStr">
        <is>
          <t>13010899</t>
        </is>
      </c>
      <c r="AW2" t="inlineStr">
        <is>
          <t>991000770599702656</t>
        </is>
      </c>
      <c r="AX2" t="inlineStr">
        <is>
          <t>991000770599702656</t>
        </is>
      </c>
      <c r="AY2" t="inlineStr">
        <is>
          <t>2258363600002656</t>
        </is>
      </c>
      <c r="AZ2" t="inlineStr">
        <is>
          <t>BOOK</t>
        </is>
      </c>
      <c r="BB2" t="inlineStr">
        <is>
          <t>9780807728000</t>
        </is>
      </c>
      <c r="BC2" t="inlineStr">
        <is>
          <t>32285001232395</t>
        </is>
      </c>
      <c r="BD2" t="inlineStr">
        <is>
          <t>893413664</t>
        </is>
      </c>
    </row>
    <row r="3">
      <c r="A3" t="inlineStr">
        <is>
          <t>No</t>
        </is>
      </c>
      <c r="B3" t="inlineStr">
        <is>
          <t>LA1131 .P37 1986</t>
        </is>
      </c>
      <c r="C3" t="inlineStr">
        <is>
          <t>0                      LA 1131000P  37          1986</t>
        </is>
      </c>
      <c r="D3" t="inlineStr">
        <is>
          <t>Education in the People's Republic of China, past and present : an annotated bibliography / Franklin Parker, Betty June Parker.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Parker, Franklin, 1921-</t>
        </is>
      </c>
      <c r="L3" t="inlineStr">
        <is>
          <t>New York : Garland Pub., 1986.</t>
        </is>
      </c>
      <c r="M3" t="inlineStr">
        <is>
          <t>1986</t>
        </is>
      </c>
      <c r="O3" t="inlineStr">
        <is>
          <t>eng</t>
        </is>
      </c>
      <c r="P3" t="inlineStr">
        <is>
          <t>nyu</t>
        </is>
      </c>
      <c r="Q3" t="inlineStr">
        <is>
          <t>Reference books in international education ; vol. 2</t>
        </is>
      </c>
      <c r="R3" t="inlineStr">
        <is>
          <t xml:space="preserve">LA </t>
        </is>
      </c>
      <c r="S3" t="n">
        <v>9</v>
      </c>
      <c r="T3" t="n">
        <v>9</v>
      </c>
      <c r="U3" t="inlineStr">
        <is>
          <t>2003-04-16</t>
        </is>
      </c>
      <c r="V3" t="inlineStr">
        <is>
          <t>2003-04-16</t>
        </is>
      </c>
      <c r="W3" t="inlineStr">
        <is>
          <t>1992-10-14</t>
        </is>
      </c>
      <c r="X3" t="inlineStr">
        <is>
          <t>1992-10-14</t>
        </is>
      </c>
      <c r="Y3" t="n">
        <v>276</v>
      </c>
      <c r="Z3" t="n">
        <v>221</v>
      </c>
      <c r="AA3" t="n">
        <v>239</v>
      </c>
      <c r="AB3" t="n">
        <v>1</v>
      </c>
      <c r="AC3" t="n">
        <v>1</v>
      </c>
      <c r="AD3" t="n">
        <v>7</v>
      </c>
      <c r="AE3" t="n">
        <v>7</v>
      </c>
      <c r="AF3" t="n">
        <v>0</v>
      </c>
      <c r="AG3" t="n">
        <v>0</v>
      </c>
      <c r="AH3" t="n">
        <v>2</v>
      </c>
      <c r="AI3" t="n">
        <v>2</v>
      </c>
      <c r="AJ3" t="n">
        <v>7</v>
      </c>
      <c r="AK3" t="n">
        <v>7</v>
      </c>
      <c r="AL3" t="n">
        <v>0</v>
      </c>
      <c r="AM3" t="n">
        <v>0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HYPERLINK("https://creighton-primo.hosted.exlibrisgroup.com/primo-explore/search?tab=default_tab&amp;search_scope=EVERYTHING&amp;vid=01CRU&amp;lang=en_US&amp;offset=0&amp;query=any,contains,991000778449702656","Catalog Record")</f>
        <v/>
      </c>
      <c r="AT3">
        <f>HYPERLINK("http://www.worldcat.org/oclc/13093193","WorldCat Record")</f>
        <v/>
      </c>
      <c r="AU3" t="inlineStr">
        <is>
          <t>3740819216:eng</t>
        </is>
      </c>
      <c r="AV3" t="inlineStr">
        <is>
          <t>13093193</t>
        </is>
      </c>
      <c r="AW3" t="inlineStr">
        <is>
          <t>991000778449702656</t>
        </is>
      </c>
      <c r="AX3" t="inlineStr">
        <is>
          <t>991000778449702656</t>
        </is>
      </c>
      <c r="AY3" t="inlineStr">
        <is>
          <t>2269795340002656</t>
        </is>
      </c>
      <c r="AZ3" t="inlineStr">
        <is>
          <t>BOOK</t>
        </is>
      </c>
      <c r="BB3" t="inlineStr">
        <is>
          <t>9780824087975</t>
        </is>
      </c>
      <c r="BC3" t="inlineStr">
        <is>
          <t>32285001348100</t>
        </is>
      </c>
      <c r="BD3" t="inlineStr">
        <is>
          <t>893249655</t>
        </is>
      </c>
    </row>
    <row r="4">
      <c r="A4" t="inlineStr">
        <is>
          <t>No</t>
        </is>
      </c>
      <c r="B4" t="inlineStr">
        <is>
          <t>LA1131 .T64</t>
        </is>
      </c>
      <c r="C4" t="inlineStr">
        <is>
          <t>0                      LA 1131000T  64</t>
        </is>
      </c>
      <c r="D4" t="inlineStr">
        <is>
          <t>Toward a new world outlook : a documentary history of education in the People's Republic of China, 1949-1976 / edited by Shi Ming Hu and Eli Seifman.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L4" t="inlineStr">
        <is>
          <t>New York : AMS Press, c1976.</t>
        </is>
      </c>
      <c r="M4" t="inlineStr">
        <is>
          <t>1976</t>
        </is>
      </c>
      <c r="O4" t="inlineStr">
        <is>
          <t>eng</t>
        </is>
      </c>
      <c r="P4" t="inlineStr">
        <is>
          <t>nyu</t>
        </is>
      </c>
      <c r="Q4" t="inlineStr">
        <is>
          <t>Asian studies series ; 2</t>
        </is>
      </c>
      <c r="R4" t="inlineStr">
        <is>
          <t xml:space="preserve">LA </t>
        </is>
      </c>
      <c r="S4" t="n">
        <v>4</v>
      </c>
      <c r="T4" t="n">
        <v>4</v>
      </c>
      <c r="U4" t="inlineStr">
        <is>
          <t>2002-09-03</t>
        </is>
      </c>
      <c r="V4" t="inlineStr">
        <is>
          <t>2002-09-03</t>
        </is>
      </c>
      <c r="W4" t="inlineStr">
        <is>
          <t>1992-10-14</t>
        </is>
      </c>
      <c r="X4" t="inlineStr">
        <is>
          <t>1992-10-14</t>
        </is>
      </c>
      <c r="Y4" t="n">
        <v>465</v>
      </c>
      <c r="Z4" t="n">
        <v>375</v>
      </c>
      <c r="AA4" t="n">
        <v>376</v>
      </c>
      <c r="AB4" t="n">
        <v>2</v>
      </c>
      <c r="AC4" t="n">
        <v>2</v>
      </c>
      <c r="AD4" t="n">
        <v>17</v>
      </c>
      <c r="AE4" t="n">
        <v>17</v>
      </c>
      <c r="AF4" t="n">
        <v>6</v>
      </c>
      <c r="AG4" t="n">
        <v>6</v>
      </c>
      <c r="AH4" t="n">
        <v>5</v>
      </c>
      <c r="AI4" t="n">
        <v>5</v>
      </c>
      <c r="AJ4" t="n">
        <v>10</v>
      </c>
      <c r="AK4" t="n">
        <v>10</v>
      </c>
      <c r="AL4" t="n">
        <v>1</v>
      </c>
      <c r="AM4" t="n">
        <v>1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HYPERLINK("http://catalog.hathitrust.org/Record/000734727","HathiTrust Record")</f>
        <v/>
      </c>
      <c r="AS4">
        <f>HYPERLINK("https://creighton-primo.hosted.exlibrisgroup.com/primo-explore/search?tab=default_tab&amp;search_scope=EVERYTHING&amp;vid=01CRU&amp;lang=en_US&amp;offset=0&amp;query=any,contains,991004138459702656","Catalog Record")</f>
        <v/>
      </c>
      <c r="AT4">
        <f>HYPERLINK("http://www.worldcat.org/oclc/2493283","WorldCat Record")</f>
        <v/>
      </c>
      <c r="AU4" t="inlineStr">
        <is>
          <t>889719476:eng</t>
        </is>
      </c>
      <c r="AV4" t="inlineStr">
        <is>
          <t>2493283</t>
        </is>
      </c>
      <c r="AW4" t="inlineStr">
        <is>
          <t>991004138459702656</t>
        </is>
      </c>
      <c r="AX4" t="inlineStr">
        <is>
          <t>991004138459702656</t>
        </is>
      </c>
      <c r="AY4" t="inlineStr">
        <is>
          <t>2256721600002656</t>
        </is>
      </c>
      <c r="AZ4" t="inlineStr">
        <is>
          <t>BOOK</t>
        </is>
      </c>
      <c r="BB4" t="inlineStr">
        <is>
          <t>9780404154011</t>
        </is>
      </c>
      <c r="BC4" t="inlineStr">
        <is>
          <t>32285001348118</t>
        </is>
      </c>
      <c r="BD4" t="inlineStr">
        <is>
          <t>893775675</t>
        </is>
      </c>
    </row>
    <row r="5">
      <c r="A5" t="inlineStr">
        <is>
          <t>No</t>
        </is>
      </c>
      <c r="B5" t="inlineStr">
        <is>
          <t>LA1131.82 .L63</t>
        </is>
      </c>
      <c r="C5" t="inlineStr">
        <is>
          <t>0                      LA 1131820L  63</t>
        </is>
      </c>
      <c r="D5" t="inlineStr">
        <is>
          <t>Chinese educational policy : changes and contradictions, 1949-79 / by Jan-Ingvar Löfstedt.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Löfstedt, Jan-Ingvar, 1937-</t>
        </is>
      </c>
      <c r="L5" t="inlineStr">
        <is>
          <t>Stockholm, Sweden : Almqvist &amp; Wiksell International ; Atlantic Highlands, N.J. : Humanities Press, 1980.</t>
        </is>
      </c>
      <c r="M5" t="inlineStr">
        <is>
          <t>1980</t>
        </is>
      </c>
      <c r="O5" t="inlineStr">
        <is>
          <t>eng</t>
        </is>
      </c>
      <c r="P5" t="inlineStr">
        <is>
          <t xml:space="preserve">sw </t>
        </is>
      </c>
      <c r="R5" t="inlineStr">
        <is>
          <t xml:space="preserve">LA </t>
        </is>
      </c>
      <c r="S5" t="n">
        <v>8</v>
      </c>
      <c r="T5" t="n">
        <v>8</v>
      </c>
      <c r="U5" t="inlineStr">
        <is>
          <t>1995-10-24</t>
        </is>
      </c>
      <c r="V5" t="inlineStr">
        <is>
          <t>1995-10-24</t>
        </is>
      </c>
      <c r="W5" t="inlineStr">
        <is>
          <t>1995-12-21</t>
        </is>
      </c>
      <c r="X5" t="inlineStr">
        <is>
          <t>1995-12-21</t>
        </is>
      </c>
      <c r="Y5" t="n">
        <v>289</v>
      </c>
      <c r="Z5" t="n">
        <v>194</v>
      </c>
      <c r="AA5" t="n">
        <v>197</v>
      </c>
      <c r="AB5" t="n">
        <v>3</v>
      </c>
      <c r="AC5" t="n">
        <v>3</v>
      </c>
      <c r="AD5" t="n">
        <v>13</v>
      </c>
      <c r="AE5" t="n">
        <v>13</v>
      </c>
      <c r="AF5" t="n">
        <v>3</v>
      </c>
      <c r="AG5" t="n">
        <v>3</v>
      </c>
      <c r="AH5" t="n">
        <v>3</v>
      </c>
      <c r="AI5" t="n">
        <v>3</v>
      </c>
      <c r="AJ5" t="n">
        <v>7</v>
      </c>
      <c r="AK5" t="n">
        <v>7</v>
      </c>
      <c r="AL5" t="n">
        <v>2</v>
      </c>
      <c r="AM5" t="n">
        <v>2</v>
      </c>
      <c r="AN5" t="n">
        <v>1</v>
      </c>
      <c r="AO5" t="n">
        <v>1</v>
      </c>
      <c r="AP5" t="inlineStr">
        <is>
          <t>No</t>
        </is>
      </c>
      <c r="AQ5" t="inlineStr">
        <is>
          <t>Yes</t>
        </is>
      </c>
      <c r="AR5">
        <f>HYPERLINK("http://catalog.hathitrust.org/Record/000224098","HathiTrust Record")</f>
        <v/>
      </c>
      <c r="AS5">
        <f>HYPERLINK("https://creighton-primo.hosted.exlibrisgroup.com/primo-explore/search?tab=default_tab&amp;search_scope=EVERYTHING&amp;vid=01CRU&amp;lang=en_US&amp;offset=0&amp;query=any,contains,991005149479702656","Catalog Record")</f>
        <v/>
      </c>
      <c r="AT5">
        <f>HYPERLINK("http://www.worldcat.org/oclc/7711197","WorldCat Record")</f>
        <v/>
      </c>
      <c r="AU5" t="inlineStr">
        <is>
          <t>867296932:eng</t>
        </is>
      </c>
      <c r="AV5" t="inlineStr">
        <is>
          <t>7711197</t>
        </is>
      </c>
      <c r="AW5" t="inlineStr">
        <is>
          <t>991005149479702656</t>
        </is>
      </c>
      <c r="AX5" t="inlineStr">
        <is>
          <t>991005149479702656</t>
        </is>
      </c>
      <c r="AY5" t="inlineStr">
        <is>
          <t>2266870530002656</t>
        </is>
      </c>
      <c r="AZ5" t="inlineStr">
        <is>
          <t>BOOK</t>
        </is>
      </c>
      <c r="BB5" t="inlineStr">
        <is>
          <t>9780391022171</t>
        </is>
      </c>
      <c r="BC5" t="inlineStr">
        <is>
          <t>32285002120409</t>
        </is>
      </c>
      <c r="BD5" t="inlineStr">
        <is>
          <t>893795687</t>
        </is>
      </c>
    </row>
    <row r="6">
      <c r="A6" t="inlineStr">
        <is>
          <t>No</t>
        </is>
      </c>
      <c r="B6" t="inlineStr">
        <is>
          <t>LA1134.C35 U53 1982</t>
        </is>
      </c>
      <c r="C6" t="inlineStr">
        <is>
          <t>0                      LA 1134000C  35                 U  53          1982</t>
        </is>
      </c>
      <c r="D6" t="inlineStr">
        <is>
          <t>Education under Mao : class and competition in Canton schools, 1960-1980 / Jonathan Unger.</t>
        </is>
      </c>
      <c r="F6" t="inlineStr">
        <is>
          <t>No</t>
        </is>
      </c>
      <c r="G6" t="inlineStr">
        <is>
          <t>1</t>
        </is>
      </c>
      <c r="H6" t="inlineStr">
        <is>
          <t>No</t>
        </is>
      </c>
      <c r="I6" t="inlineStr">
        <is>
          <t>No</t>
        </is>
      </c>
      <c r="J6" t="inlineStr">
        <is>
          <t>0</t>
        </is>
      </c>
      <c r="K6" t="inlineStr">
        <is>
          <t>Unger, Jonathan.</t>
        </is>
      </c>
      <c r="L6" t="inlineStr">
        <is>
          <t>New York : Columbia University Press, 1982.</t>
        </is>
      </c>
      <c r="M6" t="inlineStr">
        <is>
          <t>1982</t>
        </is>
      </c>
      <c r="O6" t="inlineStr">
        <is>
          <t>eng</t>
        </is>
      </c>
      <c r="P6" t="inlineStr">
        <is>
          <t>nyu</t>
        </is>
      </c>
      <c r="Q6" t="inlineStr">
        <is>
          <t>Studies of the East Asian Institute</t>
        </is>
      </c>
      <c r="R6" t="inlineStr">
        <is>
          <t xml:space="preserve">LA </t>
        </is>
      </c>
      <c r="S6" t="n">
        <v>1</v>
      </c>
      <c r="T6" t="n">
        <v>1</v>
      </c>
      <c r="U6" t="inlineStr">
        <is>
          <t>1994-03-04</t>
        </is>
      </c>
      <c r="V6" t="inlineStr">
        <is>
          <t>1994-03-04</t>
        </is>
      </c>
      <c r="W6" t="inlineStr">
        <is>
          <t>1992-04-22</t>
        </is>
      </c>
      <c r="X6" t="inlineStr">
        <is>
          <t>1992-04-22</t>
        </is>
      </c>
      <c r="Y6" t="n">
        <v>610</v>
      </c>
      <c r="Z6" t="n">
        <v>483</v>
      </c>
      <c r="AA6" t="n">
        <v>492</v>
      </c>
      <c r="AB6" t="n">
        <v>4</v>
      </c>
      <c r="AC6" t="n">
        <v>4</v>
      </c>
      <c r="AD6" t="n">
        <v>29</v>
      </c>
      <c r="AE6" t="n">
        <v>29</v>
      </c>
      <c r="AF6" t="n">
        <v>12</v>
      </c>
      <c r="AG6" t="n">
        <v>12</v>
      </c>
      <c r="AH6" t="n">
        <v>7</v>
      </c>
      <c r="AI6" t="n">
        <v>7</v>
      </c>
      <c r="AJ6" t="n">
        <v>17</v>
      </c>
      <c r="AK6" t="n">
        <v>17</v>
      </c>
      <c r="AL6" t="n">
        <v>3</v>
      </c>
      <c r="AM6" t="n">
        <v>3</v>
      </c>
      <c r="AN6" t="n">
        <v>0</v>
      </c>
      <c r="AO6" t="n">
        <v>0</v>
      </c>
      <c r="AP6" t="inlineStr">
        <is>
          <t>No</t>
        </is>
      </c>
      <c r="AQ6" t="inlineStr">
        <is>
          <t>No</t>
        </is>
      </c>
      <c r="AS6">
        <f>HYPERLINK("https://creighton-primo.hosted.exlibrisgroup.com/primo-explore/search?tab=default_tab&amp;search_scope=EVERYTHING&amp;vid=01CRU&amp;lang=en_US&amp;offset=0&amp;query=any,contains,991005169009702656","Catalog Record")</f>
        <v/>
      </c>
      <c r="AT6">
        <f>HYPERLINK("http://www.worldcat.org/oclc/7837764","WorldCat Record")</f>
        <v/>
      </c>
      <c r="AU6" t="inlineStr">
        <is>
          <t>795257735:eng</t>
        </is>
      </c>
      <c r="AV6" t="inlineStr">
        <is>
          <t>7837764</t>
        </is>
      </c>
      <c r="AW6" t="inlineStr">
        <is>
          <t>991005169009702656</t>
        </is>
      </c>
      <c r="AX6" t="inlineStr">
        <is>
          <t>991005169009702656</t>
        </is>
      </c>
      <c r="AY6" t="inlineStr">
        <is>
          <t>2257027130002656</t>
        </is>
      </c>
      <c r="AZ6" t="inlineStr">
        <is>
          <t>BOOK</t>
        </is>
      </c>
      <c r="BB6" t="inlineStr">
        <is>
          <t>9780231052986</t>
        </is>
      </c>
      <c r="BC6" t="inlineStr">
        <is>
          <t>32285001064269</t>
        </is>
      </c>
      <c r="BD6" t="inlineStr">
        <is>
          <t>893807925</t>
        </is>
      </c>
    </row>
    <row r="7">
      <c r="A7" t="inlineStr">
        <is>
          <t>No</t>
        </is>
      </c>
      <c r="B7" t="inlineStr">
        <is>
          <t>LA1141 .S36 1983</t>
        </is>
      </c>
      <c r="C7" t="inlineStr">
        <is>
          <t>0                      LA 1141000S  36          1983</t>
        </is>
      </c>
      <c r="D7" t="inlineStr">
        <is>
          <t>Schooling in East Asia : forces of change : formal and nonformal education in Japan, The Republic of China, The People's Republic of China, South Korea, North Korea, Hong Kong, and Macau / edited by R. Murray Thomas and T. Neville Postlethwaite.</t>
        </is>
      </c>
      <c r="F7" t="inlineStr">
        <is>
          <t>No</t>
        </is>
      </c>
      <c r="G7" t="inlineStr">
        <is>
          <t>1</t>
        </is>
      </c>
      <c r="H7" t="inlineStr">
        <is>
          <t>No</t>
        </is>
      </c>
      <c r="I7" t="inlineStr">
        <is>
          <t>No</t>
        </is>
      </c>
      <c r="J7" t="inlineStr">
        <is>
          <t>0</t>
        </is>
      </c>
      <c r="L7" t="inlineStr">
        <is>
          <t>Oxford ; New York : Pergamon Press, 1983.</t>
        </is>
      </c>
      <c r="M7" t="inlineStr">
        <is>
          <t>1983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LA </t>
        </is>
      </c>
      <c r="S7" t="n">
        <v>13</v>
      </c>
      <c r="T7" t="n">
        <v>13</v>
      </c>
      <c r="U7" t="inlineStr">
        <is>
          <t>1995-12-07</t>
        </is>
      </c>
      <c r="V7" t="inlineStr">
        <is>
          <t>1995-12-07</t>
        </is>
      </c>
      <c r="W7" t="inlineStr">
        <is>
          <t>1992-10-14</t>
        </is>
      </c>
      <c r="X7" t="inlineStr">
        <is>
          <t>1992-10-14</t>
        </is>
      </c>
      <c r="Y7" t="n">
        <v>428</v>
      </c>
      <c r="Z7" t="n">
        <v>302</v>
      </c>
      <c r="AA7" t="n">
        <v>345</v>
      </c>
      <c r="AB7" t="n">
        <v>3</v>
      </c>
      <c r="AC7" t="n">
        <v>4</v>
      </c>
      <c r="AD7" t="n">
        <v>15</v>
      </c>
      <c r="AE7" t="n">
        <v>18</v>
      </c>
      <c r="AF7" t="n">
        <v>4</v>
      </c>
      <c r="AG7" t="n">
        <v>5</v>
      </c>
      <c r="AH7" t="n">
        <v>3</v>
      </c>
      <c r="AI7" t="n">
        <v>5</v>
      </c>
      <c r="AJ7" t="n">
        <v>9</v>
      </c>
      <c r="AK7" t="n">
        <v>9</v>
      </c>
      <c r="AL7" t="n">
        <v>2</v>
      </c>
      <c r="AM7" t="n">
        <v>3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HYPERLINK("http://catalog.hathitrust.org/Record/000776943","HathiTrust Record")</f>
        <v/>
      </c>
      <c r="AS7">
        <f>HYPERLINK("https://creighton-primo.hosted.exlibrisgroup.com/primo-explore/search?tab=default_tab&amp;search_scope=EVERYTHING&amp;vid=01CRU&amp;lang=en_US&amp;offset=0&amp;query=any,contains,991000153539702656","Catalog Record")</f>
        <v/>
      </c>
      <c r="AT7">
        <f>HYPERLINK("http://www.worldcat.org/oclc/9219148","WorldCat Record")</f>
        <v/>
      </c>
      <c r="AU7" t="inlineStr">
        <is>
          <t>836714028:eng</t>
        </is>
      </c>
      <c r="AV7" t="inlineStr">
        <is>
          <t>9219148</t>
        </is>
      </c>
      <c r="AW7" t="inlineStr">
        <is>
          <t>991000153539702656</t>
        </is>
      </c>
      <c r="AX7" t="inlineStr">
        <is>
          <t>991000153539702656</t>
        </is>
      </c>
      <c r="AY7" t="inlineStr">
        <is>
          <t>2268367010002656</t>
        </is>
      </c>
      <c r="AZ7" t="inlineStr">
        <is>
          <t>BOOK</t>
        </is>
      </c>
      <c r="BB7" t="inlineStr">
        <is>
          <t>9780080308593</t>
        </is>
      </c>
      <c r="BC7" t="inlineStr">
        <is>
          <t>32285001348167</t>
        </is>
      </c>
      <c r="BD7" t="inlineStr">
        <is>
          <t>893320862</t>
        </is>
      </c>
    </row>
    <row r="8">
      <c r="A8" t="inlineStr">
        <is>
          <t>No</t>
        </is>
      </c>
      <c r="B8" t="inlineStr">
        <is>
          <t>LA126 .C46</t>
        </is>
      </c>
      <c r="C8" t="inlineStr">
        <is>
          <t>0                      LA 0126000C  46</t>
        </is>
      </c>
      <c r="D8" t="inlineStr">
        <is>
          <t>Enlightenment and social progress; education in the nineteenth century, edited by J. J. Chambliss.</t>
        </is>
      </c>
      <c r="F8" t="inlineStr">
        <is>
          <t>No</t>
        </is>
      </c>
      <c r="G8" t="inlineStr">
        <is>
          <t>1</t>
        </is>
      </c>
      <c r="H8" t="inlineStr">
        <is>
          <t>No</t>
        </is>
      </c>
      <c r="I8" t="inlineStr">
        <is>
          <t>No</t>
        </is>
      </c>
      <c r="J8" t="inlineStr">
        <is>
          <t>0</t>
        </is>
      </c>
      <c r="K8" t="inlineStr">
        <is>
          <t>Chambliss, J. J. (Joseph James), 1929-, compiler.</t>
        </is>
      </c>
      <c r="L8" t="inlineStr">
        <is>
          <t>Minneapolis, Burgess Pub. Co. [1971]</t>
        </is>
      </c>
      <c r="M8" t="inlineStr">
        <is>
          <t>1971</t>
        </is>
      </c>
      <c r="O8" t="inlineStr">
        <is>
          <t>eng</t>
        </is>
      </c>
      <c r="P8" t="inlineStr">
        <is>
          <t>mnu</t>
        </is>
      </c>
      <c r="Q8" t="inlineStr">
        <is>
          <t>The Burgess history of Western education series</t>
        </is>
      </c>
      <c r="R8" t="inlineStr">
        <is>
          <t xml:space="preserve">LA </t>
        </is>
      </c>
      <c r="S8" t="n">
        <v>6</v>
      </c>
      <c r="T8" t="n">
        <v>6</v>
      </c>
      <c r="U8" t="inlineStr">
        <is>
          <t>2006-10-11</t>
        </is>
      </c>
      <c r="V8" t="inlineStr">
        <is>
          <t>2006-10-11</t>
        </is>
      </c>
      <c r="W8" t="inlineStr">
        <is>
          <t>1997-04-22</t>
        </is>
      </c>
      <c r="X8" t="inlineStr">
        <is>
          <t>1997-04-22</t>
        </is>
      </c>
      <c r="Y8" t="n">
        <v>286</v>
      </c>
      <c r="Z8" t="n">
        <v>243</v>
      </c>
      <c r="AA8" t="n">
        <v>243</v>
      </c>
      <c r="AB8" t="n">
        <v>3</v>
      </c>
      <c r="AC8" t="n">
        <v>3</v>
      </c>
      <c r="AD8" t="n">
        <v>11</v>
      </c>
      <c r="AE8" t="n">
        <v>11</v>
      </c>
      <c r="AF8" t="n">
        <v>2</v>
      </c>
      <c r="AG8" t="n">
        <v>2</v>
      </c>
      <c r="AH8" t="n">
        <v>3</v>
      </c>
      <c r="AI8" t="n">
        <v>3</v>
      </c>
      <c r="AJ8" t="n">
        <v>5</v>
      </c>
      <c r="AK8" t="n">
        <v>5</v>
      </c>
      <c r="AL8" t="n">
        <v>2</v>
      </c>
      <c r="AM8" t="n">
        <v>2</v>
      </c>
      <c r="AN8" t="n">
        <v>0</v>
      </c>
      <c r="AO8" t="n">
        <v>0</v>
      </c>
      <c r="AP8" t="inlineStr">
        <is>
          <t>No</t>
        </is>
      </c>
      <c r="AQ8" t="inlineStr">
        <is>
          <t>No</t>
        </is>
      </c>
      <c r="AS8">
        <f>HYPERLINK("https://creighton-primo.hosted.exlibrisgroup.com/primo-explore/search?tab=default_tab&amp;search_scope=EVERYTHING&amp;vid=01CRU&amp;lang=en_US&amp;offset=0&amp;query=any,contains,991000916219702656","Catalog Record")</f>
        <v/>
      </c>
      <c r="AT8">
        <f>HYPERLINK("http://www.worldcat.org/oclc/160600","WorldCat Record")</f>
        <v/>
      </c>
      <c r="AU8" t="inlineStr">
        <is>
          <t>894519876:eng</t>
        </is>
      </c>
      <c r="AV8" t="inlineStr">
        <is>
          <t>160600</t>
        </is>
      </c>
      <c r="AW8" t="inlineStr">
        <is>
          <t>991000916219702656</t>
        </is>
      </c>
      <c r="AX8" t="inlineStr">
        <is>
          <t>991000916219702656</t>
        </is>
      </c>
      <c r="AY8" t="inlineStr">
        <is>
          <t>2267423720002656</t>
        </is>
      </c>
      <c r="AZ8" t="inlineStr">
        <is>
          <t>BOOK</t>
        </is>
      </c>
      <c r="BB8" t="inlineStr">
        <is>
          <t>9780808703341</t>
        </is>
      </c>
      <c r="BC8" t="inlineStr">
        <is>
          <t>32285002595139</t>
        </is>
      </c>
      <c r="BD8" t="inlineStr">
        <is>
          <t>893784631</t>
        </is>
      </c>
    </row>
    <row r="9">
      <c r="A9" t="inlineStr">
        <is>
          <t>No</t>
        </is>
      </c>
      <c r="B9" t="inlineStr">
        <is>
          <t>LA13 .J3</t>
        </is>
      </c>
      <c r="C9" t="inlineStr">
        <is>
          <t>0                      LA 0013000J  3</t>
        </is>
      </c>
      <c r="D9" t="inlineStr">
        <is>
          <t>Philosophy for the study of education [compiled by] James L. Jarrett.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Jarrett, James L. (James Louis), 1917-2015 compiler.</t>
        </is>
      </c>
      <c r="L9" t="inlineStr">
        <is>
          <t>Boston, Houghton Mifflin [1969]</t>
        </is>
      </c>
      <c r="M9" t="inlineStr">
        <is>
          <t>1969</t>
        </is>
      </c>
      <c r="O9" t="inlineStr">
        <is>
          <t>eng</t>
        </is>
      </c>
      <c r="P9" t="inlineStr">
        <is>
          <t>mau</t>
        </is>
      </c>
      <c r="R9" t="inlineStr">
        <is>
          <t xml:space="preserve">LA </t>
        </is>
      </c>
      <c r="S9" t="n">
        <v>1</v>
      </c>
      <c r="T9" t="n">
        <v>1</v>
      </c>
      <c r="U9" t="inlineStr">
        <is>
          <t>2000-11-30</t>
        </is>
      </c>
      <c r="V9" t="inlineStr">
        <is>
          <t>2000-11-30</t>
        </is>
      </c>
      <c r="W9" t="inlineStr">
        <is>
          <t>1997-04-22</t>
        </is>
      </c>
      <c r="X9" t="inlineStr">
        <is>
          <t>1997-04-22</t>
        </is>
      </c>
      <c r="Y9" t="n">
        <v>299</v>
      </c>
      <c r="Z9" t="n">
        <v>252</v>
      </c>
      <c r="AA9" t="n">
        <v>254</v>
      </c>
      <c r="AB9" t="n">
        <v>1</v>
      </c>
      <c r="AC9" t="n">
        <v>1</v>
      </c>
      <c r="AD9" t="n">
        <v>11</v>
      </c>
      <c r="AE9" t="n">
        <v>11</v>
      </c>
      <c r="AF9" t="n">
        <v>4</v>
      </c>
      <c r="AG9" t="n">
        <v>4</v>
      </c>
      <c r="AH9" t="n">
        <v>0</v>
      </c>
      <c r="AI9" t="n">
        <v>0</v>
      </c>
      <c r="AJ9" t="n">
        <v>7</v>
      </c>
      <c r="AK9" t="n">
        <v>7</v>
      </c>
      <c r="AL9" t="n">
        <v>0</v>
      </c>
      <c r="AM9" t="n">
        <v>0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HYPERLINK("http://catalog.hathitrust.org/Record/001279122","HathiTrust Record")</f>
        <v/>
      </c>
      <c r="AS9">
        <f>HYPERLINK("https://creighton-primo.hosted.exlibrisgroup.com/primo-explore/search?tab=default_tab&amp;search_scope=EVERYTHING&amp;vid=01CRU&amp;lang=en_US&amp;offset=0&amp;query=any,contains,991001032949702656","Catalog Record")</f>
        <v/>
      </c>
      <c r="AT9">
        <f>HYPERLINK("http://www.worldcat.org/oclc/175410","WorldCat Record")</f>
        <v/>
      </c>
      <c r="AU9" t="inlineStr">
        <is>
          <t>1308376:eng</t>
        </is>
      </c>
      <c r="AV9" t="inlineStr">
        <is>
          <t>175410</t>
        </is>
      </c>
      <c r="AW9" t="inlineStr">
        <is>
          <t>991001032949702656</t>
        </is>
      </c>
      <c r="AX9" t="inlineStr">
        <is>
          <t>991001032949702656</t>
        </is>
      </c>
      <c r="AY9" t="inlineStr">
        <is>
          <t>2265277340002656</t>
        </is>
      </c>
      <c r="AZ9" t="inlineStr">
        <is>
          <t>BOOK</t>
        </is>
      </c>
      <c r="BC9" t="inlineStr">
        <is>
          <t>32285002554789</t>
        </is>
      </c>
      <c r="BD9" t="inlineStr">
        <is>
          <t>893884980</t>
        </is>
      </c>
    </row>
    <row r="10">
      <c r="A10" t="inlineStr">
        <is>
          <t>No</t>
        </is>
      </c>
      <c r="B10" t="inlineStr">
        <is>
          <t>LA1311 .L4</t>
        </is>
      </c>
      <c r="C10" t="inlineStr">
        <is>
          <t>0                      LA 1311000L  4</t>
        </is>
      </c>
      <c r="D10" t="inlineStr">
        <is>
          <t>Learning to be Japanese : selected readings on Japanese society and education / edited by Edward R. Beauchamp.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No</t>
        </is>
      </c>
      <c r="J10" t="inlineStr">
        <is>
          <t>0</t>
        </is>
      </c>
      <c r="L10" t="inlineStr">
        <is>
          <t>Hamden, Conn. : Linnet Books, 1978.</t>
        </is>
      </c>
      <c r="M10" t="inlineStr">
        <is>
          <t>1978</t>
        </is>
      </c>
      <c r="O10" t="inlineStr">
        <is>
          <t>eng</t>
        </is>
      </c>
      <c r="P10" t="inlineStr">
        <is>
          <t>ctu</t>
        </is>
      </c>
      <c r="R10" t="inlineStr">
        <is>
          <t xml:space="preserve">LA </t>
        </is>
      </c>
      <c r="S10" t="n">
        <v>4</v>
      </c>
      <c r="T10" t="n">
        <v>4</v>
      </c>
      <c r="U10" t="inlineStr">
        <is>
          <t>1994-11-30</t>
        </is>
      </c>
      <c r="V10" t="inlineStr">
        <is>
          <t>1994-11-30</t>
        </is>
      </c>
      <c r="W10" t="inlineStr">
        <is>
          <t>1992-10-14</t>
        </is>
      </c>
      <c r="X10" t="inlineStr">
        <is>
          <t>1992-10-14</t>
        </is>
      </c>
      <c r="Y10" t="n">
        <v>296</v>
      </c>
      <c r="Z10" t="n">
        <v>214</v>
      </c>
      <c r="AA10" t="n">
        <v>220</v>
      </c>
      <c r="AB10" t="n">
        <v>3</v>
      </c>
      <c r="AC10" t="n">
        <v>3</v>
      </c>
      <c r="AD10" t="n">
        <v>8</v>
      </c>
      <c r="AE10" t="n">
        <v>8</v>
      </c>
      <c r="AF10" t="n">
        <v>2</v>
      </c>
      <c r="AG10" t="n">
        <v>2</v>
      </c>
      <c r="AH10" t="n">
        <v>3</v>
      </c>
      <c r="AI10" t="n">
        <v>3</v>
      </c>
      <c r="AJ10" t="n">
        <v>3</v>
      </c>
      <c r="AK10" t="n">
        <v>3</v>
      </c>
      <c r="AL10" t="n">
        <v>2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HYPERLINK("http://catalog.hathitrust.org/Record/000034709","HathiTrust Record")</f>
        <v/>
      </c>
      <c r="AS10">
        <f>HYPERLINK("https://creighton-primo.hosted.exlibrisgroup.com/primo-explore/search?tab=default_tab&amp;search_scope=EVERYTHING&amp;vid=01CRU&amp;lang=en_US&amp;offset=0&amp;query=any,contains,991004445919702656","Catalog Record")</f>
        <v/>
      </c>
      <c r="AT10">
        <f>HYPERLINK("http://www.worldcat.org/oclc/3481590","WorldCat Record")</f>
        <v/>
      </c>
      <c r="AU10" t="inlineStr">
        <is>
          <t>10547373:eng</t>
        </is>
      </c>
      <c r="AV10" t="inlineStr">
        <is>
          <t>3481590</t>
        </is>
      </c>
      <c r="AW10" t="inlineStr">
        <is>
          <t>991004445919702656</t>
        </is>
      </c>
      <c r="AX10" t="inlineStr">
        <is>
          <t>991004445919702656</t>
        </is>
      </c>
      <c r="AY10" t="inlineStr">
        <is>
          <t>2264334270002656</t>
        </is>
      </c>
      <c r="AZ10" t="inlineStr">
        <is>
          <t>BOOK</t>
        </is>
      </c>
      <c r="BB10" t="inlineStr">
        <is>
          <t>9780208017178</t>
        </is>
      </c>
      <c r="BC10" t="inlineStr">
        <is>
          <t>32285001348191</t>
        </is>
      </c>
      <c r="BD10" t="inlineStr">
        <is>
          <t>893353398</t>
        </is>
      </c>
    </row>
    <row r="11">
      <c r="A11" t="inlineStr">
        <is>
          <t>No</t>
        </is>
      </c>
      <c r="B11" t="inlineStr">
        <is>
          <t>LA1311 .M29 1994</t>
        </is>
      </c>
      <c r="C11" t="inlineStr">
        <is>
          <t>0                      LA 1311000M  29          1994</t>
        </is>
      </c>
      <c r="D11" t="inlineStr">
        <is>
          <t>Learning to be modern : Japanese political discourse on education / Byron K. Marshall.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Marshall, Byron K.</t>
        </is>
      </c>
      <c r="L11" t="inlineStr">
        <is>
          <t>Boulder : Westview Press, 1994.</t>
        </is>
      </c>
      <c r="M11" t="inlineStr">
        <is>
          <t>1994</t>
        </is>
      </c>
      <c r="O11" t="inlineStr">
        <is>
          <t>eng</t>
        </is>
      </c>
      <c r="P11" t="inlineStr">
        <is>
          <t>cou</t>
        </is>
      </c>
      <c r="Q11" t="inlineStr">
        <is>
          <t>New perspectives on Asian history</t>
        </is>
      </c>
      <c r="R11" t="inlineStr">
        <is>
          <t xml:space="preserve">LA </t>
        </is>
      </c>
      <c r="S11" t="n">
        <v>3</v>
      </c>
      <c r="T11" t="n">
        <v>3</v>
      </c>
      <c r="U11" t="inlineStr">
        <is>
          <t>2008-02-13</t>
        </is>
      </c>
      <c r="V11" t="inlineStr">
        <is>
          <t>2008-02-13</t>
        </is>
      </c>
      <c r="W11" t="inlineStr">
        <is>
          <t>1999-01-06</t>
        </is>
      </c>
      <c r="X11" t="inlineStr">
        <is>
          <t>1999-01-06</t>
        </is>
      </c>
      <c r="Y11" t="n">
        <v>286</v>
      </c>
      <c r="Z11" t="n">
        <v>200</v>
      </c>
      <c r="AA11" t="n">
        <v>225</v>
      </c>
      <c r="AB11" t="n">
        <v>2</v>
      </c>
      <c r="AC11" t="n">
        <v>2</v>
      </c>
      <c r="AD11" t="n">
        <v>10</v>
      </c>
      <c r="AE11" t="n">
        <v>10</v>
      </c>
      <c r="AF11" t="n">
        <v>2</v>
      </c>
      <c r="AG11" t="n">
        <v>2</v>
      </c>
      <c r="AH11" t="n">
        <v>3</v>
      </c>
      <c r="AI11" t="n">
        <v>3</v>
      </c>
      <c r="AJ11" t="n">
        <v>5</v>
      </c>
      <c r="AK11" t="n">
        <v>5</v>
      </c>
      <c r="AL11" t="n">
        <v>1</v>
      </c>
      <c r="AM11" t="n">
        <v>1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HYPERLINK("http://catalog.hathitrust.org/Record/002994307","HathiTrust Record")</f>
        <v/>
      </c>
      <c r="AS11">
        <f>HYPERLINK("https://creighton-primo.hosted.exlibrisgroup.com/primo-explore/search?tab=default_tab&amp;search_scope=EVERYTHING&amp;vid=01CRU&amp;lang=en_US&amp;offset=0&amp;query=any,contains,991002448749702656","Catalog Record")</f>
        <v/>
      </c>
      <c r="AT11">
        <f>HYPERLINK("http://www.worldcat.org/oclc/31934426","WorldCat Record")</f>
        <v/>
      </c>
      <c r="AU11" t="inlineStr">
        <is>
          <t>34353730:eng</t>
        </is>
      </c>
      <c r="AV11" t="inlineStr">
        <is>
          <t>31934426</t>
        </is>
      </c>
      <c r="AW11" t="inlineStr">
        <is>
          <t>991002448749702656</t>
        </is>
      </c>
      <c r="AX11" t="inlineStr">
        <is>
          <t>991002448749702656</t>
        </is>
      </c>
      <c r="AY11" t="inlineStr">
        <is>
          <t>2255199290002656</t>
        </is>
      </c>
      <c r="AZ11" t="inlineStr">
        <is>
          <t>BOOK</t>
        </is>
      </c>
      <c r="BB11" t="inlineStr">
        <is>
          <t>9780813318912</t>
        </is>
      </c>
      <c r="BC11" t="inlineStr">
        <is>
          <t>32285003509584</t>
        </is>
      </c>
      <c r="BD11" t="inlineStr">
        <is>
          <t>893535013</t>
        </is>
      </c>
    </row>
    <row r="12">
      <c r="A12" t="inlineStr">
        <is>
          <t>No</t>
        </is>
      </c>
      <c r="B12" t="inlineStr">
        <is>
          <t>LA1311 .R62 1980</t>
        </is>
      </c>
      <c r="C12" t="inlineStr">
        <is>
          <t>0                      LA 1311000R  62          1980</t>
        </is>
      </c>
      <c r="D12" t="inlineStr">
        <is>
          <t>Schooldays in Imperial Japan : a study in the culture of a student elite / Donald Roden.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Roden, Donald, 1944-</t>
        </is>
      </c>
      <c r="L12" t="inlineStr">
        <is>
          <t>Berkeley : University of California Press, c1980.</t>
        </is>
      </c>
      <c r="M12" t="inlineStr">
        <is>
          <t>1980</t>
        </is>
      </c>
      <c r="O12" t="inlineStr">
        <is>
          <t>eng</t>
        </is>
      </c>
      <c r="P12" t="inlineStr">
        <is>
          <t>cau</t>
        </is>
      </c>
      <c r="R12" t="inlineStr">
        <is>
          <t xml:space="preserve">LA </t>
        </is>
      </c>
      <c r="S12" t="n">
        <v>2</v>
      </c>
      <c r="T12" t="n">
        <v>2</v>
      </c>
      <c r="U12" t="inlineStr">
        <is>
          <t>2009-09-28</t>
        </is>
      </c>
      <c r="V12" t="inlineStr">
        <is>
          <t>2009-09-28</t>
        </is>
      </c>
      <c r="W12" t="inlineStr">
        <is>
          <t>2003-02-26</t>
        </is>
      </c>
      <c r="X12" t="inlineStr">
        <is>
          <t>2003-02-26</t>
        </is>
      </c>
      <c r="Y12" t="n">
        <v>496</v>
      </c>
      <c r="Z12" t="n">
        <v>396</v>
      </c>
      <c r="AA12" t="n">
        <v>399</v>
      </c>
      <c r="AB12" t="n">
        <v>4</v>
      </c>
      <c r="AC12" t="n">
        <v>4</v>
      </c>
      <c r="AD12" t="n">
        <v>19</v>
      </c>
      <c r="AE12" t="n">
        <v>19</v>
      </c>
      <c r="AF12" t="n">
        <v>6</v>
      </c>
      <c r="AG12" t="n">
        <v>6</v>
      </c>
      <c r="AH12" t="n">
        <v>6</v>
      </c>
      <c r="AI12" t="n">
        <v>6</v>
      </c>
      <c r="AJ12" t="n">
        <v>9</v>
      </c>
      <c r="AK12" t="n">
        <v>9</v>
      </c>
      <c r="AL12" t="n">
        <v>3</v>
      </c>
      <c r="AM12" t="n">
        <v>3</v>
      </c>
      <c r="AN12" t="n">
        <v>0</v>
      </c>
      <c r="AO12" t="n">
        <v>0</v>
      </c>
      <c r="AP12" t="inlineStr">
        <is>
          <t>No</t>
        </is>
      </c>
      <c r="AQ12" t="inlineStr">
        <is>
          <t>No</t>
        </is>
      </c>
      <c r="AS12">
        <f>HYPERLINK("https://creighton-primo.hosted.exlibrisgroup.com/primo-explore/search?tab=default_tab&amp;search_scope=EVERYTHING&amp;vid=01CRU&amp;lang=en_US&amp;offset=0&amp;query=any,contains,991003996959702656","Catalog Record")</f>
        <v/>
      </c>
      <c r="AT12">
        <f>HYPERLINK("http://www.worldcat.org/oclc/6040659","WorldCat Record")</f>
        <v/>
      </c>
      <c r="AU12" t="inlineStr">
        <is>
          <t>895374440:eng</t>
        </is>
      </c>
      <c r="AV12" t="inlineStr">
        <is>
          <t>6040659</t>
        </is>
      </c>
      <c r="AW12" t="inlineStr">
        <is>
          <t>991003996959702656</t>
        </is>
      </c>
      <c r="AX12" t="inlineStr">
        <is>
          <t>991003996959702656</t>
        </is>
      </c>
      <c r="AY12" t="inlineStr">
        <is>
          <t>2259495610002656</t>
        </is>
      </c>
      <c r="AZ12" t="inlineStr">
        <is>
          <t>BOOK</t>
        </is>
      </c>
      <c r="BB12" t="inlineStr">
        <is>
          <t>9780520039100</t>
        </is>
      </c>
      <c r="BC12" t="inlineStr">
        <is>
          <t>32285004681150</t>
        </is>
      </c>
      <c r="BD12" t="inlineStr">
        <is>
          <t>893519136</t>
        </is>
      </c>
    </row>
    <row r="13">
      <c r="A13" t="inlineStr">
        <is>
          <t>No</t>
        </is>
      </c>
      <c r="B13" t="inlineStr">
        <is>
          <t>LA1311.7 .S74 1998</t>
        </is>
      </c>
      <c r="C13" t="inlineStr">
        <is>
          <t>0                      LA 1311700S  74          1998</t>
        </is>
      </c>
      <c r="D13" t="inlineStr">
        <is>
          <t>Schools and students in industrial society : Japan and the West, 1870-1940 / Peter N. Stearns.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Stearns, Peter N.</t>
        </is>
      </c>
      <c r="L13" t="inlineStr">
        <is>
          <t>Boston : Bedford Books, c1998.</t>
        </is>
      </c>
      <c r="M13" t="inlineStr">
        <is>
          <t>1998</t>
        </is>
      </c>
      <c r="O13" t="inlineStr">
        <is>
          <t>eng</t>
        </is>
      </c>
      <c r="P13" t="inlineStr">
        <is>
          <t>mau</t>
        </is>
      </c>
      <c r="Q13" t="inlineStr">
        <is>
          <t>The Bedford series in history and culture</t>
        </is>
      </c>
      <c r="R13" t="inlineStr">
        <is>
          <t xml:space="preserve">LA </t>
        </is>
      </c>
      <c r="S13" t="n">
        <v>1</v>
      </c>
      <c r="T13" t="n">
        <v>1</v>
      </c>
      <c r="U13" t="inlineStr">
        <is>
          <t>2007-09-30</t>
        </is>
      </c>
      <c r="V13" t="inlineStr">
        <is>
          <t>2007-09-30</t>
        </is>
      </c>
      <c r="W13" t="inlineStr">
        <is>
          <t>1998-07-27</t>
        </is>
      </c>
      <c r="X13" t="inlineStr">
        <is>
          <t>1998-07-27</t>
        </is>
      </c>
      <c r="Y13" t="n">
        <v>262</v>
      </c>
      <c r="Z13" t="n">
        <v>229</v>
      </c>
      <c r="AA13" t="n">
        <v>233</v>
      </c>
      <c r="AB13" t="n">
        <v>2</v>
      </c>
      <c r="AC13" t="n">
        <v>2</v>
      </c>
      <c r="AD13" t="n">
        <v>12</v>
      </c>
      <c r="AE13" t="n">
        <v>12</v>
      </c>
      <c r="AF13" t="n">
        <v>3</v>
      </c>
      <c r="AG13" t="n">
        <v>3</v>
      </c>
      <c r="AH13" t="n">
        <v>3</v>
      </c>
      <c r="AI13" t="n">
        <v>3</v>
      </c>
      <c r="AJ13" t="n">
        <v>8</v>
      </c>
      <c r="AK13" t="n">
        <v>8</v>
      </c>
      <c r="AL13" t="n">
        <v>1</v>
      </c>
      <c r="AM13" t="n">
        <v>1</v>
      </c>
      <c r="AN13" t="n">
        <v>0</v>
      </c>
      <c r="AO13" t="n">
        <v>0</v>
      </c>
      <c r="AP13" t="inlineStr">
        <is>
          <t>No</t>
        </is>
      </c>
      <c r="AQ13" t="inlineStr">
        <is>
          <t>No</t>
        </is>
      </c>
      <c r="AS13">
        <f>HYPERLINK("https://creighton-primo.hosted.exlibrisgroup.com/primo-explore/search?tab=default_tab&amp;search_scope=EVERYTHING&amp;vid=01CRU&amp;lang=en_US&amp;offset=0&amp;query=any,contains,991002876229702656","Catalog Record")</f>
        <v/>
      </c>
      <c r="AT13">
        <f>HYPERLINK("http://www.worldcat.org/oclc/37903409","WorldCat Record")</f>
        <v/>
      </c>
      <c r="AU13" t="inlineStr">
        <is>
          <t>906423843:eng</t>
        </is>
      </c>
      <c r="AV13" t="inlineStr">
        <is>
          <t>37903409</t>
        </is>
      </c>
      <c r="AW13" t="inlineStr">
        <is>
          <t>991002876229702656</t>
        </is>
      </c>
      <c r="AX13" t="inlineStr">
        <is>
          <t>991002876229702656</t>
        </is>
      </c>
      <c r="AY13" t="inlineStr">
        <is>
          <t>2256333040002656</t>
        </is>
      </c>
      <c r="AZ13" t="inlineStr">
        <is>
          <t>BOOK</t>
        </is>
      </c>
      <c r="BB13" t="inlineStr">
        <is>
          <t>9780312139131</t>
        </is>
      </c>
      <c r="BC13" t="inlineStr">
        <is>
          <t>32285003446019</t>
        </is>
      </c>
      <c r="BD13" t="inlineStr">
        <is>
          <t>893685890</t>
        </is>
      </c>
    </row>
    <row r="14">
      <c r="A14" t="inlineStr">
        <is>
          <t>No</t>
        </is>
      </c>
      <c r="B14" t="inlineStr">
        <is>
          <t>LA1311.8 .S525</t>
        </is>
      </c>
      <c r="C14" t="inlineStr">
        <is>
          <t>0                      LA 1311800S  525</t>
        </is>
      </c>
      <c r="D14" t="inlineStr">
        <is>
          <t>Adaptation and education in Japan / Nobuo K. Shimahara.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Shimahara, Nobuo.</t>
        </is>
      </c>
      <c r="L14" t="inlineStr">
        <is>
          <t>New York : Praeger, 1979.</t>
        </is>
      </c>
      <c r="M14" t="inlineStr">
        <is>
          <t>1979</t>
        </is>
      </c>
      <c r="O14" t="inlineStr">
        <is>
          <t>eng</t>
        </is>
      </c>
      <c r="P14" t="inlineStr">
        <is>
          <t>nyu</t>
        </is>
      </c>
      <c r="Q14" t="inlineStr">
        <is>
          <t>Praeger special studies series in comparative education</t>
        </is>
      </c>
      <c r="R14" t="inlineStr">
        <is>
          <t xml:space="preserve">LA </t>
        </is>
      </c>
      <c r="S14" t="n">
        <v>11</v>
      </c>
      <c r="T14" t="n">
        <v>11</v>
      </c>
      <c r="U14" t="inlineStr">
        <is>
          <t>2000-04-11</t>
        </is>
      </c>
      <c r="V14" t="inlineStr">
        <is>
          <t>2000-04-11</t>
        </is>
      </c>
      <c r="W14" t="inlineStr">
        <is>
          <t>1992-10-14</t>
        </is>
      </c>
      <c r="X14" t="inlineStr">
        <is>
          <t>1992-10-14</t>
        </is>
      </c>
      <c r="Y14" t="n">
        <v>330</v>
      </c>
      <c r="Z14" t="n">
        <v>236</v>
      </c>
      <c r="AA14" t="n">
        <v>242</v>
      </c>
      <c r="AB14" t="n">
        <v>2</v>
      </c>
      <c r="AC14" t="n">
        <v>2</v>
      </c>
      <c r="AD14" t="n">
        <v>9</v>
      </c>
      <c r="AE14" t="n">
        <v>9</v>
      </c>
      <c r="AF14" t="n">
        <v>3</v>
      </c>
      <c r="AG14" t="n">
        <v>3</v>
      </c>
      <c r="AH14" t="n">
        <v>2</v>
      </c>
      <c r="AI14" t="n">
        <v>2</v>
      </c>
      <c r="AJ14" t="n">
        <v>4</v>
      </c>
      <c r="AK14" t="n">
        <v>4</v>
      </c>
      <c r="AL14" t="n">
        <v>1</v>
      </c>
      <c r="AM14" t="n">
        <v>1</v>
      </c>
      <c r="AN14" t="n">
        <v>0</v>
      </c>
      <c r="AO14" t="n">
        <v>0</v>
      </c>
      <c r="AP14" t="inlineStr">
        <is>
          <t>No</t>
        </is>
      </c>
      <c r="AQ14" t="inlineStr">
        <is>
          <t>Yes</t>
        </is>
      </c>
      <c r="AR14">
        <f>HYPERLINK("http://catalog.hathitrust.org/Record/000026474","HathiTrust Record")</f>
        <v/>
      </c>
      <c r="AS14">
        <f>HYPERLINK("https://creighton-primo.hosted.exlibrisgroup.com/primo-explore/search?tab=default_tab&amp;search_scope=EVERYTHING&amp;vid=01CRU&amp;lang=en_US&amp;offset=0&amp;query=any,contains,991004714309702656","Catalog Record")</f>
        <v/>
      </c>
      <c r="AT14">
        <f>HYPERLINK("http://www.worldcat.org/oclc/4775469","WorldCat Record")</f>
        <v/>
      </c>
      <c r="AU14" t="inlineStr">
        <is>
          <t>431497:eng</t>
        </is>
      </c>
      <c r="AV14" t="inlineStr">
        <is>
          <t>4775469</t>
        </is>
      </c>
      <c r="AW14" t="inlineStr">
        <is>
          <t>991004714309702656</t>
        </is>
      </c>
      <c r="AX14" t="inlineStr">
        <is>
          <t>991004714309702656</t>
        </is>
      </c>
      <c r="AY14" t="inlineStr">
        <is>
          <t>2255201210002656</t>
        </is>
      </c>
      <c r="AZ14" t="inlineStr">
        <is>
          <t>BOOK</t>
        </is>
      </c>
      <c r="BB14" t="inlineStr">
        <is>
          <t>9780030492068</t>
        </is>
      </c>
      <c r="BC14" t="inlineStr">
        <is>
          <t>32285001348209</t>
        </is>
      </c>
      <c r="BD14" t="inlineStr">
        <is>
          <t>893625004</t>
        </is>
      </c>
    </row>
    <row r="15">
      <c r="A15" t="inlineStr">
        <is>
          <t>No</t>
        </is>
      </c>
      <c r="B15" t="inlineStr">
        <is>
          <t>LA1311.82 .S439 2005</t>
        </is>
      </c>
      <c r="C15" t="inlineStr">
        <is>
          <t>0                      LA 1311820S  439         2005</t>
        </is>
      </c>
      <c r="D15" t="inlineStr">
        <is>
          <t>Japan and Germany under the U.S. occupation : a comparative analysis of post-war education reform / Masako Shibata.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Shibata, Masako, 1961-</t>
        </is>
      </c>
      <c r="L15" t="inlineStr">
        <is>
          <t>Lanham, MD : Lexington Books, c2005.</t>
        </is>
      </c>
      <c r="M15" t="inlineStr">
        <is>
          <t>2005</t>
        </is>
      </c>
      <c r="O15" t="inlineStr">
        <is>
          <t>eng</t>
        </is>
      </c>
      <c r="P15" t="inlineStr">
        <is>
          <t>mdu</t>
        </is>
      </c>
      <c r="Q15" t="inlineStr">
        <is>
          <t>Studies of modern Japan</t>
        </is>
      </c>
      <c r="R15" t="inlineStr">
        <is>
          <t xml:space="preserve">LA </t>
        </is>
      </c>
      <c r="S15" t="n">
        <v>1</v>
      </c>
      <c r="T15" t="n">
        <v>1</v>
      </c>
      <c r="U15" t="inlineStr">
        <is>
          <t>2008-04-21</t>
        </is>
      </c>
      <c r="V15" t="inlineStr">
        <is>
          <t>2008-04-21</t>
        </is>
      </c>
      <c r="W15" t="inlineStr">
        <is>
          <t>2008-04-21</t>
        </is>
      </c>
      <c r="X15" t="inlineStr">
        <is>
          <t>2008-04-21</t>
        </is>
      </c>
      <c r="Y15" t="n">
        <v>252</v>
      </c>
      <c r="Z15" t="n">
        <v>194</v>
      </c>
      <c r="AA15" t="n">
        <v>213</v>
      </c>
      <c r="AB15" t="n">
        <v>2</v>
      </c>
      <c r="AC15" t="n">
        <v>2</v>
      </c>
      <c r="AD15" t="n">
        <v>12</v>
      </c>
      <c r="AE15" t="n">
        <v>13</v>
      </c>
      <c r="AF15" t="n">
        <v>3</v>
      </c>
      <c r="AG15" t="n">
        <v>4</v>
      </c>
      <c r="AH15" t="n">
        <v>3</v>
      </c>
      <c r="AI15" t="n">
        <v>4</v>
      </c>
      <c r="AJ15" t="n">
        <v>8</v>
      </c>
      <c r="AK15" t="n">
        <v>8</v>
      </c>
      <c r="AL15" t="n">
        <v>1</v>
      </c>
      <c r="AM15" t="n">
        <v>1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S15">
        <f>HYPERLINK("https://creighton-primo.hosted.exlibrisgroup.com/primo-explore/search?tab=default_tab&amp;search_scope=EVERYTHING&amp;vid=01CRU&amp;lang=en_US&amp;offset=0&amp;query=any,contains,991005195819702656","Catalog Record")</f>
        <v/>
      </c>
      <c r="AT15">
        <f>HYPERLINK("http://www.worldcat.org/oclc/58468176","WorldCat Record")</f>
        <v/>
      </c>
      <c r="AU15" t="inlineStr">
        <is>
          <t>891682998:eng</t>
        </is>
      </c>
      <c r="AV15" t="inlineStr">
        <is>
          <t>58468176</t>
        </is>
      </c>
      <c r="AW15" t="inlineStr">
        <is>
          <t>991005195819702656</t>
        </is>
      </c>
      <c r="AX15" t="inlineStr">
        <is>
          <t>991005195819702656</t>
        </is>
      </c>
      <c r="AY15" t="inlineStr">
        <is>
          <t>2262752040002656</t>
        </is>
      </c>
      <c r="AZ15" t="inlineStr">
        <is>
          <t>BOOK</t>
        </is>
      </c>
      <c r="BB15" t="inlineStr">
        <is>
          <t>9780739111499</t>
        </is>
      </c>
      <c r="BC15" t="inlineStr">
        <is>
          <t>32285005403828</t>
        </is>
      </c>
      <c r="BD15" t="inlineStr">
        <is>
          <t>893719955</t>
        </is>
      </c>
    </row>
    <row r="16">
      <c r="A16" t="inlineStr">
        <is>
          <t>No</t>
        </is>
      </c>
      <c r="B16" t="inlineStr">
        <is>
          <t>LA1312 .L96 1988</t>
        </is>
      </c>
      <c r="C16" t="inlineStr">
        <is>
          <t>0                      LA 1312000L  96          1988</t>
        </is>
      </c>
      <c r="D16" t="inlineStr">
        <is>
          <t>Educational achievement in Japan : lessons for the West / Richard Lynn.</t>
        </is>
      </c>
      <c r="F16" t="inlineStr">
        <is>
          <t>No</t>
        </is>
      </c>
      <c r="G16" t="inlineStr">
        <is>
          <t>1</t>
        </is>
      </c>
      <c r="H16" t="inlineStr">
        <is>
          <t>No</t>
        </is>
      </c>
      <c r="I16" t="inlineStr">
        <is>
          <t>No</t>
        </is>
      </c>
      <c r="J16" t="inlineStr">
        <is>
          <t>0</t>
        </is>
      </c>
      <c r="K16" t="inlineStr">
        <is>
          <t>Lynn, Richard, 1930-</t>
        </is>
      </c>
      <c r="L16" t="inlineStr">
        <is>
          <t>Armonk, N.Y. : M.E. Sharpe, Inc., 1988.</t>
        </is>
      </c>
      <c r="M16" t="inlineStr">
        <is>
          <t>1988</t>
        </is>
      </c>
      <c r="O16" t="inlineStr">
        <is>
          <t>eng</t>
        </is>
      </c>
      <c r="P16" t="inlineStr">
        <is>
          <t>nyu</t>
        </is>
      </c>
      <c r="R16" t="inlineStr">
        <is>
          <t xml:space="preserve">LA </t>
        </is>
      </c>
      <c r="S16" t="n">
        <v>28</v>
      </c>
      <c r="T16" t="n">
        <v>28</v>
      </c>
      <c r="U16" t="inlineStr">
        <is>
          <t>2005-09-04</t>
        </is>
      </c>
      <c r="V16" t="inlineStr">
        <is>
          <t>2005-09-04</t>
        </is>
      </c>
      <c r="W16" t="inlineStr">
        <is>
          <t>1989-10-19</t>
        </is>
      </c>
      <c r="X16" t="inlineStr">
        <is>
          <t>1989-10-19</t>
        </is>
      </c>
      <c r="Y16" t="n">
        <v>526</v>
      </c>
      <c r="Z16" t="n">
        <v>468</v>
      </c>
      <c r="AA16" t="n">
        <v>514</v>
      </c>
      <c r="AB16" t="n">
        <v>4</v>
      </c>
      <c r="AC16" t="n">
        <v>5</v>
      </c>
      <c r="AD16" t="n">
        <v>27</v>
      </c>
      <c r="AE16" t="n">
        <v>29</v>
      </c>
      <c r="AF16" t="n">
        <v>15</v>
      </c>
      <c r="AG16" t="n">
        <v>15</v>
      </c>
      <c r="AH16" t="n">
        <v>4</v>
      </c>
      <c r="AI16" t="n">
        <v>5</v>
      </c>
      <c r="AJ16" t="n">
        <v>12</v>
      </c>
      <c r="AK16" t="n">
        <v>13</v>
      </c>
      <c r="AL16" t="n">
        <v>3</v>
      </c>
      <c r="AM16" t="n">
        <v>4</v>
      </c>
      <c r="AN16" t="n">
        <v>0</v>
      </c>
      <c r="AO16" t="n">
        <v>0</v>
      </c>
      <c r="AP16" t="inlineStr">
        <is>
          <t>No</t>
        </is>
      </c>
      <c r="AQ16" t="inlineStr">
        <is>
          <t>Yes</t>
        </is>
      </c>
      <c r="AR16">
        <f>HYPERLINK("http://catalog.hathitrust.org/Record/004443194","HathiTrust Record")</f>
        <v/>
      </c>
      <c r="AS16">
        <f>HYPERLINK("https://creighton-primo.hosted.exlibrisgroup.com/primo-explore/search?tab=default_tab&amp;search_scope=EVERYTHING&amp;vid=01CRU&amp;lang=en_US&amp;offset=0&amp;query=any,contains,991001157439702656","Catalog Record")</f>
        <v/>
      </c>
      <c r="AT16">
        <f>HYPERLINK("http://www.worldcat.org/oclc/16869111","WorldCat Record")</f>
        <v/>
      </c>
      <c r="AU16" t="inlineStr">
        <is>
          <t>347429687:eng</t>
        </is>
      </c>
      <c r="AV16" t="inlineStr">
        <is>
          <t>16869111</t>
        </is>
      </c>
      <c r="AW16" t="inlineStr">
        <is>
          <t>991001157439702656</t>
        </is>
      </c>
      <c r="AX16" t="inlineStr">
        <is>
          <t>991001157439702656</t>
        </is>
      </c>
      <c r="AY16" t="inlineStr">
        <is>
          <t>2255343450002656</t>
        </is>
      </c>
      <c r="AZ16" t="inlineStr">
        <is>
          <t>BOOK</t>
        </is>
      </c>
      <c r="BB16" t="inlineStr">
        <is>
          <t>9780873324694</t>
        </is>
      </c>
      <c r="BC16" t="inlineStr">
        <is>
          <t>32285000000371</t>
        </is>
      </c>
      <c r="BD16" t="inlineStr">
        <is>
          <t>893237916</t>
        </is>
      </c>
    </row>
    <row r="17">
      <c r="A17" t="inlineStr">
        <is>
          <t>No</t>
        </is>
      </c>
      <c r="B17" t="inlineStr">
        <is>
          <t>LA1312 .W44 1987</t>
        </is>
      </c>
      <c r="C17" t="inlineStr">
        <is>
          <t>0                      LA 1312000W  44          1987</t>
        </is>
      </c>
      <c r="D17" t="inlineStr">
        <is>
          <t>The Japanese educational challenge : a commitment to children / Merry White.</t>
        </is>
      </c>
      <c r="F17" t="inlineStr">
        <is>
          <t>No</t>
        </is>
      </c>
      <c r="G17" t="inlineStr">
        <is>
          <t>1</t>
        </is>
      </c>
      <c r="H17" t="inlineStr">
        <is>
          <t>No</t>
        </is>
      </c>
      <c r="I17" t="inlineStr">
        <is>
          <t>No</t>
        </is>
      </c>
      <c r="J17" t="inlineStr">
        <is>
          <t>0</t>
        </is>
      </c>
      <c r="K17" t="inlineStr">
        <is>
          <t>White, Merry I., 1941-</t>
        </is>
      </c>
      <c r="L17" t="inlineStr">
        <is>
          <t>New York : Free Press ; London : Collier Macmillan, c1987.</t>
        </is>
      </c>
      <c r="M17" t="inlineStr">
        <is>
          <t>1987</t>
        </is>
      </c>
      <c r="O17" t="inlineStr">
        <is>
          <t>eng</t>
        </is>
      </c>
      <c r="P17" t="inlineStr">
        <is>
          <t>nyu</t>
        </is>
      </c>
      <c r="R17" t="inlineStr">
        <is>
          <t xml:space="preserve">LA </t>
        </is>
      </c>
      <c r="S17" t="n">
        <v>31</v>
      </c>
      <c r="T17" t="n">
        <v>31</v>
      </c>
      <c r="U17" t="inlineStr">
        <is>
          <t>2005-09-04</t>
        </is>
      </c>
      <c r="V17" t="inlineStr">
        <is>
          <t>2005-09-04</t>
        </is>
      </c>
      <c r="W17" t="inlineStr">
        <is>
          <t>1991-12-06</t>
        </is>
      </c>
      <c r="X17" t="inlineStr">
        <is>
          <t>1991-12-06</t>
        </is>
      </c>
      <c r="Y17" t="n">
        <v>1329</v>
      </c>
      <c r="Z17" t="n">
        <v>1165</v>
      </c>
      <c r="AA17" t="n">
        <v>1232</v>
      </c>
      <c r="AB17" t="n">
        <v>10</v>
      </c>
      <c r="AC17" t="n">
        <v>11</v>
      </c>
      <c r="AD17" t="n">
        <v>41</v>
      </c>
      <c r="AE17" t="n">
        <v>43</v>
      </c>
      <c r="AF17" t="n">
        <v>17</v>
      </c>
      <c r="AG17" t="n">
        <v>17</v>
      </c>
      <c r="AH17" t="n">
        <v>8</v>
      </c>
      <c r="AI17" t="n">
        <v>8</v>
      </c>
      <c r="AJ17" t="n">
        <v>20</v>
      </c>
      <c r="AK17" t="n">
        <v>21</v>
      </c>
      <c r="AL17" t="n">
        <v>6</v>
      </c>
      <c r="AM17" t="n">
        <v>7</v>
      </c>
      <c r="AN17" t="n">
        <v>1</v>
      </c>
      <c r="AO17" t="n">
        <v>1</v>
      </c>
      <c r="AP17" t="inlineStr">
        <is>
          <t>No</t>
        </is>
      </c>
      <c r="AQ17" t="inlineStr">
        <is>
          <t>Yes</t>
        </is>
      </c>
      <c r="AR17">
        <f>HYPERLINK("http://catalog.hathitrust.org/Record/000443723","HathiTrust Record")</f>
        <v/>
      </c>
      <c r="AS17">
        <f>HYPERLINK("https://creighton-primo.hosted.exlibrisgroup.com/primo-explore/search?tab=default_tab&amp;search_scope=EVERYTHING&amp;vid=01CRU&amp;lang=en_US&amp;offset=0&amp;query=any,contains,991000961519702656","Catalog Record")</f>
        <v/>
      </c>
      <c r="AT17">
        <f>HYPERLINK("http://www.worldcat.org/oclc/14819016","WorldCat Record")</f>
        <v/>
      </c>
      <c r="AU17" t="inlineStr">
        <is>
          <t>8547843:eng</t>
        </is>
      </c>
      <c r="AV17" t="inlineStr">
        <is>
          <t>14819016</t>
        </is>
      </c>
      <c r="AW17" t="inlineStr">
        <is>
          <t>991000961519702656</t>
        </is>
      </c>
      <c r="AX17" t="inlineStr">
        <is>
          <t>991000961519702656</t>
        </is>
      </c>
      <c r="AY17" t="inlineStr">
        <is>
          <t>2260017690002656</t>
        </is>
      </c>
      <c r="AZ17" t="inlineStr">
        <is>
          <t>BOOK</t>
        </is>
      </c>
      <c r="BB17" t="inlineStr">
        <is>
          <t>9780029338001</t>
        </is>
      </c>
      <c r="BC17" t="inlineStr">
        <is>
          <t>32285000828904</t>
        </is>
      </c>
      <c r="BD17" t="inlineStr">
        <is>
          <t>893315394</t>
        </is>
      </c>
    </row>
    <row r="18">
      <c r="A18" t="inlineStr">
        <is>
          <t>No</t>
        </is>
      </c>
      <c r="B18" t="inlineStr">
        <is>
          <t>LA1318 .C88 1997</t>
        </is>
      </c>
      <c r="C18" t="inlineStr">
        <is>
          <t>0                      LA 1318000C  88          1997</t>
        </is>
      </c>
      <c r="D18" t="inlineStr">
        <is>
          <t>An empire of schools : Japan's universities and the molding of a national power elite / Robert L. Cutts ; foreword by Chalmers Johnson.</t>
        </is>
      </c>
      <c r="F18" t="inlineStr">
        <is>
          <t>No</t>
        </is>
      </c>
      <c r="G18" t="inlineStr">
        <is>
          <t>1</t>
        </is>
      </c>
      <c r="H18" t="inlineStr">
        <is>
          <t>No</t>
        </is>
      </c>
      <c r="I18" t="inlineStr">
        <is>
          <t>No</t>
        </is>
      </c>
      <c r="J18" t="inlineStr">
        <is>
          <t>0</t>
        </is>
      </c>
      <c r="K18" t="inlineStr">
        <is>
          <t>Cutts, Robert L., 1945-</t>
        </is>
      </c>
      <c r="L18" t="inlineStr">
        <is>
          <t>Armonk, N.Y. : M.E. Sharpe, c1997.</t>
        </is>
      </c>
      <c r="M18" t="inlineStr">
        <is>
          <t>1997</t>
        </is>
      </c>
      <c r="O18" t="inlineStr">
        <is>
          <t>eng</t>
        </is>
      </c>
      <c r="P18" t="inlineStr">
        <is>
          <t>nyu</t>
        </is>
      </c>
      <c r="R18" t="inlineStr">
        <is>
          <t xml:space="preserve">LA </t>
        </is>
      </c>
      <c r="S18" t="n">
        <v>2</v>
      </c>
      <c r="T18" t="n">
        <v>2</v>
      </c>
      <c r="U18" t="inlineStr">
        <is>
          <t>2005-10-22</t>
        </is>
      </c>
      <c r="V18" t="inlineStr">
        <is>
          <t>2005-10-22</t>
        </is>
      </c>
      <c r="W18" t="inlineStr">
        <is>
          <t>1997-04-24</t>
        </is>
      </c>
      <c r="X18" t="inlineStr">
        <is>
          <t>1997-04-24</t>
        </is>
      </c>
      <c r="Y18" t="n">
        <v>478</v>
      </c>
      <c r="Z18" t="n">
        <v>388</v>
      </c>
      <c r="AA18" t="n">
        <v>1325</v>
      </c>
      <c r="AB18" t="n">
        <v>2</v>
      </c>
      <c r="AC18" t="n">
        <v>6</v>
      </c>
      <c r="AD18" t="n">
        <v>18</v>
      </c>
      <c r="AE18" t="n">
        <v>31</v>
      </c>
      <c r="AF18" t="n">
        <v>7</v>
      </c>
      <c r="AG18" t="n">
        <v>15</v>
      </c>
      <c r="AH18" t="n">
        <v>3</v>
      </c>
      <c r="AI18" t="n">
        <v>4</v>
      </c>
      <c r="AJ18" t="n">
        <v>12</v>
      </c>
      <c r="AK18" t="n">
        <v>16</v>
      </c>
      <c r="AL18" t="n">
        <v>1</v>
      </c>
      <c r="AM18" t="n">
        <v>4</v>
      </c>
      <c r="AN18" t="n">
        <v>0</v>
      </c>
      <c r="AO18" t="n">
        <v>0</v>
      </c>
      <c r="AP18" t="inlineStr">
        <is>
          <t>No</t>
        </is>
      </c>
      <c r="AQ18" t="inlineStr">
        <is>
          <t>Yes</t>
        </is>
      </c>
      <c r="AR18">
        <f>HYPERLINK("http://catalog.hathitrust.org/Record/003133900","HathiTrust Record")</f>
        <v/>
      </c>
      <c r="AS18">
        <f>HYPERLINK("https://creighton-primo.hosted.exlibrisgroup.com/primo-explore/search?tab=default_tab&amp;search_scope=EVERYTHING&amp;vid=01CRU&amp;lang=en_US&amp;offset=0&amp;query=any,contains,991002736849702656","Catalog Record")</f>
        <v/>
      </c>
      <c r="AT18">
        <f>HYPERLINK("http://www.worldcat.org/oclc/35919362","WorldCat Record")</f>
        <v/>
      </c>
      <c r="AU18" t="inlineStr">
        <is>
          <t>1049495:eng</t>
        </is>
      </c>
      <c r="AV18" t="inlineStr">
        <is>
          <t>35919362</t>
        </is>
      </c>
      <c r="AW18" t="inlineStr">
        <is>
          <t>991002736849702656</t>
        </is>
      </c>
      <c r="AX18" t="inlineStr">
        <is>
          <t>991002736849702656</t>
        </is>
      </c>
      <c r="AY18" t="inlineStr">
        <is>
          <t>2258306820002656</t>
        </is>
      </c>
      <c r="AZ18" t="inlineStr">
        <is>
          <t>BOOK</t>
        </is>
      </c>
      <c r="BB18" t="inlineStr">
        <is>
          <t>9781563248436</t>
        </is>
      </c>
      <c r="BC18" t="inlineStr">
        <is>
          <t>32285002540762</t>
        </is>
      </c>
      <c r="BD18" t="inlineStr">
        <is>
          <t>893591702</t>
        </is>
      </c>
    </row>
    <row r="19">
      <c r="A19" t="inlineStr">
        <is>
          <t>No</t>
        </is>
      </c>
      <c r="B19" t="inlineStr">
        <is>
          <t>LA1501 .E364 1982</t>
        </is>
      </c>
      <c r="C19" t="inlineStr">
        <is>
          <t>0                      LA 1501000E  364         1982</t>
        </is>
      </c>
      <c r="D19" t="inlineStr">
        <is>
          <t>Education in Africa : a comparative study / edited by A. Babs Fafunwa, J.U. Aisiku.</t>
        </is>
      </c>
      <c r="F19" t="inlineStr">
        <is>
          <t>No</t>
        </is>
      </c>
      <c r="G19" t="inlineStr">
        <is>
          <t>1</t>
        </is>
      </c>
      <c r="H19" t="inlineStr">
        <is>
          <t>No</t>
        </is>
      </c>
      <c r="I19" t="inlineStr">
        <is>
          <t>No</t>
        </is>
      </c>
      <c r="J19" t="inlineStr">
        <is>
          <t>0</t>
        </is>
      </c>
      <c r="L19" t="inlineStr">
        <is>
          <t>London ; Boston : G. Allen &amp; Unwin, 1982.</t>
        </is>
      </c>
      <c r="M19" t="inlineStr">
        <is>
          <t>1982</t>
        </is>
      </c>
      <c r="O19" t="inlineStr">
        <is>
          <t>eng</t>
        </is>
      </c>
      <c r="P19" t="inlineStr">
        <is>
          <t>enk</t>
        </is>
      </c>
      <c r="R19" t="inlineStr">
        <is>
          <t xml:space="preserve">LA </t>
        </is>
      </c>
      <c r="S19" t="n">
        <v>17</v>
      </c>
      <c r="T19" t="n">
        <v>17</v>
      </c>
      <c r="U19" t="inlineStr">
        <is>
          <t>2008-07-18</t>
        </is>
      </c>
      <c r="V19" t="inlineStr">
        <is>
          <t>2008-07-18</t>
        </is>
      </c>
      <c r="W19" t="inlineStr">
        <is>
          <t>1991-12-09</t>
        </is>
      </c>
      <c r="X19" t="inlineStr">
        <is>
          <t>1991-12-09</t>
        </is>
      </c>
      <c r="Y19" t="n">
        <v>441</v>
      </c>
      <c r="Z19" t="n">
        <v>298</v>
      </c>
      <c r="AA19" t="n">
        <v>307</v>
      </c>
      <c r="AB19" t="n">
        <v>3</v>
      </c>
      <c r="AC19" t="n">
        <v>3</v>
      </c>
      <c r="AD19" t="n">
        <v>12</v>
      </c>
      <c r="AE19" t="n">
        <v>12</v>
      </c>
      <c r="AF19" t="n">
        <v>5</v>
      </c>
      <c r="AG19" t="n">
        <v>5</v>
      </c>
      <c r="AH19" t="n">
        <v>1</v>
      </c>
      <c r="AI19" t="n">
        <v>1</v>
      </c>
      <c r="AJ19" t="n">
        <v>7</v>
      </c>
      <c r="AK19" t="n">
        <v>7</v>
      </c>
      <c r="AL19" t="n">
        <v>2</v>
      </c>
      <c r="AM19" t="n">
        <v>2</v>
      </c>
      <c r="AN19" t="n">
        <v>0</v>
      </c>
      <c r="AO19" t="n">
        <v>0</v>
      </c>
      <c r="AP19" t="inlineStr">
        <is>
          <t>No</t>
        </is>
      </c>
      <c r="AQ19" t="inlineStr">
        <is>
          <t>No</t>
        </is>
      </c>
      <c r="AS19">
        <f>HYPERLINK("https://creighton-primo.hosted.exlibrisgroup.com/primo-explore/search?tab=default_tab&amp;search_scope=EVERYTHING&amp;vid=01CRU&amp;lang=en_US&amp;offset=0&amp;query=any,contains,991005181979702656","Catalog Record")</f>
        <v/>
      </c>
      <c r="AT19">
        <f>HYPERLINK("http://www.worldcat.org/oclc/7946866","WorldCat Record")</f>
        <v/>
      </c>
      <c r="AU19" t="inlineStr">
        <is>
          <t>962384725:eng</t>
        </is>
      </c>
      <c r="AV19" t="inlineStr">
        <is>
          <t>7946866</t>
        </is>
      </c>
      <c r="AW19" t="inlineStr">
        <is>
          <t>991005181979702656</t>
        </is>
      </c>
      <c r="AX19" t="inlineStr">
        <is>
          <t>991005181979702656</t>
        </is>
      </c>
      <c r="AY19" t="inlineStr">
        <is>
          <t>2272472620002656</t>
        </is>
      </c>
      <c r="AZ19" t="inlineStr">
        <is>
          <t>BOOK</t>
        </is>
      </c>
      <c r="BB19" t="inlineStr">
        <is>
          <t>9780043701133</t>
        </is>
      </c>
      <c r="BC19" t="inlineStr">
        <is>
          <t>32285000873132</t>
        </is>
      </c>
      <c r="BD19" t="inlineStr">
        <is>
          <t>893594618</t>
        </is>
      </c>
    </row>
    <row r="20">
      <c r="A20" t="inlineStr">
        <is>
          <t>No</t>
        </is>
      </c>
      <c r="B20" t="inlineStr">
        <is>
          <t>LA1501 .T48 1981</t>
        </is>
      </c>
      <c r="C20" t="inlineStr">
        <is>
          <t>0                      LA 1501000T  48          1981</t>
        </is>
      </c>
      <c r="D20" t="inlineStr">
        <is>
          <t>Education and development in Africa / A. R. Thompson.</t>
        </is>
      </c>
      <c r="F20" t="inlineStr">
        <is>
          <t>No</t>
        </is>
      </c>
      <c r="G20" t="inlineStr">
        <is>
          <t>1</t>
        </is>
      </c>
      <c r="H20" t="inlineStr">
        <is>
          <t>No</t>
        </is>
      </c>
      <c r="I20" t="inlineStr">
        <is>
          <t>No</t>
        </is>
      </c>
      <c r="J20" t="inlineStr">
        <is>
          <t>0</t>
        </is>
      </c>
      <c r="K20" t="inlineStr">
        <is>
          <t>Thompson, A. R.</t>
        </is>
      </c>
      <c r="L20" t="inlineStr">
        <is>
          <t>New York : St. Martin's Press, 1981.</t>
        </is>
      </c>
      <c r="M20" t="inlineStr">
        <is>
          <t>1981</t>
        </is>
      </c>
      <c r="O20" t="inlineStr">
        <is>
          <t>eng</t>
        </is>
      </c>
      <c r="P20" t="inlineStr">
        <is>
          <t>nyu</t>
        </is>
      </c>
      <c r="R20" t="inlineStr">
        <is>
          <t xml:space="preserve">LA </t>
        </is>
      </c>
      <c r="S20" t="n">
        <v>12</v>
      </c>
      <c r="T20" t="n">
        <v>12</v>
      </c>
      <c r="U20" t="inlineStr">
        <is>
          <t>2007-06-11</t>
        </is>
      </c>
      <c r="V20" t="inlineStr">
        <is>
          <t>2007-06-11</t>
        </is>
      </c>
      <c r="W20" t="inlineStr">
        <is>
          <t>1992-05-12</t>
        </is>
      </c>
      <c r="X20" t="inlineStr">
        <is>
          <t>1992-05-12</t>
        </is>
      </c>
      <c r="Y20" t="n">
        <v>236</v>
      </c>
      <c r="Z20" t="n">
        <v>199</v>
      </c>
      <c r="AA20" t="n">
        <v>225</v>
      </c>
      <c r="AB20" t="n">
        <v>1</v>
      </c>
      <c r="AC20" t="n">
        <v>2</v>
      </c>
      <c r="AD20" t="n">
        <v>6</v>
      </c>
      <c r="AE20" t="n">
        <v>8</v>
      </c>
      <c r="AF20" t="n">
        <v>2</v>
      </c>
      <c r="AG20" t="n">
        <v>2</v>
      </c>
      <c r="AH20" t="n">
        <v>1</v>
      </c>
      <c r="AI20" t="n">
        <v>1</v>
      </c>
      <c r="AJ20" t="n">
        <v>5</v>
      </c>
      <c r="AK20" t="n">
        <v>6</v>
      </c>
      <c r="AL20" t="n">
        <v>0</v>
      </c>
      <c r="AM20" t="n">
        <v>1</v>
      </c>
      <c r="AN20" t="n">
        <v>0</v>
      </c>
      <c r="AO20" t="n">
        <v>0</v>
      </c>
      <c r="AP20" t="inlineStr">
        <is>
          <t>No</t>
        </is>
      </c>
      <c r="AQ20" t="inlineStr">
        <is>
          <t>No</t>
        </is>
      </c>
      <c r="AS20">
        <f>HYPERLINK("https://creighton-primo.hosted.exlibrisgroup.com/primo-explore/search?tab=default_tab&amp;search_scope=EVERYTHING&amp;vid=01CRU&amp;lang=en_US&amp;offset=0&amp;query=any,contains,991005048849702656","Catalog Record")</f>
        <v/>
      </c>
      <c r="AT20">
        <f>HYPERLINK("http://www.worldcat.org/oclc/6863093","WorldCat Record")</f>
        <v/>
      </c>
      <c r="AU20" t="inlineStr">
        <is>
          <t>29735018:eng</t>
        </is>
      </c>
      <c r="AV20" t="inlineStr">
        <is>
          <t>6863093</t>
        </is>
      </c>
      <c r="AW20" t="inlineStr">
        <is>
          <t>991005048849702656</t>
        </is>
      </c>
      <c r="AX20" t="inlineStr">
        <is>
          <t>991005048849702656</t>
        </is>
      </c>
      <c r="AY20" t="inlineStr">
        <is>
          <t>2271825960002656</t>
        </is>
      </c>
      <c r="AZ20" t="inlineStr">
        <is>
          <t>BOOK</t>
        </is>
      </c>
      <c r="BB20" t="inlineStr">
        <is>
          <t>9780312237240</t>
        </is>
      </c>
      <c r="BC20" t="inlineStr">
        <is>
          <t>32285001108660</t>
        </is>
      </c>
      <c r="BD20" t="inlineStr">
        <is>
          <t>893319942</t>
        </is>
      </c>
    </row>
    <row r="21">
      <c r="A21" t="inlineStr">
        <is>
          <t>No</t>
        </is>
      </c>
      <c r="B21" t="inlineStr">
        <is>
          <t>LA1503 .M345 2007</t>
        </is>
      </c>
      <c r="C21" t="inlineStr">
        <is>
          <t>0                      LA 1503000M  345         2007</t>
        </is>
      </c>
      <c r="D21" t="inlineStr">
        <is>
          <t>Higher education quality assurance in Sub-Saharan Africa : status, challenges, opportunities and promising practices / Peter Materu.</t>
        </is>
      </c>
      <c r="F21" t="inlineStr">
        <is>
          <t>No</t>
        </is>
      </c>
      <c r="G21" t="inlineStr">
        <is>
          <t>1</t>
        </is>
      </c>
      <c r="H21" t="inlineStr">
        <is>
          <t>No</t>
        </is>
      </c>
      <c r="I21" t="inlineStr">
        <is>
          <t>No</t>
        </is>
      </c>
      <c r="J21" t="inlineStr">
        <is>
          <t>0</t>
        </is>
      </c>
      <c r="K21" t="inlineStr">
        <is>
          <t>Materu, Peter (Peter Nicolas)</t>
        </is>
      </c>
      <c r="L21" t="inlineStr">
        <is>
          <t>Washington, D.C. : World Bank, c2007.</t>
        </is>
      </c>
      <c r="M21" t="inlineStr">
        <is>
          <t>2007</t>
        </is>
      </c>
      <c r="O21" t="inlineStr">
        <is>
          <t>eng</t>
        </is>
      </c>
      <c r="P21" t="inlineStr">
        <is>
          <t>dcu</t>
        </is>
      </c>
      <c r="Q21" t="inlineStr">
        <is>
          <t>Africa human development series</t>
        </is>
      </c>
      <c r="R21" t="inlineStr">
        <is>
          <t xml:space="preserve">LA </t>
        </is>
      </c>
      <c r="S21" t="n">
        <v>1</v>
      </c>
      <c r="T21" t="n">
        <v>1</v>
      </c>
      <c r="U21" t="inlineStr">
        <is>
          <t>2007-12-17</t>
        </is>
      </c>
      <c r="V21" t="inlineStr">
        <is>
          <t>2007-12-17</t>
        </is>
      </c>
      <c r="W21" t="inlineStr">
        <is>
          <t>2007-12-17</t>
        </is>
      </c>
      <c r="X21" t="inlineStr">
        <is>
          <t>2007-12-17</t>
        </is>
      </c>
      <c r="Y21" t="n">
        <v>124</v>
      </c>
      <c r="Z21" t="n">
        <v>84</v>
      </c>
      <c r="AA21" t="n">
        <v>492</v>
      </c>
      <c r="AB21" t="n">
        <v>1</v>
      </c>
      <c r="AC21" t="n">
        <v>5</v>
      </c>
      <c r="AD21" t="n">
        <v>4</v>
      </c>
      <c r="AE21" t="n">
        <v>23</v>
      </c>
      <c r="AF21" t="n">
        <v>0</v>
      </c>
      <c r="AG21" t="n">
        <v>6</v>
      </c>
      <c r="AH21" t="n">
        <v>2</v>
      </c>
      <c r="AI21" t="n">
        <v>7</v>
      </c>
      <c r="AJ21" t="n">
        <v>4</v>
      </c>
      <c r="AK21" t="n">
        <v>9</v>
      </c>
      <c r="AL21" t="n">
        <v>0</v>
      </c>
      <c r="AM21" t="n">
        <v>4</v>
      </c>
      <c r="AN21" t="n">
        <v>0</v>
      </c>
      <c r="AO21" t="n">
        <v>1</v>
      </c>
      <c r="AP21" t="inlineStr">
        <is>
          <t>No</t>
        </is>
      </c>
      <c r="AQ21" t="inlineStr">
        <is>
          <t>No</t>
        </is>
      </c>
      <c r="AS21">
        <f>HYPERLINK("https://creighton-primo.hosted.exlibrisgroup.com/primo-explore/search?tab=default_tab&amp;search_scope=EVERYTHING&amp;vid=01CRU&amp;lang=en_US&amp;offset=0&amp;query=any,contains,991005152879702656","Catalog Record")</f>
        <v/>
      </c>
      <c r="AT21">
        <f>HYPERLINK("http://www.worldcat.org/oclc/144772669","WorldCat Record")</f>
        <v/>
      </c>
      <c r="AU21" t="inlineStr">
        <is>
          <t>103374759:eng</t>
        </is>
      </c>
      <c r="AV21" t="inlineStr">
        <is>
          <t>144772669</t>
        </is>
      </c>
      <c r="AW21" t="inlineStr">
        <is>
          <t>991005152879702656</t>
        </is>
      </c>
      <c r="AX21" t="inlineStr">
        <is>
          <t>991005152879702656</t>
        </is>
      </c>
      <c r="AY21" t="inlineStr">
        <is>
          <t>2266209770002656</t>
        </is>
      </c>
      <c r="AZ21" t="inlineStr">
        <is>
          <t>BOOK</t>
        </is>
      </c>
      <c r="BB21" t="inlineStr">
        <is>
          <t>9780821372722</t>
        </is>
      </c>
      <c r="BC21" t="inlineStr">
        <is>
          <t>32285005373310</t>
        </is>
      </c>
      <c r="BD21" t="inlineStr">
        <is>
          <t>893412405</t>
        </is>
      </c>
    </row>
    <row r="22">
      <c r="A22" t="inlineStr">
        <is>
          <t>No</t>
        </is>
      </c>
      <c r="B22" t="inlineStr">
        <is>
          <t>LA1536 .P4 1970</t>
        </is>
      </c>
      <c r="C22" t="inlineStr">
        <is>
          <t>0                      LA 1536000P  4           1970</t>
        </is>
      </c>
      <c r="D22" t="inlineStr">
        <is>
          <t>300 years of education in South Africa / by E. G. Pells.</t>
        </is>
      </c>
      <c r="F22" t="inlineStr">
        <is>
          <t>No</t>
        </is>
      </c>
      <c r="G22" t="inlineStr">
        <is>
          <t>1</t>
        </is>
      </c>
      <c r="H22" t="inlineStr">
        <is>
          <t>No</t>
        </is>
      </c>
      <c r="I22" t="inlineStr">
        <is>
          <t>No</t>
        </is>
      </c>
      <c r="J22" t="inlineStr">
        <is>
          <t>0</t>
        </is>
      </c>
      <c r="K22" t="inlineStr">
        <is>
          <t>Pells, Edward George.</t>
        </is>
      </c>
      <c r="L22" t="inlineStr">
        <is>
          <t>Westport, Conn. : Greenwood Press, [1970]</t>
        </is>
      </c>
      <c r="M22" t="inlineStr">
        <is>
          <t>1970</t>
        </is>
      </c>
      <c r="O22" t="inlineStr">
        <is>
          <t>eng</t>
        </is>
      </c>
      <c r="P22" t="inlineStr">
        <is>
          <t>ctu</t>
        </is>
      </c>
      <c r="R22" t="inlineStr">
        <is>
          <t xml:space="preserve">LA </t>
        </is>
      </c>
      <c r="S22" t="n">
        <v>7</v>
      </c>
      <c r="T22" t="n">
        <v>7</v>
      </c>
      <c r="U22" t="inlineStr">
        <is>
          <t>1999-11-02</t>
        </is>
      </c>
      <c r="V22" t="inlineStr">
        <is>
          <t>1999-11-02</t>
        </is>
      </c>
      <c r="W22" t="inlineStr">
        <is>
          <t>1992-05-13</t>
        </is>
      </c>
      <c r="X22" t="inlineStr">
        <is>
          <t>1992-05-13</t>
        </is>
      </c>
      <c r="Y22" t="n">
        <v>282</v>
      </c>
      <c r="Z22" t="n">
        <v>246</v>
      </c>
      <c r="AA22" t="n">
        <v>284</v>
      </c>
      <c r="AB22" t="n">
        <v>2</v>
      </c>
      <c r="AC22" t="n">
        <v>2</v>
      </c>
      <c r="AD22" t="n">
        <v>13</v>
      </c>
      <c r="AE22" t="n">
        <v>13</v>
      </c>
      <c r="AF22" t="n">
        <v>6</v>
      </c>
      <c r="AG22" t="n">
        <v>6</v>
      </c>
      <c r="AH22" t="n">
        <v>2</v>
      </c>
      <c r="AI22" t="n">
        <v>2</v>
      </c>
      <c r="AJ22" t="n">
        <v>7</v>
      </c>
      <c r="AK22" t="n">
        <v>7</v>
      </c>
      <c r="AL22" t="n">
        <v>1</v>
      </c>
      <c r="AM22" t="n">
        <v>1</v>
      </c>
      <c r="AN22" t="n">
        <v>0</v>
      </c>
      <c r="AO22" t="n">
        <v>0</v>
      </c>
      <c r="AP22" t="inlineStr">
        <is>
          <t>No</t>
        </is>
      </c>
      <c r="AQ22" t="inlineStr">
        <is>
          <t>No</t>
        </is>
      </c>
      <c r="AS22">
        <f>HYPERLINK("https://creighton-primo.hosted.exlibrisgroup.com/primo-explore/search?tab=default_tab&amp;search_scope=EVERYTHING&amp;vid=01CRU&amp;lang=en_US&amp;offset=0&amp;query=any,contains,991000644169702656","Catalog Record")</f>
        <v/>
      </c>
      <c r="AT22">
        <f>HYPERLINK("http://www.worldcat.org/oclc/110489","WorldCat Record")</f>
        <v/>
      </c>
      <c r="AU22" t="inlineStr">
        <is>
          <t>499592:eng</t>
        </is>
      </c>
      <c r="AV22" t="inlineStr">
        <is>
          <t>110489</t>
        </is>
      </c>
      <c r="AW22" t="inlineStr">
        <is>
          <t>991000644169702656</t>
        </is>
      </c>
      <c r="AX22" t="inlineStr">
        <is>
          <t>991000644169702656</t>
        </is>
      </c>
      <c r="AY22" t="inlineStr">
        <is>
          <t>2266927500002656</t>
        </is>
      </c>
      <c r="AZ22" t="inlineStr">
        <is>
          <t>BOOK</t>
        </is>
      </c>
      <c r="BB22" t="inlineStr">
        <is>
          <t>9780837122175</t>
        </is>
      </c>
      <c r="BC22" t="inlineStr">
        <is>
          <t>32285001108876</t>
        </is>
      </c>
      <c r="BD22" t="inlineStr">
        <is>
          <t>893339747</t>
        </is>
      </c>
    </row>
    <row r="23">
      <c r="A23" t="inlineStr">
        <is>
          <t>No</t>
        </is>
      </c>
      <c r="B23" t="inlineStr">
        <is>
          <t>LA1561 .S44</t>
        </is>
      </c>
      <c r="C23" t="inlineStr">
        <is>
          <t>0                      LA 1561000S  44</t>
        </is>
      </c>
      <c r="D23" t="inlineStr">
        <is>
          <t>Education in Kenya: an historical study [by] James R. Sheffield.</t>
        </is>
      </c>
      <c r="F23" t="inlineStr">
        <is>
          <t>No</t>
        </is>
      </c>
      <c r="G23" t="inlineStr">
        <is>
          <t>1</t>
        </is>
      </c>
      <c r="H23" t="inlineStr">
        <is>
          <t>No</t>
        </is>
      </c>
      <c r="I23" t="inlineStr">
        <is>
          <t>No</t>
        </is>
      </c>
      <c r="J23" t="inlineStr">
        <is>
          <t>0</t>
        </is>
      </c>
      <c r="K23" t="inlineStr">
        <is>
          <t>Sheffield, James R.</t>
        </is>
      </c>
      <c r="L23" t="inlineStr">
        <is>
          <t>New York, Teachers College Press [1973]</t>
        </is>
      </c>
      <c r="M23" t="inlineStr">
        <is>
          <t>1973</t>
        </is>
      </c>
      <c r="O23" t="inlineStr">
        <is>
          <t>eng</t>
        </is>
      </c>
      <c r="P23" t="inlineStr">
        <is>
          <t>nyu</t>
        </is>
      </c>
      <c r="Q23" t="inlineStr">
        <is>
          <t>Publications of the Center for Education in Africa, Institute of International Studies</t>
        </is>
      </c>
      <c r="R23" t="inlineStr">
        <is>
          <t xml:space="preserve">LA </t>
        </is>
      </c>
      <c r="S23" t="n">
        <v>11</v>
      </c>
      <c r="T23" t="n">
        <v>11</v>
      </c>
      <c r="U23" t="inlineStr">
        <is>
          <t>1996-10-31</t>
        </is>
      </c>
      <c r="V23" t="inlineStr">
        <is>
          <t>1996-10-31</t>
        </is>
      </c>
      <c r="W23" t="inlineStr">
        <is>
          <t>1991-12-10</t>
        </is>
      </c>
      <c r="X23" t="inlineStr">
        <is>
          <t>1991-12-10</t>
        </is>
      </c>
      <c r="Y23" t="n">
        <v>419</v>
      </c>
      <c r="Z23" t="n">
        <v>324</v>
      </c>
      <c r="AA23" t="n">
        <v>324</v>
      </c>
      <c r="AB23" t="n">
        <v>2</v>
      </c>
      <c r="AC23" t="n">
        <v>2</v>
      </c>
      <c r="AD23" t="n">
        <v>10</v>
      </c>
      <c r="AE23" t="n">
        <v>10</v>
      </c>
      <c r="AF23" t="n">
        <v>3</v>
      </c>
      <c r="AG23" t="n">
        <v>3</v>
      </c>
      <c r="AH23" t="n">
        <v>2</v>
      </c>
      <c r="AI23" t="n">
        <v>2</v>
      </c>
      <c r="AJ23" t="n">
        <v>6</v>
      </c>
      <c r="AK23" t="n">
        <v>6</v>
      </c>
      <c r="AL23" t="n">
        <v>1</v>
      </c>
      <c r="AM23" t="n">
        <v>1</v>
      </c>
      <c r="AN23" t="n">
        <v>0</v>
      </c>
      <c r="AO23" t="n">
        <v>0</v>
      </c>
      <c r="AP23" t="inlineStr">
        <is>
          <t>No</t>
        </is>
      </c>
      <c r="AQ23" t="inlineStr">
        <is>
          <t>No</t>
        </is>
      </c>
      <c r="AS23">
        <f>HYPERLINK("https://creighton-primo.hosted.exlibrisgroup.com/primo-explore/search?tab=default_tab&amp;search_scope=EVERYTHING&amp;vid=01CRU&amp;lang=en_US&amp;offset=0&amp;query=any,contains,991003198069702656","Catalog Record")</f>
        <v/>
      </c>
      <c r="AT23">
        <f>HYPERLINK("http://www.worldcat.org/oclc/722856","WorldCat Record")</f>
        <v/>
      </c>
      <c r="AU23" t="inlineStr">
        <is>
          <t>1711817:eng</t>
        </is>
      </c>
      <c r="AV23" t="inlineStr">
        <is>
          <t>722856</t>
        </is>
      </c>
      <c r="AW23" t="inlineStr">
        <is>
          <t>991003198069702656</t>
        </is>
      </c>
      <c r="AX23" t="inlineStr">
        <is>
          <t>991003198069702656</t>
        </is>
      </c>
      <c r="AY23" t="inlineStr">
        <is>
          <t>2256840020002656</t>
        </is>
      </c>
      <c r="AZ23" t="inlineStr">
        <is>
          <t>BOOK</t>
        </is>
      </c>
      <c r="BC23" t="inlineStr">
        <is>
          <t>32285000838960</t>
        </is>
      </c>
      <c r="BD23" t="inlineStr">
        <is>
          <t>893428527</t>
        </is>
      </c>
    </row>
    <row r="24">
      <c r="A24" t="inlineStr">
        <is>
          <t>No</t>
        </is>
      </c>
      <c r="B24" t="inlineStr">
        <is>
          <t>LA1561 .S7</t>
        </is>
      </c>
      <c r="C24" t="inlineStr">
        <is>
          <t>0                      LA 1561000S  7</t>
        </is>
      </c>
      <c r="D24" t="inlineStr">
        <is>
          <t>Education since Uhuru : the schools of Kenya.</t>
        </is>
      </c>
      <c r="F24" t="inlineStr">
        <is>
          <t>No</t>
        </is>
      </c>
      <c r="G24" t="inlineStr">
        <is>
          <t>1</t>
        </is>
      </c>
      <c r="H24" t="inlineStr">
        <is>
          <t>No</t>
        </is>
      </c>
      <c r="I24" t="inlineStr">
        <is>
          <t>No</t>
        </is>
      </c>
      <c r="J24" t="inlineStr">
        <is>
          <t>0</t>
        </is>
      </c>
      <c r="K24" t="inlineStr">
        <is>
          <t>Stabler, Ernest, 1914-</t>
        </is>
      </c>
      <c r="L24" t="inlineStr">
        <is>
          <t>Middletown, Conn. : Wesleyan University Press, [1969]</t>
        </is>
      </c>
      <c r="M24" t="inlineStr">
        <is>
          <t>1969</t>
        </is>
      </c>
      <c r="N24" t="inlineStr">
        <is>
          <t>[1st ed.]</t>
        </is>
      </c>
      <c r="O24" t="inlineStr">
        <is>
          <t>eng</t>
        </is>
      </c>
      <c r="P24" t="inlineStr">
        <is>
          <t>ctu</t>
        </is>
      </c>
      <c r="R24" t="inlineStr">
        <is>
          <t xml:space="preserve">LA </t>
        </is>
      </c>
      <c r="S24" t="n">
        <v>7</v>
      </c>
      <c r="T24" t="n">
        <v>7</v>
      </c>
      <c r="U24" t="inlineStr">
        <is>
          <t>1995-11-26</t>
        </is>
      </c>
      <c r="V24" t="inlineStr">
        <is>
          <t>1995-11-26</t>
        </is>
      </c>
      <c r="W24" t="inlineStr">
        <is>
          <t>1994-04-29</t>
        </is>
      </c>
      <c r="X24" t="inlineStr">
        <is>
          <t>1994-04-29</t>
        </is>
      </c>
      <c r="Y24" t="n">
        <v>437</v>
      </c>
      <c r="Z24" t="n">
        <v>358</v>
      </c>
      <c r="AA24" t="n">
        <v>360</v>
      </c>
      <c r="AB24" t="n">
        <v>2</v>
      </c>
      <c r="AC24" t="n">
        <v>2</v>
      </c>
      <c r="AD24" t="n">
        <v>13</v>
      </c>
      <c r="AE24" t="n">
        <v>13</v>
      </c>
      <c r="AF24" t="n">
        <v>2</v>
      </c>
      <c r="AG24" t="n">
        <v>2</v>
      </c>
      <c r="AH24" t="n">
        <v>4</v>
      </c>
      <c r="AI24" t="n">
        <v>4</v>
      </c>
      <c r="AJ24" t="n">
        <v>7</v>
      </c>
      <c r="AK24" t="n">
        <v>7</v>
      </c>
      <c r="AL24" t="n">
        <v>1</v>
      </c>
      <c r="AM24" t="n">
        <v>1</v>
      </c>
      <c r="AN24" t="n">
        <v>0</v>
      </c>
      <c r="AO24" t="n">
        <v>0</v>
      </c>
      <c r="AP24" t="inlineStr">
        <is>
          <t>No</t>
        </is>
      </c>
      <c r="AQ24" t="inlineStr">
        <is>
          <t>No</t>
        </is>
      </c>
      <c r="AS24">
        <f>HYPERLINK("https://creighton-primo.hosted.exlibrisgroup.com/primo-explore/search?tab=default_tab&amp;search_scope=EVERYTHING&amp;vid=01CRU&amp;lang=en_US&amp;offset=0&amp;query=any,contains,991000059839702656","Catalog Record")</f>
        <v/>
      </c>
      <c r="AT24">
        <f>HYPERLINK("http://www.worldcat.org/oclc/24361","WorldCat Record")</f>
        <v/>
      </c>
      <c r="AU24" t="inlineStr">
        <is>
          <t>118347777:eng</t>
        </is>
      </c>
      <c r="AV24" t="inlineStr">
        <is>
          <t>24361</t>
        </is>
      </c>
      <c r="AW24" t="inlineStr">
        <is>
          <t>991000059839702656</t>
        </is>
      </c>
      <c r="AX24" t="inlineStr">
        <is>
          <t>991000059839702656</t>
        </is>
      </c>
      <c r="AY24" t="inlineStr">
        <is>
          <t>2266803090002656</t>
        </is>
      </c>
      <c r="AZ24" t="inlineStr">
        <is>
          <t>BOOK</t>
        </is>
      </c>
      <c r="BC24" t="inlineStr">
        <is>
          <t>32285001894806</t>
        </is>
      </c>
      <c r="BD24" t="inlineStr">
        <is>
          <t>893502188</t>
        </is>
      </c>
    </row>
    <row r="25">
      <c r="A25" t="inlineStr">
        <is>
          <t>No</t>
        </is>
      </c>
      <c r="B25" t="inlineStr">
        <is>
          <t>LA1591 .M85 1991</t>
        </is>
      </c>
      <c r="C25" t="inlineStr">
        <is>
          <t>0                      LA 1591000M  85          1991</t>
        </is>
      </c>
      <c r="D25" t="inlineStr">
        <is>
          <t>Colonial education for Africans : George Stark's policy in Zimbabwe / Dickson A. Mungazi.</t>
        </is>
      </c>
      <c r="F25" t="inlineStr">
        <is>
          <t>No</t>
        </is>
      </c>
      <c r="G25" t="inlineStr">
        <is>
          <t>1</t>
        </is>
      </c>
      <c r="H25" t="inlineStr">
        <is>
          <t>No</t>
        </is>
      </c>
      <c r="I25" t="inlineStr">
        <is>
          <t>No</t>
        </is>
      </c>
      <c r="J25" t="inlineStr">
        <is>
          <t>0</t>
        </is>
      </c>
      <c r="K25" t="inlineStr">
        <is>
          <t>Mungazi, Dickson A.</t>
        </is>
      </c>
      <c r="L25" t="inlineStr">
        <is>
          <t>New York : Praeger, 1991.</t>
        </is>
      </c>
      <c r="M25" t="inlineStr">
        <is>
          <t>1991</t>
        </is>
      </c>
      <c r="O25" t="inlineStr">
        <is>
          <t>eng</t>
        </is>
      </c>
      <c r="P25" t="inlineStr">
        <is>
          <t>nyu</t>
        </is>
      </c>
      <c r="R25" t="inlineStr">
        <is>
          <t xml:space="preserve">LA </t>
        </is>
      </c>
      <c r="S25" t="n">
        <v>7</v>
      </c>
      <c r="T25" t="n">
        <v>7</v>
      </c>
      <c r="U25" t="inlineStr">
        <is>
          <t>2007-04-09</t>
        </is>
      </c>
      <c r="V25" t="inlineStr">
        <is>
          <t>2007-04-09</t>
        </is>
      </c>
      <c r="W25" t="inlineStr">
        <is>
          <t>1992-04-02</t>
        </is>
      </c>
      <c r="X25" t="inlineStr">
        <is>
          <t>1992-04-02</t>
        </is>
      </c>
      <c r="Y25" t="n">
        <v>203</v>
      </c>
      <c r="Z25" t="n">
        <v>167</v>
      </c>
      <c r="AA25" t="n">
        <v>174</v>
      </c>
      <c r="AB25" t="n">
        <v>2</v>
      </c>
      <c r="AC25" t="n">
        <v>2</v>
      </c>
      <c r="AD25" t="n">
        <v>7</v>
      </c>
      <c r="AE25" t="n">
        <v>7</v>
      </c>
      <c r="AF25" t="n">
        <v>1</v>
      </c>
      <c r="AG25" t="n">
        <v>1</v>
      </c>
      <c r="AH25" t="n">
        <v>3</v>
      </c>
      <c r="AI25" t="n">
        <v>3</v>
      </c>
      <c r="AJ25" t="n">
        <v>3</v>
      </c>
      <c r="AK25" t="n">
        <v>3</v>
      </c>
      <c r="AL25" t="n">
        <v>1</v>
      </c>
      <c r="AM25" t="n">
        <v>1</v>
      </c>
      <c r="AN25" t="n">
        <v>0</v>
      </c>
      <c r="AO25" t="n">
        <v>0</v>
      </c>
      <c r="AP25" t="inlineStr">
        <is>
          <t>No</t>
        </is>
      </c>
      <c r="AQ25" t="inlineStr">
        <is>
          <t>Yes</t>
        </is>
      </c>
      <c r="AR25">
        <f>HYPERLINK("http://catalog.hathitrust.org/Record/002508567","HathiTrust Record")</f>
        <v/>
      </c>
      <c r="AS25">
        <f>HYPERLINK("https://creighton-primo.hosted.exlibrisgroup.com/primo-explore/search?tab=default_tab&amp;search_scope=EVERYTHING&amp;vid=01CRU&amp;lang=en_US&amp;offset=0&amp;query=any,contains,991001840009702656","Catalog Record")</f>
        <v/>
      </c>
      <c r="AT25">
        <f>HYPERLINK("http://www.worldcat.org/oclc/23139134","WorldCat Record")</f>
        <v/>
      </c>
      <c r="AU25" t="inlineStr">
        <is>
          <t>2570100:eng</t>
        </is>
      </c>
      <c r="AV25" t="inlineStr">
        <is>
          <t>23139134</t>
        </is>
      </c>
      <c r="AW25" t="inlineStr">
        <is>
          <t>991001840009702656</t>
        </is>
      </c>
      <c r="AX25" t="inlineStr">
        <is>
          <t>991001840009702656</t>
        </is>
      </c>
      <c r="AY25" t="inlineStr">
        <is>
          <t>2261654370002656</t>
        </is>
      </c>
      <c r="AZ25" t="inlineStr">
        <is>
          <t>BOOK</t>
        </is>
      </c>
      <c r="BB25" t="inlineStr">
        <is>
          <t>9780275940294</t>
        </is>
      </c>
      <c r="BC25" t="inlineStr">
        <is>
          <t>32285001008183</t>
        </is>
      </c>
      <c r="BD25" t="inlineStr">
        <is>
          <t>893334654</t>
        </is>
      </c>
    </row>
    <row r="26">
      <c r="A26" t="inlineStr">
        <is>
          <t>No</t>
        </is>
      </c>
      <c r="B26" t="inlineStr">
        <is>
          <t>LA1591 .M86 1982</t>
        </is>
      </c>
      <c r="C26" t="inlineStr">
        <is>
          <t>0                      LA 1591000M  86          1982</t>
        </is>
      </c>
      <c r="D26" t="inlineStr">
        <is>
          <t>The underdevelopment of African education : a Black Zimbabwean perspective / Dickson A. Mungazi.</t>
        </is>
      </c>
      <c r="F26" t="inlineStr">
        <is>
          <t>No</t>
        </is>
      </c>
      <c r="G26" t="inlineStr">
        <is>
          <t>1</t>
        </is>
      </c>
      <c r="H26" t="inlineStr">
        <is>
          <t>No</t>
        </is>
      </c>
      <c r="I26" t="inlineStr">
        <is>
          <t>No</t>
        </is>
      </c>
      <c r="J26" t="inlineStr">
        <is>
          <t>0</t>
        </is>
      </c>
      <c r="K26" t="inlineStr">
        <is>
          <t>Mungazi, Dickson A.</t>
        </is>
      </c>
      <c r="L26" t="inlineStr">
        <is>
          <t>Washington, D.C. : University Press of America, c1982.</t>
        </is>
      </c>
      <c r="M26" t="inlineStr">
        <is>
          <t>1982</t>
        </is>
      </c>
      <c r="O26" t="inlineStr">
        <is>
          <t>eng</t>
        </is>
      </c>
      <c r="P26" t="inlineStr">
        <is>
          <t>dcu</t>
        </is>
      </c>
      <c r="R26" t="inlineStr">
        <is>
          <t xml:space="preserve">LA </t>
        </is>
      </c>
      <c r="S26" t="n">
        <v>7</v>
      </c>
      <c r="T26" t="n">
        <v>7</v>
      </c>
      <c r="U26" t="inlineStr">
        <is>
          <t>2007-04-09</t>
        </is>
      </c>
      <c r="V26" t="inlineStr">
        <is>
          <t>2007-04-09</t>
        </is>
      </c>
      <c r="W26" t="inlineStr">
        <is>
          <t>1995-03-02</t>
        </is>
      </c>
      <c r="X26" t="inlineStr">
        <is>
          <t>1995-03-02</t>
        </is>
      </c>
      <c r="Y26" t="n">
        <v>174</v>
      </c>
      <c r="Z26" t="n">
        <v>128</v>
      </c>
      <c r="AA26" t="n">
        <v>128</v>
      </c>
      <c r="AB26" t="n">
        <v>2</v>
      </c>
      <c r="AC26" t="n">
        <v>2</v>
      </c>
      <c r="AD26" t="n">
        <v>5</v>
      </c>
      <c r="AE26" t="n">
        <v>5</v>
      </c>
      <c r="AF26" t="n">
        <v>1</v>
      </c>
      <c r="AG26" t="n">
        <v>1</v>
      </c>
      <c r="AH26" t="n">
        <v>1</v>
      </c>
      <c r="AI26" t="n">
        <v>1</v>
      </c>
      <c r="AJ26" t="n">
        <v>3</v>
      </c>
      <c r="AK26" t="n">
        <v>3</v>
      </c>
      <c r="AL26" t="n">
        <v>1</v>
      </c>
      <c r="AM26" t="n">
        <v>1</v>
      </c>
      <c r="AN26" t="n">
        <v>0</v>
      </c>
      <c r="AO26" t="n">
        <v>0</v>
      </c>
      <c r="AP26" t="inlineStr">
        <is>
          <t>No</t>
        </is>
      </c>
      <c r="AQ26" t="inlineStr">
        <is>
          <t>No</t>
        </is>
      </c>
      <c r="AS26">
        <f>HYPERLINK("https://creighton-primo.hosted.exlibrisgroup.com/primo-explore/search?tab=default_tab&amp;search_scope=EVERYTHING&amp;vid=01CRU&amp;lang=en_US&amp;offset=0&amp;query=any,contains,991000043189702656","Catalog Record")</f>
        <v/>
      </c>
      <c r="AT26">
        <f>HYPERLINK("http://www.worldcat.org/oclc/8667016","WorldCat Record")</f>
        <v/>
      </c>
      <c r="AU26" t="inlineStr">
        <is>
          <t>21014345:eng</t>
        </is>
      </c>
      <c r="AV26" t="inlineStr">
        <is>
          <t>8667016</t>
        </is>
      </c>
      <c r="AW26" t="inlineStr">
        <is>
          <t>991000043189702656</t>
        </is>
      </c>
      <c r="AX26" t="inlineStr">
        <is>
          <t>991000043189702656</t>
        </is>
      </c>
      <c r="AY26" t="inlineStr">
        <is>
          <t>2270893810002656</t>
        </is>
      </c>
      <c r="AZ26" t="inlineStr">
        <is>
          <t>BOOK</t>
        </is>
      </c>
      <c r="BB26" t="inlineStr">
        <is>
          <t>9780819126702</t>
        </is>
      </c>
      <c r="BC26" t="inlineStr">
        <is>
          <t>32285002020096</t>
        </is>
      </c>
      <c r="BD26" t="inlineStr">
        <is>
          <t>893771326</t>
        </is>
      </c>
    </row>
    <row r="27">
      <c r="A27" t="inlineStr">
        <is>
          <t>No</t>
        </is>
      </c>
      <c r="B27" t="inlineStr">
        <is>
          <t>LA1591 .S86 2002</t>
        </is>
      </c>
      <c r="C27" t="inlineStr">
        <is>
          <t>0                      LA 1591000S  86          2002</t>
        </is>
      </c>
      <c r="D27" t="inlineStr">
        <is>
          <t>Colonial lessons : Africans' education in Southern Rhodesia, 1918-1940 / Carol Summers.</t>
        </is>
      </c>
      <c r="F27" t="inlineStr">
        <is>
          <t>No</t>
        </is>
      </c>
      <c r="G27" t="inlineStr">
        <is>
          <t>1</t>
        </is>
      </c>
      <c r="H27" t="inlineStr">
        <is>
          <t>No</t>
        </is>
      </c>
      <c r="I27" t="inlineStr">
        <is>
          <t>No</t>
        </is>
      </c>
      <c r="J27" t="inlineStr">
        <is>
          <t>0</t>
        </is>
      </c>
      <c r="K27" t="inlineStr">
        <is>
          <t>Summers, Carol, 1964-</t>
        </is>
      </c>
      <c r="L27" t="inlineStr">
        <is>
          <t>Portsmouth, NH : Heinemann ; Oxford, U.K. : J. Currey ; Cape Town : D. Philip, c2002.</t>
        </is>
      </c>
      <c r="M27" t="inlineStr">
        <is>
          <t>2002</t>
        </is>
      </c>
      <c r="O27" t="inlineStr">
        <is>
          <t>eng</t>
        </is>
      </c>
      <c r="P27" t="inlineStr">
        <is>
          <t>nhu</t>
        </is>
      </c>
      <c r="Q27" t="inlineStr">
        <is>
          <t>Social history of Africa, 1099-8098</t>
        </is>
      </c>
      <c r="R27" t="inlineStr">
        <is>
          <t xml:space="preserve">LA </t>
        </is>
      </c>
      <c r="S27" t="n">
        <v>5</v>
      </c>
      <c r="T27" t="n">
        <v>5</v>
      </c>
      <c r="U27" t="inlineStr">
        <is>
          <t>2010-08-26</t>
        </is>
      </c>
      <c r="V27" t="inlineStr">
        <is>
          <t>2010-08-26</t>
        </is>
      </c>
      <c r="W27" t="inlineStr">
        <is>
          <t>2003-02-25</t>
        </is>
      </c>
      <c r="X27" t="inlineStr">
        <is>
          <t>2003-02-25</t>
        </is>
      </c>
      <c r="Y27" t="n">
        <v>221</v>
      </c>
      <c r="Z27" t="n">
        <v>173</v>
      </c>
      <c r="AA27" t="n">
        <v>175</v>
      </c>
      <c r="AB27" t="n">
        <v>1</v>
      </c>
      <c r="AC27" t="n">
        <v>1</v>
      </c>
      <c r="AD27" t="n">
        <v>9</v>
      </c>
      <c r="AE27" t="n">
        <v>9</v>
      </c>
      <c r="AF27" t="n">
        <v>3</v>
      </c>
      <c r="AG27" t="n">
        <v>3</v>
      </c>
      <c r="AH27" t="n">
        <v>5</v>
      </c>
      <c r="AI27" t="n">
        <v>5</v>
      </c>
      <c r="AJ27" t="n">
        <v>6</v>
      </c>
      <c r="AK27" t="n">
        <v>6</v>
      </c>
      <c r="AL27" t="n">
        <v>0</v>
      </c>
      <c r="AM27" t="n">
        <v>0</v>
      </c>
      <c r="AN27" t="n">
        <v>0</v>
      </c>
      <c r="AO27" t="n">
        <v>0</v>
      </c>
      <c r="AP27" t="inlineStr">
        <is>
          <t>No</t>
        </is>
      </c>
      <c r="AQ27" t="inlineStr">
        <is>
          <t>Yes</t>
        </is>
      </c>
      <c r="AR27">
        <f>HYPERLINK("http://catalog.hathitrust.org/Record/004269821","HathiTrust Record")</f>
        <v/>
      </c>
      <c r="AS27">
        <f>HYPERLINK("https://creighton-primo.hosted.exlibrisgroup.com/primo-explore/search?tab=default_tab&amp;search_scope=EVERYTHING&amp;vid=01CRU&amp;lang=en_US&amp;offset=0&amp;query=any,contains,991003974449702656","Catalog Record")</f>
        <v/>
      </c>
      <c r="AT27">
        <f>HYPERLINK("http://www.worldcat.org/oclc/48641237","WorldCat Record")</f>
        <v/>
      </c>
      <c r="AU27" t="inlineStr">
        <is>
          <t>1005311:eng</t>
        </is>
      </c>
      <c r="AV27" t="inlineStr">
        <is>
          <t>48641237</t>
        </is>
      </c>
      <c r="AW27" t="inlineStr">
        <is>
          <t>991003974449702656</t>
        </is>
      </c>
      <c r="AX27" t="inlineStr">
        <is>
          <t>991003974449702656</t>
        </is>
      </c>
      <c r="AY27" t="inlineStr">
        <is>
          <t>2272226790002656</t>
        </is>
      </c>
      <c r="AZ27" t="inlineStr">
        <is>
          <t>BOOK</t>
        </is>
      </c>
      <c r="BB27" t="inlineStr">
        <is>
          <t>9780325070476</t>
        </is>
      </c>
      <c r="BC27" t="inlineStr">
        <is>
          <t>32285004680772</t>
        </is>
      </c>
      <c r="BD27" t="inlineStr">
        <is>
          <t>893775445</t>
        </is>
      </c>
    </row>
    <row r="28">
      <c r="A28" t="inlineStr">
        <is>
          <t>No</t>
        </is>
      </c>
      <c r="B28" t="inlineStr">
        <is>
          <t>LA177 .P3</t>
        </is>
      </c>
      <c r="C28" t="inlineStr">
        <is>
          <t>0                      LA 0177000P  3</t>
        </is>
      </c>
      <c r="D28" t="inlineStr">
        <is>
          <t>The arts course at medieval universities with special reference to grammar and rhetoric / by Louis John Paetow.</t>
        </is>
      </c>
      <c r="F28" t="inlineStr">
        <is>
          <t>No</t>
        </is>
      </c>
      <c r="G28" t="inlineStr">
        <is>
          <t>1</t>
        </is>
      </c>
      <c r="H28" t="inlineStr">
        <is>
          <t>No</t>
        </is>
      </c>
      <c r="I28" t="inlineStr">
        <is>
          <t>No</t>
        </is>
      </c>
      <c r="J28" t="inlineStr">
        <is>
          <t>0</t>
        </is>
      </c>
      <c r="K28" t="inlineStr">
        <is>
          <t>Paetow, Louis John, 1880-1928.</t>
        </is>
      </c>
      <c r="L28" t="inlineStr">
        <is>
          <t>Champaign, Ill. : [University Press], 1910 ; Dubuque, Iowa : W.C. Brown Reprint Library, [n.d.]</t>
        </is>
      </c>
      <c r="M28" t="inlineStr">
        <is>
          <t>1910</t>
        </is>
      </c>
      <c r="O28" t="inlineStr">
        <is>
          <t>eng</t>
        </is>
      </c>
      <c r="P28" t="inlineStr">
        <is>
          <t xml:space="preserve">xx </t>
        </is>
      </c>
      <c r="Q28" t="inlineStr">
        <is>
          <t>University of Illinois (Urbana-Champaign campus) Bulletin, v.7, no.19</t>
        </is>
      </c>
      <c r="R28" t="inlineStr">
        <is>
          <t xml:space="preserve">LA </t>
        </is>
      </c>
      <c r="S28" t="n">
        <v>1</v>
      </c>
      <c r="T28" t="n">
        <v>1</v>
      </c>
      <c r="U28" t="inlineStr">
        <is>
          <t>1994-11-12</t>
        </is>
      </c>
      <c r="V28" t="inlineStr">
        <is>
          <t>1994-11-12</t>
        </is>
      </c>
      <c r="W28" t="inlineStr">
        <is>
          <t>1991-04-10</t>
        </is>
      </c>
      <c r="X28" t="inlineStr">
        <is>
          <t>1991-04-10</t>
        </is>
      </c>
      <c r="Y28" t="n">
        <v>267</v>
      </c>
      <c r="Z28" t="n">
        <v>245</v>
      </c>
      <c r="AA28" t="n">
        <v>323</v>
      </c>
      <c r="AB28" t="n">
        <v>3</v>
      </c>
      <c r="AC28" t="n">
        <v>3</v>
      </c>
      <c r="AD28" t="n">
        <v>17</v>
      </c>
      <c r="AE28" t="n">
        <v>23</v>
      </c>
      <c r="AF28" t="n">
        <v>4</v>
      </c>
      <c r="AG28" t="n">
        <v>6</v>
      </c>
      <c r="AH28" t="n">
        <v>6</v>
      </c>
      <c r="AI28" t="n">
        <v>6</v>
      </c>
      <c r="AJ28" t="n">
        <v>11</v>
      </c>
      <c r="AK28" t="n">
        <v>16</v>
      </c>
      <c r="AL28" t="n">
        <v>2</v>
      </c>
      <c r="AM28" t="n">
        <v>2</v>
      </c>
      <c r="AN28" t="n">
        <v>0</v>
      </c>
      <c r="AO28" t="n">
        <v>0</v>
      </c>
      <c r="AP28" t="inlineStr">
        <is>
          <t>Yes</t>
        </is>
      </c>
      <c r="AQ28" t="inlineStr">
        <is>
          <t>No</t>
        </is>
      </c>
      <c r="AR28">
        <f>HYPERLINK("http://catalog.hathitrust.org/Record/001064342","HathiTrust Record")</f>
        <v/>
      </c>
      <c r="AS28">
        <f>HYPERLINK("https://creighton-primo.hosted.exlibrisgroup.com/primo-explore/search?tab=default_tab&amp;search_scope=EVERYTHING&amp;vid=01CRU&amp;lang=en_US&amp;offset=0&amp;query=any,contains,991001920739702656","Catalog Record")</f>
        <v/>
      </c>
      <c r="AT28">
        <f>HYPERLINK("http://www.worldcat.org/oclc/905678","WorldCat Record")</f>
        <v/>
      </c>
      <c r="AU28" t="inlineStr">
        <is>
          <t>711398:eng</t>
        </is>
      </c>
      <c r="AV28" t="inlineStr">
        <is>
          <t>905678</t>
        </is>
      </c>
      <c r="AW28" t="inlineStr">
        <is>
          <t>991001920739702656</t>
        </is>
      </c>
      <c r="AX28" t="inlineStr">
        <is>
          <t>991001920739702656</t>
        </is>
      </c>
      <c r="AY28" t="inlineStr">
        <is>
          <t>2270061890002656</t>
        </is>
      </c>
      <c r="AZ28" t="inlineStr">
        <is>
          <t>BOOK</t>
        </is>
      </c>
      <c r="BC28" t="inlineStr">
        <is>
          <t>32285000580067</t>
        </is>
      </c>
      <c r="BD28" t="inlineStr">
        <is>
          <t>893328469</t>
        </is>
      </c>
    </row>
    <row r="29">
      <c r="A29" t="inlineStr">
        <is>
          <t>No</t>
        </is>
      </c>
      <c r="B29" t="inlineStr">
        <is>
          <t>LA1841 .K87</t>
        </is>
      </c>
      <c r="C29" t="inlineStr">
        <is>
          <t>0                      LA 1841000K  87</t>
        </is>
      </c>
      <c r="D29" t="inlineStr">
        <is>
          <t>An African education : the social revolution in Tanzania / by Laura S. Kurtz.</t>
        </is>
      </c>
      <c r="F29" t="inlineStr">
        <is>
          <t>No</t>
        </is>
      </c>
      <c r="G29" t="inlineStr">
        <is>
          <t>1</t>
        </is>
      </c>
      <c r="H29" t="inlineStr">
        <is>
          <t>No</t>
        </is>
      </c>
      <c r="I29" t="inlineStr">
        <is>
          <t>No</t>
        </is>
      </c>
      <c r="J29" t="inlineStr">
        <is>
          <t>0</t>
        </is>
      </c>
      <c r="K29" t="inlineStr">
        <is>
          <t>Kurtz, Laura S.</t>
        </is>
      </c>
      <c r="L29" t="inlineStr">
        <is>
          <t>Brooklyn : Pageant-Poseidon, [1972]</t>
        </is>
      </c>
      <c r="M29" t="inlineStr">
        <is>
          <t>1972</t>
        </is>
      </c>
      <c r="N29" t="inlineStr">
        <is>
          <t>[1st ed.]</t>
        </is>
      </c>
      <c r="O29" t="inlineStr">
        <is>
          <t>eng</t>
        </is>
      </c>
      <c r="P29" t="inlineStr">
        <is>
          <t>nyu</t>
        </is>
      </c>
      <c r="R29" t="inlineStr">
        <is>
          <t xml:space="preserve">LA </t>
        </is>
      </c>
      <c r="S29" t="n">
        <v>7</v>
      </c>
      <c r="T29" t="n">
        <v>7</v>
      </c>
      <c r="U29" t="inlineStr">
        <is>
          <t>1999-10-21</t>
        </is>
      </c>
      <c r="V29" t="inlineStr">
        <is>
          <t>1999-10-21</t>
        </is>
      </c>
      <c r="W29" t="inlineStr">
        <is>
          <t>1992-05-13</t>
        </is>
      </c>
      <c r="X29" t="inlineStr">
        <is>
          <t>1992-05-13</t>
        </is>
      </c>
      <c r="Y29" t="n">
        <v>194</v>
      </c>
      <c r="Z29" t="n">
        <v>158</v>
      </c>
      <c r="AA29" t="n">
        <v>160</v>
      </c>
      <c r="AB29" t="n">
        <v>1</v>
      </c>
      <c r="AC29" t="n">
        <v>1</v>
      </c>
      <c r="AD29" t="n">
        <v>4</v>
      </c>
      <c r="AE29" t="n">
        <v>4</v>
      </c>
      <c r="AF29" t="n">
        <v>2</v>
      </c>
      <c r="AG29" t="n">
        <v>2</v>
      </c>
      <c r="AH29" t="n">
        <v>0</v>
      </c>
      <c r="AI29" t="n">
        <v>0</v>
      </c>
      <c r="AJ29" t="n">
        <v>3</v>
      </c>
      <c r="AK29" t="n">
        <v>3</v>
      </c>
      <c r="AL29" t="n">
        <v>0</v>
      </c>
      <c r="AM29" t="n">
        <v>0</v>
      </c>
      <c r="AN29" t="n">
        <v>0</v>
      </c>
      <c r="AO29" t="n">
        <v>0</v>
      </c>
      <c r="AP29" t="inlineStr">
        <is>
          <t>No</t>
        </is>
      </c>
      <c r="AQ29" t="inlineStr">
        <is>
          <t>Yes</t>
        </is>
      </c>
      <c r="AR29">
        <f>HYPERLINK("http://catalog.hathitrust.org/Record/001066495","HathiTrust Record")</f>
        <v/>
      </c>
      <c r="AS29">
        <f>HYPERLINK("https://creighton-primo.hosted.exlibrisgroup.com/primo-explore/search?tab=default_tab&amp;search_scope=EVERYTHING&amp;vid=01CRU&amp;lang=en_US&amp;offset=0&amp;query=any,contains,991002842009702656","Catalog Record")</f>
        <v/>
      </c>
      <c r="AT29">
        <f>HYPERLINK("http://www.worldcat.org/oclc/482642","WorldCat Record")</f>
        <v/>
      </c>
      <c r="AU29" t="inlineStr">
        <is>
          <t>366209656:eng</t>
        </is>
      </c>
      <c r="AV29" t="inlineStr">
        <is>
          <t>482642</t>
        </is>
      </c>
      <c r="AW29" t="inlineStr">
        <is>
          <t>991002842009702656</t>
        </is>
      </c>
      <c r="AX29" t="inlineStr">
        <is>
          <t>991002842009702656</t>
        </is>
      </c>
      <c r="AY29" t="inlineStr">
        <is>
          <t>2258847060002656</t>
        </is>
      </c>
      <c r="AZ29" t="inlineStr">
        <is>
          <t>BOOK</t>
        </is>
      </c>
      <c r="BB29" t="inlineStr">
        <is>
          <t>9780818102325</t>
        </is>
      </c>
      <c r="BC29" t="inlineStr">
        <is>
          <t>32285001108868</t>
        </is>
      </c>
      <c r="BD29" t="inlineStr">
        <is>
          <t>893504888</t>
        </is>
      </c>
    </row>
    <row r="30">
      <c r="A30" t="inlineStr">
        <is>
          <t>No</t>
        </is>
      </c>
      <c r="B30" t="inlineStr">
        <is>
          <t>LA186 .F4</t>
        </is>
      </c>
      <c r="C30" t="inlineStr">
        <is>
          <t>0                      LA 0186000F  4</t>
        </is>
      </c>
      <c r="D30" t="inlineStr">
        <is>
          <t>The conflict of generations : the character and significance of student movements / [by] Lewis S. Feuer.</t>
        </is>
      </c>
      <c r="F30" t="inlineStr">
        <is>
          <t>No</t>
        </is>
      </c>
      <c r="G30" t="inlineStr">
        <is>
          <t>1</t>
        </is>
      </c>
      <c r="H30" t="inlineStr">
        <is>
          <t>No</t>
        </is>
      </c>
      <c r="I30" t="inlineStr">
        <is>
          <t>No</t>
        </is>
      </c>
      <c r="J30" t="inlineStr">
        <is>
          <t>0</t>
        </is>
      </c>
      <c r="K30" t="inlineStr">
        <is>
          <t>Feuer, Lewis S. (Lewis Samuel), 1912-2002.</t>
        </is>
      </c>
      <c r="L30" t="inlineStr">
        <is>
          <t>New York : Basic Books, [1969]</t>
        </is>
      </c>
      <c r="M30" t="inlineStr">
        <is>
          <t>1969</t>
        </is>
      </c>
      <c r="O30" t="inlineStr">
        <is>
          <t>eng</t>
        </is>
      </c>
      <c r="P30" t="inlineStr">
        <is>
          <t>nyu</t>
        </is>
      </c>
      <c r="R30" t="inlineStr">
        <is>
          <t xml:space="preserve">LA </t>
        </is>
      </c>
      <c r="S30" t="n">
        <v>1</v>
      </c>
      <c r="T30" t="n">
        <v>1</v>
      </c>
      <c r="U30" t="inlineStr">
        <is>
          <t>2001-09-28</t>
        </is>
      </c>
      <c r="V30" t="inlineStr">
        <is>
          <t>2001-09-28</t>
        </is>
      </c>
      <c r="W30" t="inlineStr">
        <is>
          <t>1990-02-23</t>
        </is>
      </c>
      <c r="X30" t="inlineStr">
        <is>
          <t>1990-02-23</t>
        </is>
      </c>
      <c r="Y30" t="n">
        <v>1348</v>
      </c>
      <c r="Z30" t="n">
        <v>1204</v>
      </c>
      <c r="AA30" t="n">
        <v>1215</v>
      </c>
      <c r="AB30" t="n">
        <v>9</v>
      </c>
      <c r="AC30" t="n">
        <v>9</v>
      </c>
      <c r="AD30" t="n">
        <v>46</v>
      </c>
      <c r="AE30" t="n">
        <v>46</v>
      </c>
      <c r="AF30" t="n">
        <v>16</v>
      </c>
      <c r="AG30" t="n">
        <v>16</v>
      </c>
      <c r="AH30" t="n">
        <v>9</v>
      </c>
      <c r="AI30" t="n">
        <v>9</v>
      </c>
      <c r="AJ30" t="n">
        <v>24</v>
      </c>
      <c r="AK30" t="n">
        <v>24</v>
      </c>
      <c r="AL30" t="n">
        <v>8</v>
      </c>
      <c r="AM30" t="n">
        <v>8</v>
      </c>
      <c r="AN30" t="n">
        <v>1</v>
      </c>
      <c r="AO30" t="n">
        <v>1</v>
      </c>
      <c r="AP30" t="inlineStr">
        <is>
          <t>No</t>
        </is>
      </c>
      <c r="AQ30" t="inlineStr">
        <is>
          <t>Yes</t>
        </is>
      </c>
      <c r="AR30">
        <f>HYPERLINK("http://catalog.hathitrust.org/Record/000000043","HathiTrust Record")</f>
        <v/>
      </c>
      <c r="AS30">
        <f>HYPERLINK("https://creighton-primo.hosted.exlibrisgroup.com/primo-explore/search?tab=default_tab&amp;search_scope=EVERYTHING&amp;vid=01CRU&amp;lang=en_US&amp;offset=0&amp;query=any,contains,991005433999702656","Catalog Record")</f>
        <v/>
      </c>
      <c r="AT30">
        <f>HYPERLINK("http://www.worldcat.org/oclc/2228","WorldCat Record")</f>
        <v/>
      </c>
      <c r="AU30" t="inlineStr">
        <is>
          <t>13766181:eng</t>
        </is>
      </c>
      <c r="AV30" t="inlineStr">
        <is>
          <t>2228</t>
        </is>
      </c>
      <c r="AW30" t="inlineStr">
        <is>
          <t>991005433999702656</t>
        </is>
      </c>
      <c r="AX30" t="inlineStr">
        <is>
          <t>991005433999702656</t>
        </is>
      </c>
      <c r="AY30" t="inlineStr">
        <is>
          <t>2262700020002656</t>
        </is>
      </c>
      <c r="AZ30" t="inlineStr">
        <is>
          <t>BOOK</t>
        </is>
      </c>
      <c r="BC30" t="inlineStr">
        <is>
          <t>32285000061191</t>
        </is>
      </c>
      <c r="BD30" t="inlineStr">
        <is>
          <t>893425166</t>
        </is>
      </c>
    </row>
    <row r="31">
      <c r="A31" t="inlineStr">
        <is>
          <t>No</t>
        </is>
      </c>
      <c r="B31" t="inlineStr">
        <is>
          <t>LA186 .L56 1970a</t>
        </is>
      </c>
      <c r="C31" t="inlineStr">
        <is>
          <t>0                      LA 0186000L  56          1970a</t>
        </is>
      </c>
      <c r="D31" t="inlineStr">
        <is>
          <t>Students in revolt / edited by Seymour Martin Lipset and Philip G. Altbach.</t>
        </is>
      </c>
      <c r="F31" t="inlineStr">
        <is>
          <t>No</t>
        </is>
      </c>
      <c r="G31" t="inlineStr">
        <is>
          <t>1</t>
        </is>
      </c>
      <c r="H31" t="inlineStr">
        <is>
          <t>No</t>
        </is>
      </c>
      <c r="I31" t="inlineStr">
        <is>
          <t>No</t>
        </is>
      </c>
      <c r="J31" t="inlineStr">
        <is>
          <t>0</t>
        </is>
      </c>
      <c r="K31" t="inlineStr">
        <is>
          <t>Lipset, Seymour Martin compiler.</t>
        </is>
      </c>
      <c r="L31" t="inlineStr">
        <is>
          <t>Boston : Beacon Press, [1970]</t>
        </is>
      </c>
      <c r="M31" t="inlineStr">
        <is>
          <t>1970</t>
        </is>
      </c>
      <c r="O31" t="inlineStr">
        <is>
          <t>eng</t>
        </is>
      </c>
      <c r="P31" t="inlineStr">
        <is>
          <t xml:space="preserve">xx </t>
        </is>
      </c>
      <c r="Q31" t="inlineStr">
        <is>
          <t>Beacon paperback, BP 368</t>
        </is>
      </c>
      <c r="R31" t="inlineStr">
        <is>
          <t xml:space="preserve">LA </t>
        </is>
      </c>
      <c r="S31" t="n">
        <v>4</v>
      </c>
      <c r="T31" t="n">
        <v>4</v>
      </c>
      <c r="U31" t="inlineStr">
        <is>
          <t>2003-04-16</t>
        </is>
      </c>
      <c r="V31" t="inlineStr">
        <is>
          <t>2003-04-16</t>
        </is>
      </c>
      <c r="W31" t="inlineStr">
        <is>
          <t>1990-02-21</t>
        </is>
      </c>
      <c r="X31" t="inlineStr">
        <is>
          <t>1990-02-21</t>
        </is>
      </c>
      <c r="Y31" t="n">
        <v>120</v>
      </c>
      <c r="Z31" t="n">
        <v>99</v>
      </c>
      <c r="AA31" t="n">
        <v>665</v>
      </c>
      <c r="AB31" t="n">
        <v>1</v>
      </c>
      <c r="AC31" t="n">
        <v>6</v>
      </c>
      <c r="AD31" t="n">
        <v>4</v>
      </c>
      <c r="AE31" t="n">
        <v>25</v>
      </c>
      <c r="AF31" t="n">
        <v>2</v>
      </c>
      <c r="AG31" t="n">
        <v>5</v>
      </c>
      <c r="AH31" t="n">
        <v>1</v>
      </c>
      <c r="AI31" t="n">
        <v>4</v>
      </c>
      <c r="AJ31" t="n">
        <v>3</v>
      </c>
      <c r="AK31" t="n">
        <v>14</v>
      </c>
      <c r="AL31" t="n">
        <v>0</v>
      </c>
      <c r="AM31" t="n">
        <v>4</v>
      </c>
      <c r="AN31" t="n">
        <v>0</v>
      </c>
      <c r="AO31" t="n">
        <v>2</v>
      </c>
      <c r="AP31" t="inlineStr">
        <is>
          <t>No</t>
        </is>
      </c>
      <c r="AQ31" t="inlineStr">
        <is>
          <t>Yes</t>
        </is>
      </c>
      <c r="AR31">
        <f>HYPERLINK("http://catalog.hathitrust.org/Record/009911885","HathiTrust Record")</f>
        <v/>
      </c>
      <c r="AS31">
        <f>HYPERLINK("https://creighton-primo.hosted.exlibrisgroup.com/primo-explore/search?tab=default_tab&amp;search_scope=EVERYTHING&amp;vid=01CRU&amp;lang=en_US&amp;offset=0&amp;query=any,contains,991003227979702656","Catalog Record")</f>
        <v/>
      </c>
      <c r="AT31">
        <f>HYPERLINK("http://www.worldcat.org/oclc/753019","WorldCat Record")</f>
        <v/>
      </c>
      <c r="AU31" t="inlineStr">
        <is>
          <t>346940674:eng</t>
        </is>
      </c>
      <c r="AV31" t="inlineStr">
        <is>
          <t>753019</t>
        </is>
      </c>
      <c r="AW31" t="inlineStr">
        <is>
          <t>991003227979702656</t>
        </is>
      </c>
      <c r="AX31" t="inlineStr">
        <is>
          <t>991003227979702656</t>
        </is>
      </c>
      <c r="AY31" t="inlineStr">
        <is>
          <t>2270665870002656</t>
        </is>
      </c>
      <c r="AZ31" t="inlineStr">
        <is>
          <t>BOOK</t>
        </is>
      </c>
      <c r="BC31" t="inlineStr">
        <is>
          <t>32285000048446</t>
        </is>
      </c>
      <c r="BD31" t="inlineStr">
        <is>
          <t>893868207</t>
        </is>
      </c>
    </row>
    <row r="32">
      <c r="A32" t="inlineStr">
        <is>
          <t>No</t>
        </is>
      </c>
      <c r="B32" t="inlineStr">
        <is>
          <t>LA205 .B86 1989</t>
        </is>
      </c>
      <c r="C32" t="inlineStr">
        <is>
          <t>0                      LA 0205000B  86          1989</t>
        </is>
      </c>
      <c r="D32" t="inlineStr">
        <is>
          <t>History of education and culture in America / H. Warren Button, Eugene F. Provenzo, Jr.</t>
        </is>
      </c>
      <c r="F32" t="inlineStr">
        <is>
          <t>No</t>
        </is>
      </c>
      <c r="G32" t="inlineStr">
        <is>
          <t>1</t>
        </is>
      </c>
      <c r="H32" t="inlineStr">
        <is>
          <t>No</t>
        </is>
      </c>
      <c r="I32" t="inlineStr">
        <is>
          <t>No</t>
        </is>
      </c>
      <c r="J32" t="inlineStr">
        <is>
          <t>0</t>
        </is>
      </c>
      <c r="K32" t="inlineStr">
        <is>
          <t>Button, H. Warren.</t>
        </is>
      </c>
      <c r="L32" t="inlineStr">
        <is>
          <t>Englewood Cliffs, N.J. : Prentice Hall, 1989.</t>
        </is>
      </c>
      <c r="M32" t="inlineStr">
        <is>
          <t>1989</t>
        </is>
      </c>
      <c r="N32" t="inlineStr">
        <is>
          <t>2nd ed.</t>
        </is>
      </c>
      <c r="O32" t="inlineStr">
        <is>
          <t>eng</t>
        </is>
      </c>
      <c r="P32" t="inlineStr">
        <is>
          <t>nju</t>
        </is>
      </c>
      <c r="R32" t="inlineStr">
        <is>
          <t xml:space="preserve">LA </t>
        </is>
      </c>
      <c r="S32" t="n">
        <v>10</v>
      </c>
      <c r="T32" t="n">
        <v>10</v>
      </c>
      <c r="U32" t="inlineStr">
        <is>
          <t>2008-12-01</t>
        </is>
      </c>
      <c r="V32" t="inlineStr">
        <is>
          <t>2008-12-01</t>
        </is>
      </c>
      <c r="W32" t="inlineStr">
        <is>
          <t>1990-08-10</t>
        </is>
      </c>
      <c r="X32" t="inlineStr">
        <is>
          <t>1990-08-10</t>
        </is>
      </c>
      <c r="Y32" t="n">
        <v>291</v>
      </c>
      <c r="Z32" t="n">
        <v>250</v>
      </c>
      <c r="AA32" t="n">
        <v>502</v>
      </c>
      <c r="AB32" t="n">
        <v>3</v>
      </c>
      <c r="AC32" t="n">
        <v>4</v>
      </c>
      <c r="AD32" t="n">
        <v>12</v>
      </c>
      <c r="AE32" t="n">
        <v>21</v>
      </c>
      <c r="AF32" t="n">
        <v>7</v>
      </c>
      <c r="AG32" t="n">
        <v>10</v>
      </c>
      <c r="AH32" t="n">
        <v>1</v>
      </c>
      <c r="AI32" t="n">
        <v>4</v>
      </c>
      <c r="AJ32" t="n">
        <v>5</v>
      </c>
      <c r="AK32" t="n">
        <v>11</v>
      </c>
      <c r="AL32" t="n">
        <v>2</v>
      </c>
      <c r="AM32" t="n">
        <v>3</v>
      </c>
      <c r="AN32" t="n">
        <v>0</v>
      </c>
      <c r="AO32" t="n">
        <v>0</v>
      </c>
      <c r="AP32" t="inlineStr">
        <is>
          <t>No</t>
        </is>
      </c>
      <c r="AQ32" t="inlineStr">
        <is>
          <t>No</t>
        </is>
      </c>
      <c r="AS32">
        <f>HYPERLINK("https://creighton-primo.hosted.exlibrisgroup.com/primo-explore/search?tab=default_tab&amp;search_scope=EVERYTHING&amp;vid=01CRU&amp;lang=en_US&amp;offset=0&amp;query=any,contains,991001240219702656","Catalog Record")</f>
        <v/>
      </c>
      <c r="AT32">
        <f>HYPERLINK("http://www.worldcat.org/oclc/17618518","WorldCat Record")</f>
        <v/>
      </c>
      <c r="AU32" t="inlineStr">
        <is>
          <t>3597634:eng</t>
        </is>
      </c>
      <c r="AV32" t="inlineStr">
        <is>
          <t>17618518</t>
        </is>
      </c>
      <c r="AW32" t="inlineStr">
        <is>
          <t>991001240219702656</t>
        </is>
      </c>
      <c r="AX32" t="inlineStr">
        <is>
          <t>991001240219702656</t>
        </is>
      </c>
      <c r="AY32" t="inlineStr">
        <is>
          <t>2258511850002656</t>
        </is>
      </c>
      <c r="AZ32" t="inlineStr">
        <is>
          <t>BOOK</t>
        </is>
      </c>
      <c r="BB32" t="inlineStr">
        <is>
          <t>9780133901627</t>
        </is>
      </c>
      <c r="BC32" t="inlineStr">
        <is>
          <t>32285000242932</t>
        </is>
      </c>
      <c r="BD32" t="inlineStr">
        <is>
          <t>893872396</t>
        </is>
      </c>
    </row>
    <row r="33">
      <c r="A33" t="inlineStr">
        <is>
          <t>No</t>
        </is>
      </c>
      <c r="B33" t="inlineStr">
        <is>
          <t>LA205 .B88</t>
        </is>
      </c>
      <c r="C33" t="inlineStr">
        <is>
          <t>0                      LA 0205000B  88</t>
        </is>
      </c>
      <c r="D33" t="inlineStr">
        <is>
          <t>A history of education in American culture [by] R. Freeman Butts [and] Lawrence A. Cremin.</t>
        </is>
      </c>
      <c r="F33" t="inlineStr">
        <is>
          <t>No</t>
        </is>
      </c>
      <c r="G33" t="inlineStr">
        <is>
          <t>1</t>
        </is>
      </c>
      <c r="H33" t="inlineStr">
        <is>
          <t>No</t>
        </is>
      </c>
      <c r="I33" t="inlineStr">
        <is>
          <t>No</t>
        </is>
      </c>
      <c r="J33" t="inlineStr">
        <is>
          <t>0</t>
        </is>
      </c>
      <c r="K33" t="inlineStr">
        <is>
          <t>Butts, R. Freeman (Robert Freeman), 1910-2010.</t>
        </is>
      </c>
      <c r="L33" t="inlineStr">
        <is>
          <t>New York, Holt [1953]</t>
        </is>
      </c>
      <c r="M33" t="inlineStr">
        <is>
          <t>1953</t>
        </is>
      </c>
      <c r="O33" t="inlineStr">
        <is>
          <t>eng</t>
        </is>
      </c>
      <c r="P33" t="inlineStr">
        <is>
          <t>nyu</t>
        </is>
      </c>
      <c r="R33" t="inlineStr">
        <is>
          <t xml:space="preserve">LA </t>
        </is>
      </c>
      <c r="S33" t="n">
        <v>2</v>
      </c>
      <c r="T33" t="n">
        <v>2</v>
      </c>
      <c r="U33" t="inlineStr">
        <is>
          <t>2002-04-07</t>
        </is>
      </c>
      <c r="V33" t="inlineStr">
        <is>
          <t>2002-04-07</t>
        </is>
      </c>
      <c r="W33" t="inlineStr">
        <is>
          <t>1997-04-22</t>
        </is>
      </c>
      <c r="X33" t="inlineStr">
        <is>
          <t>1997-04-22</t>
        </is>
      </c>
      <c r="Y33" t="n">
        <v>969</v>
      </c>
      <c r="Z33" t="n">
        <v>868</v>
      </c>
      <c r="AA33" t="n">
        <v>880</v>
      </c>
      <c r="AB33" t="n">
        <v>9</v>
      </c>
      <c r="AC33" t="n">
        <v>9</v>
      </c>
      <c r="AD33" t="n">
        <v>38</v>
      </c>
      <c r="AE33" t="n">
        <v>38</v>
      </c>
      <c r="AF33" t="n">
        <v>15</v>
      </c>
      <c r="AG33" t="n">
        <v>15</v>
      </c>
      <c r="AH33" t="n">
        <v>3</v>
      </c>
      <c r="AI33" t="n">
        <v>3</v>
      </c>
      <c r="AJ33" t="n">
        <v>17</v>
      </c>
      <c r="AK33" t="n">
        <v>17</v>
      </c>
      <c r="AL33" t="n">
        <v>8</v>
      </c>
      <c r="AM33" t="n">
        <v>8</v>
      </c>
      <c r="AN33" t="n">
        <v>0</v>
      </c>
      <c r="AO33" t="n">
        <v>0</v>
      </c>
      <c r="AP33" t="inlineStr">
        <is>
          <t>No</t>
        </is>
      </c>
      <c r="AQ33" t="inlineStr">
        <is>
          <t>Yes</t>
        </is>
      </c>
      <c r="AR33">
        <f>HYPERLINK("http://catalog.hathitrust.org/Record/001116452","HathiTrust Record")</f>
        <v/>
      </c>
      <c r="AS33">
        <f>HYPERLINK("https://creighton-primo.hosted.exlibrisgroup.com/primo-explore/search?tab=default_tab&amp;search_scope=EVERYTHING&amp;vid=01CRU&amp;lang=en_US&amp;offset=0&amp;query=any,contains,991001032689702656","Catalog Record")</f>
        <v/>
      </c>
      <c r="AT33">
        <f>HYPERLINK("http://www.worldcat.org/oclc/175386","WorldCat Record")</f>
        <v/>
      </c>
      <c r="AU33" t="inlineStr">
        <is>
          <t>1308292:eng</t>
        </is>
      </c>
      <c r="AV33" t="inlineStr">
        <is>
          <t>175386</t>
        </is>
      </c>
      <c r="AW33" t="inlineStr">
        <is>
          <t>991001032689702656</t>
        </is>
      </c>
      <c r="AX33" t="inlineStr">
        <is>
          <t>991001032689702656</t>
        </is>
      </c>
      <c r="AY33" t="inlineStr">
        <is>
          <t>2265318820002656</t>
        </is>
      </c>
      <c r="AZ33" t="inlineStr">
        <is>
          <t>BOOK</t>
        </is>
      </c>
      <c r="BC33" t="inlineStr">
        <is>
          <t>32285002595345</t>
        </is>
      </c>
      <c r="BD33" t="inlineStr">
        <is>
          <t>893884979</t>
        </is>
      </c>
    </row>
    <row r="34">
      <c r="A34" t="inlineStr">
        <is>
          <t>No</t>
        </is>
      </c>
      <c r="B34" t="inlineStr">
        <is>
          <t>LA205 .C67</t>
        </is>
      </c>
      <c r="C34" t="inlineStr">
        <is>
          <t>0                      LA 0205000C  67</t>
        </is>
      </c>
      <c r="D34" t="inlineStr">
        <is>
          <t>Traditions of American education / Lawrence A. Cremin.</t>
        </is>
      </c>
      <c r="F34" t="inlineStr">
        <is>
          <t>No</t>
        </is>
      </c>
      <c r="G34" t="inlineStr">
        <is>
          <t>1</t>
        </is>
      </c>
      <c r="H34" t="inlineStr">
        <is>
          <t>No</t>
        </is>
      </c>
      <c r="I34" t="inlineStr">
        <is>
          <t>No</t>
        </is>
      </c>
      <c r="J34" t="inlineStr">
        <is>
          <t>0</t>
        </is>
      </c>
      <c r="K34" t="inlineStr">
        <is>
          <t>Cremin, Lawrence A. (Lawrence Arthur), 1925-1990.</t>
        </is>
      </c>
      <c r="L34" t="inlineStr">
        <is>
          <t>New York : Basic Books, c1977.</t>
        </is>
      </c>
      <c r="M34" t="inlineStr">
        <is>
          <t>1977</t>
        </is>
      </c>
      <c r="O34" t="inlineStr">
        <is>
          <t>eng</t>
        </is>
      </c>
      <c r="P34" t="inlineStr">
        <is>
          <t>nyu</t>
        </is>
      </c>
      <c r="Q34" t="inlineStr">
        <is>
          <t>Merle Curti lectures ; 1976</t>
        </is>
      </c>
      <c r="R34" t="inlineStr">
        <is>
          <t xml:space="preserve">LA </t>
        </is>
      </c>
      <c r="S34" t="n">
        <v>4</v>
      </c>
      <c r="T34" t="n">
        <v>4</v>
      </c>
      <c r="U34" t="inlineStr">
        <is>
          <t>2007-10-01</t>
        </is>
      </c>
      <c r="V34" t="inlineStr">
        <is>
          <t>2007-10-01</t>
        </is>
      </c>
      <c r="W34" t="inlineStr">
        <is>
          <t>1992-04-09</t>
        </is>
      </c>
      <c r="X34" t="inlineStr">
        <is>
          <t>1992-04-09</t>
        </is>
      </c>
      <c r="Y34" t="n">
        <v>1095</v>
      </c>
      <c r="Z34" t="n">
        <v>1004</v>
      </c>
      <c r="AA34" t="n">
        <v>1010</v>
      </c>
      <c r="AB34" t="n">
        <v>7</v>
      </c>
      <c r="AC34" t="n">
        <v>7</v>
      </c>
      <c r="AD34" t="n">
        <v>34</v>
      </c>
      <c r="AE34" t="n">
        <v>34</v>
      </c>
      <c r="AF34" t="n">
        <v>16</v>
      </c>
      <c r="AG34" t="n">
        <v>16</v>
      </c>
      <c r="AH34" t="n">
        <v>4</v>
      </c>
      <c r="AI34" t="n">
        <v>4</v>
      </c>
      <c r="AJ34" t="n">
        <v>19</v>
      </c>
      <c r="AK34" t="n">
        <v>19</v>
      </c>
      <c r="AL34" t="n">
        <v>5</v>
      </c>
      <c r="AM34" t="n">
        <v>5</v>
      </c>
      <c r="AN34" t="n">
        <v>0</v>
      </c>
      <c r="AO34" t="n">
        <v>0</v>
      </c>
      <c r="AP34" t="inlineStr">
        <is>
          <t>No</t>
        </is>
      </c>
      <c r="AQ34" t="inlineStr">
        <is>
          <t>Yes</t>
        </is>
      </c>
      <c r="AR34">
        <f>HYPERLINK("http://catalog.hathitrust.org/Record/000127465","HathiTrust Record")</f>
        <v/>
      </c>
      <c r="AS34">
        <f>HYPERLINK("https://creighton-primo.hosted.exlibrisgroup.com/primo-explore/search?tab=default_tab&amp;search_scope=EVERYTHING&amp;vid=01CRU&amp;lang=en_US&amp;offset=0&amp;query=any,contains,991004184379702656","Catalog Record")</f>
        <v/>
      </c>
      <c r="AT34">
        <f>HYPERLINK("http://www.worldcat.org/oclc/2614168","WorldCat Record")</f>
        <v/>
      </c>
      <c r="AU34" t="inlineStr">
        <is>
          <t>3857292601:eng</t>
        </is>
      </c>
      <c r="AV34" t="inlineStr">
        <is>
          <t>2614168</t>
        </is>
      </c>
      <c r="AW34" t="inlineStr">
        <is>
          <t>991004184379702656</t>
        </is>
      </c>
      <c r="AX34" t="inlineStr">
        <is>
          <t>991004184379702656</t>
        </is>
      </c>
      <c r="AY34" t="inlineStr">
        <is>
          <t>2265954140002656</t>
        </is>
      </c>
      <c r="AZ34" t="inlineStr">
        <is>
          <t>BOOK</t>
        </is>
      </c>
      <c r="BB34" t="inlineStr">
        <is>
          <t>9780465086856</t>
        </is>
      </c>
      <c r="BC34" t="inlineStr">
        <is>
          <t>32285001057222</t>
        </is>
      </c>
      <c r="BD34" t="inlineStr">
        <is>
          <t>893869403</t>
        </is>
      </c>
    </row>
    <row r="35">
      <c r="A35" t="inlineStr">
        <is>
          <t>No</t>
        </is>
      </c>
      <c r="B35" t="inlineStr">
        <is>
          <t>LA205 .F7</t>
        </is>
      </c>
      <c r="C35" t="inlineStr">
        <is>
          <t>0                      LA 0205000F  7</t>
        </is>
      </c>
      <c r="D35" t="inlineStr">
        <is>
          <t>America's educational tradition : an interpretive history / [by] William M. French.</t>
        </is>
      </c>
      <c r="F35" t="inlineStr">
        <is>
          <t>No</t>
        </is>
      </c>
      <c r="G35" t="inlineStr">
        <is>
          <t>1</t>
        </is>
      </c>
      <c r="H35" t="inlineStr">
        <is>
          <t>No</t>
        </is>
      </c>
      <c r="I35" t="inlineStr">
        <is>
          <t>No</t>
        </is>
      </c>
      <c r="J35" t="inlineStr">
        <is>
          <t>0</t>
        </is>
      </c>
      <c r="K35" t="inlineStr">
        <is>
          <t>French, William Marshall, 1907-</t>
        </is>
      </c>
      <c r="L35" t="inlineStr">
        <is>
          <t>Boston : Heath, [1964]</t>
        </is>
      </c>
      <c r="M35" t="inlineStr">
        <is>
          <t>1964</t>
        </is>
      </c>
      <c r="O35" t="inlineStr">
        <is>
          <t>eng</t>
        </is>
      </c>
      <c r="P35" t="inlineStr">
        <is>
          <t>mau</t>
        </is>
      </c>
      <c r="R35" t="inlineStr">
        <is>
          <t xml:space="preserve">LA </t>
        </is>
      </c>
      <c r="S35" t="n">
        <v>1</v>
      </c>
      <c r="T35" t="n">
        <v>1</v>
      </c>
      <c r="U35" t="inlineStr">
        <is>
          <t>2002-04-07</t>
        </is>
      </c>
      <c r="V35" t="inlineStr">
        <is>
          <t>2002-04-07</t>
        </is>
      </c>
      <c r="W35" t="inlineStr">
        <is>
          <t>1992-04-14</t>
        </is>
      </c>
      <c r="X35" t="inlineStr">
        <is>
          <t>1992-04-14</t>
        </is>
      </c>
      <c r="Y35" t="n">
        <v>590</v>
      </c>
      <c r="Z35" t="n">
        <v>559</v>
      </c>
      <c r="AA35" t="n">
        <v>564</v>
      </c>
      <c r="AB35" t="n">
        <v>7</v>
      </c>
      <c r="AC35" t="n">
        <v>7</v>
      </c>
      <c r="AD35" t="n">
        <v>32</v>
      </c>
      <c r="AE35" t="n">
        <v>32</v>
      </c>
      <c r="AF35" t="n">
        <v>13</v>
      </c>
      <c r="AG35" t="n">
        <v>13</v>
      </c>
      <c r="AH35" t="n">
        <v>6</v>
      </c>
      <c r="AI35" t="n">
        <v>6</v>
      </c>
      <c r="AJ35" t="n">
        <v>13</v>
      </c>
      <c r="AK35" t="n">
        <v>13</v>
      </c>
      <c r="AL35" t="n">
        <v>6</v>
      </c>
      <c r="AM35" t="n">
        <v>6</v>
      </c>
      <c r="AN35" t="n">
        <v>0</v>
      </c>
      <c r="AO35" t="n">
        <v>0</v>
      </c>
      <c r="AP35" t="inlineStr">
        <is>
          <t>No</t>
        </is>
      </c>
      <c r="AQ35" t="inlineStr">
        <is>
          <t>Yes</t>
        </is>
      </c>
      <c r="AR35">
        <f>HYPERLINK("http://catalog.hathitrust.org/Record/001064392","HathiTrust Record")</f>
        <v/>
      </c>
      <c r="AS35">
        <f>HYPERLINK("https://creighton-primo.hosted.exlibrisgroup.com/primo-explore/search?tab=default_tab&amp;search_scope=EVERYTHING&amp;vid=01CRU&amp;lang=en_US&amp;offset=0&amp;query=any,contains,991002121239702656","Catalog Record")</f>
        <v/>
      </c>
      <c r="AT35">
        <f>HYPERLINK("http://www.worldcat.org/oclc/268740","WorldCat Record")</f>
        <v/>
      </c>
      <c r="AU35" t="inlineStr">
        <is>
          <t>365519653:eng</t>
        </is>
      </c>
      <c r="AV35" t="inlineStr">
        <is>
          <t>268740</t>
        </is>
      </c>
      <c r="AW35" t="inlineStr">
        <is>
          <t>991002121239702656</t>
        </is>
      </c>
      <c r="AX35" t="inlineStr">
        <is>
          <t>991002121239702656</t>
        </is>
      </c>
      <c r="AY35" t="inlineStr">
        <is>
          <t>2270461890002656</t>
        </is>
      </c>
      <c r="AZ35" t="inlineStr">
        <is>
          <t>BOOK</t>
        </is>
      </c>
      <c r="BC35" t="inlineStr">
        <is>
          <t>32285001060127</t>
        </is>
      </c>
      <c r="BD35" t="inlineStr">
        <is>
          <t>893510318</t>
        </is>
      </c>
    </row>
    <row r="36">
      <c r="A36" t="inlineStr">
        <is>
          <t>No</t>
        </is>
      </c>
      <c r="B36" t="inlineStr">
        <is>
          <t>LA205 .G35 2003</t>
        </is>
      </c>
      <c r="C36" t="inlineStr">
        <is>
          <t>0                      LA 0205000G  35          2003</t>
        </is>
      </c>
      <c r="D36" t="inlineStr">
        <is>
          <t>American educational history revisited : a critique of progress / Milton Gaither.</t>
        </is>
      </c>
      <c r="F36" t="inlineStr">
        <is>
          <t>No</t>
        </is>
      </c>
      <c r="G36" t="inlineStr">
        <is>
          <t>1</t>
        </is>
      </c>
      <c r="H36" t="inlineStr">
        <is>
          <t>No</t>
        </is>
      </c>
      <c r="I36" t="inlineStr">
        <is>
          <t>No</t>
        </is>
      </c>
      <c r="J36" t="inlineStr">
        <is>
          <t>0</t>
        </is>
      </c>
      <c r="K36" t="inlineStr">
        <is>
          <t>Gaither, Milton.</t>
        </is>
      </c>
      <c r="L36" t="inlineStr">
        <is>
          <t>New York : Teachers College Press, c2003.</t>
        </is>
      </c>
      <c r="M36" t="inlineStr">
        <is>
          <t>2003</t>
        </is>
      </c>
      <c r="O36" t="inlineStr">
        <is>
          <t>eng</t>
        </is>
      </c>
      <c r="P36" t="inlineStr">
        <is>
          <t>nyu</t>
        </is>
      </c>
      <c r="Q36" t="inlineStr">
        <is>
          <t>Reflective history series</t>
        </is>
      </c>
      <c r="R36" t="inlineStr">
        <is>
          <t xml:space="preserve">LA </t>
        </is>
      </c>
      <c r="S36" t="n">
        <v>5</v>
      </c>
      <c r="T36" t="n">
        <v>5</v>
      </c>
      <c r="U36" t="inlineStr">
        <is>
          <t>2008-02-21</t>
        </is>
      </c>
      <c r="V36" t="inlineStr">
        <is>
          <t>2008-02-21</t>
        </is>
      </c>
      <c r="W36" t="inlineStr">
        <is>
          <t>2003-07-24</t>
        </is>
      </c>
      <c r="X36" t="inlineStr">
        <is>
          <t>2003-07-24</t>
        </is>
      </c>
      <c r="Y36" t="n">
        <v>462</v>
      </c>
      <c r="Z36" t="n">
        <v>427</v>
      </c>
      <c r="AA36" t="n">
        <v>504</v>
      </c>
      <c r="AB36" t="n">
        <v>4</v>
      </c>
      <c r="AC36" t="n">
        <v>4</v>
      </c>
      <c r="AD36" t="n">
        <v>23</v>
      </c>
      <c r="AE36" t="n">
        <v>25</v>
      </c>
      <c r="AF36" t="n">
        <v>9</v>
      </c>
      <c r="AG36" t="n">
        <v>11</v>
      </c>
      <c r="AH36" t="n">
        <v>4</v>
      </c>
      <c r="AI36" t="n">
        <v>5</v>
      </c>
      <c r="AJ36" t="n">
        <v>13</v>
      </c>
      <c r="AK36" t="n">
        <v>13</v>
      </c>
      <c r="AL36" t="n">
        <v>3</v>
      </c>
      <c r="AM36" t="n">
        <v>3</v>
      </c>
      <c r="AN36" t="n">
        <v>0</v>
      </c>
      <c r="AO36" t="n">
        <v>0</v>
      </c>
      <c r="AP36" t="inlineStr">
        <is>
          <t>No</t>
        </is>
      </c>
      <c r="AQ36" t="inlineStr">
        <is>
          <t>No</t>
        </is>
      </c>
      <c r="AS36">
        <f>HYPERLINK("https://creighton-primo.hosted.exlibrisgroup.com/primo-explore/search?tab=default_tab&amp;search_scope=EVERYTHING&amp;vid=01CRU&amp;lang=en_US&amp;offset=0&amp;query=any,contains,991004081879702656","Catalog Record")</f>
        <v/>
      </c>
      <c r="AT36">
        <f>HYPERLINK("http://www.worldcat.org/oclc/50203902","WorldCat Record")</f>
        <v/>
      </c>
      <c r="AU36" t="inlineStr">
        <is>
          <t>801692300:eng</t>
        </is>
      </c>
      <c r="AV36" t="inlineStr">
        <is>
          <t>50203902</t>
        </is>
      </c>
      <c r="AW36" t="inlineStr">
        <is>
          <t>991004081879702656</t>
        </is>
      </c>
      <c r="AX36" t="inlineStr">
        <is>
          <t>991004081879702656</t>
        </is>
      </c>
      <c r="AY36" t="inlineStr">
        <is>
          <t>2256172450002656</t>
        </is>
      </c>
      <c r="AZ36" t="inlineStr">
        <is>
          <t>BOOK</t>
        </is>
      </c>
      <c r="BB36" t="inlineStr">
        <is>
          <t>9780807742907</t>
        </is>
      </c>
      <c r="BC36" t="inlineStr">
        <is>
          <t>32285004756937</t>
        </is>
      </c>
      <c r="BD36" t="inlineStr">
        <is>
          <t>893875658</t>
        </is>
      </c>
    </row>
    <row r="37">
      <c r="A37" t="inlineStr">
        <is>
          <t>No</t>
        </is>
      </c>
      <c r="B37" t="inlineStr">
        <is>
          <t>LA205 .G4</t>
        </is>
      </c>
      <c r="C37" t="inlineStr">
        <is>
          <t>0                      LA 0205000G  4</t>
        </is>
      </c>
      <c r="D37" t="inlineStr">
        <is>
          <t>Teaching in American culture / [compiled by] Kalil I. Gezi [and] James E. Myers.</t>
        </is>
      </c>
      <c r="F37" t="inlineStr">
        <is>
          <t>No</t>
        </is>
      </c>
      <c r="G37" t="inlineStr">
        <is>
          <t>1</t>
        </is>
      </c>
      <c r="H37" t="inlineStr">
        <is>
          <t>No</t>
        </is>
      </c>
      <c r="I37" t="inlineStr">
        <is>
          <t>No</t>
        </is>
      </c>
      <c r="J37" t="inlineStr">
        <is>
          <t>0</t>
        </is>
      </c>
      <c r="K37" t="inlineStr">
        <is>
          <t>Gezi, Kalil I. compiler.</t>
        </is>
      </c>
      <c r="L37" t="inlineStr">
        <is>
          <t>New York : Holt, Rinehart and Winston, [1968]</t>
        </is>
      </c>
      <c r="M37" t="inlineStr">
        <is>
          <t>1968</t>
        </is>
      </c>
      <c r="O37" t="inlineStr">
        <is>
          <t>eng</t>
        </is>
      </c>
      <c r="P37" t="inlineStr">
        <is>
          <t>nyu</t>
        </is>
      </c>
      <c r="R37" t="inlineStr">
        <is>
          <t xml:space="preserve">LA </t>
        </is>
      </c>
      <c r="S37" t="n">
        <v>2</v>
      </c>
      <c r="T37" t="n">
        <v>2</v>
      </c>
      <c r="U37" t="inlineStr">
        <is>
          <t>1999-10-04</t>
        </is>
      </c>
      <c r="V37" t="inlineStr">
        <is>
          <t>1999-10-04</t>
        </is>
      </c>
      <c r="W37" t="inlineStr">
        <is>
          <t>1993-10-26</t>
        </is>
      </c>
      <c r="X37" t="inlineStr">
        <is>
          <t>1993-10-26</t>
        </is>
      </c>
      <c r="Y37" t="n">
        <v>417</v>
      </c>
      <c r="Z37" t="n">
        <v>373</v>
      </c>
      <c r="AA37" t="n">
        <v>376</v>
      </c>
      <c r="AB37" t="n">
        <v>3</v>
      </c>
      <c r="AC37" t="n">
        <v>3</v>
      </c>
      <c r="AD37" t="n">
        <v>16</v>
      </c>
      <c r="AE37" t="n">
        <v>16</v>
      </c>
      <c r="AF37" t="n">
        <v>3</v>
      </c>
      <c r="AG37" t="n">
        <v>3</v>
      </c>
      <c r="AH37" t="n">
        <v>2</v>
      </c>
      <c r="AI37" t="n">
        <v>2</v>
      </c>
      <c r="AJ37" t="n">
        <v>11</v>
      </c>
      <c r="AK37" t="n">
        <v>11</v>
      </c>
      <c r="AL37" t="n">
        <v>2</v>
      </c>
      <c r="AM37" t="n">
        <v>2</v>
      </c>
      <c r="AN37" t="n">
        <v>0</v>
      </c>
      <c r="AO37" t="n">
        <v>0</v>
      </c>
      <c r="AP37" t="inlineStr">
        <is>
          <t>No</t>
        </is>
      </c>
      <c r="AQ37" t="inlineStr">
        <is>
          <t>No</t>
        </is>
      </c>
      <c r="AS37">
        <f>HYPERLINK("https://creighton-primo.hosted.exlibrisgroup.com/primo-explore/search?tab=default_tab&amp;search_scope=EVERYTHING&amp;vid=01CRU&amp;lang=en_US&amp;offset=0&amp;query=any,contains,991001029359702656","Catalog Record")</f>
        <v/>
      </c>
      <c r="AT37">
        <f>HYPERLINK("http://www.worldcat.org/oclc/175176","WorldCat Record")</f>
        <v/>
      </c>
      <c r="AU37" t="inlineStr">
        <is>
          <t>1307681:eng</t>
        </is>
      </c>
      <c r="AV37" t="inlineStr">
        <is>
          <t>175176</t>
        </is>
      </c>
      <c r="AW37" t="inlineStr">
        <is>
          <t>991001029359702656</t>
        </is>
      </c>
      <c r="AX37" t="inlineStr">
        <is>
          <t>991001029359702656</t>
        </is>
      </c>
      <c r="AY37" t="inlineStr">
        <is>
          <t>2265230940002656</t>
        </is>
      </c>
      <c r="AZ37" t="inlineStr">
        <is>
          <t>BOOK</t>
        </is>
      </c>
      <c r="BC37" t="inlineStr">
        <is>
          <t>32285001795011</t>
        </is>
      </c>
      <c r="BD37" t="inlineStr">
        <is>
          <t>893340105</t>
        </is>
      </c>
    </row>
    <row r="38">
      <c r="A38" t="inlineStr">
        <is>
          <t>No</t>
        </is>
      </c>
      <c r="B38" t="inlineStr">
        <is>
          <t>LA205 .G72 1988</t>
        </is>
      </c>
      <c r="C38" t="inlineStr">
        <is>
          <t>0                      LA 0205000G  72          1988</t>
        </is>
      </c>
      <c r="D38" t="inlineStr">
        <is>
          <t>The dialectic of freedom / Maxine Greene.</t>
        </is>
      </c>
      <c r="F38" t="inlineStr">
        <is>
          <t>No</t>
        </is>
      </c>
      <c r="G38" t="inlineStr">
        <is>
          <t>1</t>
        </is>
      </c>
      <c r="H38" t="inlineStr">
        <is>
          <t>No</t>
        </is>
      </c>
      <c r="I38" t="inlineStr">
        <is>
          <t>No</t>
        </is>
      </c>
      <c r="J38" t="inlineStr">
        <is>
          <t>0</t>
        </is>
      </c>
      <c r="K38" t="inlineStr">
        <is>
          <t>Greene, Maxine.</t>
        </is>
      </c>
      <c r="L38" t="inlineStr">
        <is>
          <t>New York : Teachers College Press, c1988.</t>
        </is>
      </c>
      <c r="M38" t="inlineStr">
        <is>
          <t>1988</t>
        </is>
      </c>
      <c r="O38" t="inlineStr">
        <is>
          <t>eng</t>
        </is>
      </c>
      <c r="P38" t="inlineStr">
        <is>
          <t>nyu</t>
        </is>
      </c>
      <c r="Q38" t="inlineStr">
        <is>
          <t>The John Dewey lecture</t>
        </is>
      </c>
      <c r="R38" t="inlineStr">
        <is>
          <t xml:space="preserve">LA </t>
        </is>
      </c>
      <c r="S38" t="n">
        <v>1</v>
      </c>
      <c r="T38" t="n">
        <v>1</v>
      </c>
      <c r="U38" t="inlineStr">
        <is>
          <t>2004-04-27</t>
        </is>
      </c>
      <c r="V38" t="inlineStr">
        <is>
          <t>2004-04-27</t>
        </is>
      </c>
      <c r="W38" t="inlineStr">
        <is>
          <t>1992-02-20</t>
        </is>
      </c>
      <c r="X38" t="inlineStr">
        <is>
          <t>1992-02-20</t>
        </is>
      </c>
      <c r="Y38" t="n">
        <v>892</v>
      </c>
      <c r="Z38" t="n">
        <v>758</v>
      </c>
      <c r="AA38" t="n">
        <v>778</v>
      </c>
      <c r="AB38" t="n">
        <v>9</v>
      </c>
      <c r="AC38" t="n">
        <v>9</v>
      </c>
      <c r="AD38" t="n">
        <v>45</v>
      </c>
      <c r="AE38" t="n">
        <v>46</v>
      </c>
      <c r="AF38" t="n">
        <v>20</v>
      </c>
      <c r="AG38" t="n">
        <v>21</v>
      </c>
      <c r="AH38" t="n">
        <v>6</v>
      </c>
      <c r="AI38" t="n">
        <v>7</v>
      </c>
      <c r="AJ38" t="n">
        <v>21</v>
      </c>
      <c r="AK38" t="n">
        <v>21</v>
      </c>
      <c r="AL38" t="n">
        <v>7</v>
      </c>
      <c r="AM38" t="n">
        <v>7</v>
      </c>
      <c r="AN38" t="n">
        <v>0</v>
      </c>
      <c r="AO38" t="n">
        <v>0</v>
      </c>
      <c r="AP38" t="inlineStr">
        <is>
          <t>No</t>
        </is>
      </c>
      <c r="AQ38" t="inlineStr">
        <is>
          <t>No</t>
        </is>
      </c>
      <c r="AS38">
        <f>HYPERLINK("https://creighton-primo.hosted.exlibrisgroup.com/primo-explore/search?tab=default_tab&amp;search_scope=EVERYTHING&amp;vid=01CRU&amp;lang=en_US&amp;offset=0&amp;query=any,contains,991001222949702656","Catalog Record")</f>
        <v/>
      </c>
      <c r="AT38">
        <f>HYPERLINK("http://www.worldcat.org/oclc/17482389","WorldCat Record")</f>
        <v/>
      </c>
      <c r="AU38" t="inlineStr">
        <is>
          <t>15920732:eng</t>
        </is>
      </c>
      <c r="AV38" t="inlineStr">
        <is>
          <t>17482389</t>
        </is>
      </c>
      <c r="AW38" t="inlineStr">
        <is>
          <t>991001222949702656</t>
        </is>
      </c>
      <c r="AX38" t="inlineStr">
        <is>
          <t>991001222949702656</t>
        </is>
      </c>
      <c r="AY38" t="inlineStr">
        <is>
          <t>2257826890002656</t>
        </is>
      </c>
      <c r="AZ38" t="inlineStr">
        <is>
          <t>BOOK</t>
        </is>
      </c>
      <c r="BB38" t="inlineStr">
        <is>
          <t>9780807728970</t>
        </is>
      </c>
      <c r="BC38" t="inlineStr">
        <is>
          <t>32285000948272</t>
        </is>
      </c>
      <c r="BD38" t="inlineStr">
        <is>
          <t>893315617</t>
        </is>
      </c>
    </row>
    <row r="39">
      <c r="A39" t="inlineStr">
        <is>
          <t>No</t>
        </is>
      </c>
      <c r="B39" t="inlineStr">
        <is>
          <t>LA205 .H47 1991</t>
        </is>
      </c>
      <c r="C39" t="inlineStr">
        <is>
          <t>0                      LA 0205000H  47          1991</t>
        </is>
      </c>
      <c r="D39" t="inlineStr">
        <is>
          <t>Introduction to the foundations of education / Robert F. Hessong, Thomas H. Weeks.</t>
        </is>
      </c>
      <c r="F39" t="inlineStr">
        <is>
          <t>No</t>
        </is>
      </c>
      <c r="G39" t="inlineStr">
        <is>
          <t>1</t>
        </is>
      </c>
      <c r="H39" t="inlineStr">
        <is>
          <t>No</t>
        </is>
      </c>
      <c r="I39" t="inlineStr">
        <is>
          <t>No</t>
        </is>
      </c>
      <c r="J39" t="inlineStr">
        <is>
          <t>0</t>
        </is>
      </c>
      <c r="K39" t="inlineStr">
        <is>
          <t>Hessong, Robert F.</t>
        </is>
      </c>
      <c r="L39" t="inlineStr">
        <is>
          <t>New York : Macmillan Pub. Co. ; Toronto : Collier Macmillan Canada, c1991.</t>
        </is>
      </c>
      <c r="M39" t="inlineStr">
        <is>
          <t>1991</t>
        </is>
      </c>
      <c r="N39" t="inlineStr">
        <is>
          <t>2nd ed.</t>
        </is>
      </c>
      <c r="O39" t="inlineStr">
        <is>
          <t>eng</t>
        </is>
      </c>
      <c r="P39" t="inlineStr">
        <is>
          <t>nyu</t>
        </is>
      </c>
      <c r="R39" t="inlineStr">
        <is>
          <t xml:space="preserve">LA </t>
        </is>
      </c>
      <c r="S39" t="n">
        <v>21</v>
      </c>
      <c r="T39" t="n">
        <v>21</v>
      </c>
      <c r="U39" t="inlineStr">
        <is>
          <t>2003-10-26</t>
        </is>
      </c>
      <c r="V39" t="inlineStr">
        <is>
          <t>2003-10-26</t>
        </is>
      </c>
      <c r="W39" t="inlineStr">
        <is>
          <t>1995-05-31</t>
        </is>
      </c>
      <c r="X39" t="inlineStr">
        <is>
          <t>1995-05-31</t>
        </is>
      </c>
      <c r="Y39" t="n">
        <v>138</v>
      </c>
      <c r="Z39" t="n">
        <v>111</v>
      </c>
      <c r="AA39" t="n">
        <v>112</v>
      </c>
      <c r="AB39" t="n">
        <v>2</v>
      </c>
      <c r="AC39" t="n">
        <v>2</v>
      </c>
      <c r="AD39" t="n">
        <v>6</v>
      </c>
      <c r="AE39" t="n">
        <v>6</v>
      </c>
      <c r="AF39" t="n">
        <v>3</v>
      </c>
      <c r="AG39" t="n">
        <v>3</v>
      </c>
      <c r="AH39" t="n">
        <v>1</v>
      </c>
      <c r="AI39" t="n">
        <v>1</v>
      </c>
      <c r="AJ39" t="n">
        <v>5</v>
      </c>
      <c r="AK39" t="n">
        <v>5</v>
      </c>
      <c r="AL39" t="n">
        <v>0</v>
      </c>
      <c r="AM39" t="n">
        <v>0</v>
      </c>
      <c r="AN39" t="n">
        <v>0</v>
      </c>
      <c r="AO39" t="n">
        <v>0</v>
      </c>
      <c r="AP39" t="inlineStr">
        <is>
          <t>No</t>
        </is>
      </c>
      <c r="AQ39" t="inlineStr">
        <is>
          <t>No</t>
        </is>
      </c>
      <c r="AS39">
        <f>HYPERLINK("https://creighton-primo.hosted.exlibrisgroup.com/primo-explore/search?tab=default_tab&amp;search_scope=EVERYTHING&amp;vid=01CRU&amp;lang=en_US&amp;offset=0&amp;query=any,contains,991001686669702656","Catalog Record")</f>
        <v/>
      </c>
      <c r="AT39">
        <f>HYPERLINK("http://www.worldcat.org/oclc/21407631","WorldCat Record")</f>
        <v/>
      </c>
      <c r="AU39" t="inlineStr">
        <is>
          <t>2280972282:eng</t>
        </is>
      </c>
      <c r="AV39" t="inlineStr">
        <is>
          <t>21407631</t>
        </is>
      </c>
      <c r="AW39" t="inlineStr">
        <is>
          <t>991001686669702656</t>
        </is>
      </c>
      <c r="AX39" t="inlineStr">
        <is>
          <t>991001686669702656</t>
        </is>
      </c>
      <c r="AY39" t="inlineStr">
        <is>
          <t>2271414640002656</t>
        </is>
      </c>
      <c r="AZ39" t="inlineStr">
        <is>
          <t>BOOK</t>
        </is>
      </c>
      <c r="BB39" t="inlineStr">
        <is>
          <t>9780023543951</t>
        </is>
      </c>
      <c r="BC39" t="inlineStr">
        <is>
          <t>32285002048048</t>
        </is>
      </c>
      <c r="BD39" t="inlineStr">
        <is>
          <t>893534641</t>
        </is>
      </c>
    </row>
    <row r="40">
      <c r="A40" t="inlineStr">
        <is>
          <t>No</t>
        </is>
      </c>
      <c r="B40" t="inlineStr">
        <is>
          <t>LA205 .M42</t>
        </is>
      </c>
      <c r="C40" t="inlineStr">
        <is>
          <t>0                      LA 0205000M  42</t>
        </is>
      </c>
      <c r="D40" t="inlineStr">
        <is>
          <t>Contemporary educational theory [by] Robert E. Mason.</t>
        </is>
      </c>
      <c r="F40" t="inlineStr">
        <is>
          <t>No</t>
        </is>
      </c>
      <c r="G40" t="inlineStr">
        <is>
          <t>1</t>
        </is>
      </c>
      <c r="H40" t="inlineStr">
        <is>
          <t>No</t>
        </is>
      </c>
      <c r="I40" t="inlineStr">
        <is>
          <t>No</t>
        </is>
      </c>
      <c r="J40" t="inlineStr">
        <is>
          <t>0</t>
        </is>
      </c>
      <c r="K40" t="inlineStr">
        <is>
          <t>Mason, Robert E. (Robert Emmett)</t>
        </is>
      </c>
      <c r="L40" t="inlineStr">
        <is>
          <t>New York, McKay [1972]</t>
        </is>
      </c>
      <c r="M40" t="inlineStr">
        <is>
          <t>1972</t>
        </is>
      </c>
      <c r="O40" t="inlineStr">
        <is>
          <t>eng</t>
        </is>
      </c>
      <c r="P40" t="inlineStr">
        <is>
          <t>nyu</t>
        </is>
      </c>
      <c r="Q40" t="inlineStr">
        <is>
          <t>Educational policy, planning, and theory</t>
        </is>
      </c>
      <c r="R40" t="inlineStr">
        <is>
          <t xml:space="preserve">LA </t>
        </is>
      </c>
      <c r="S40" t="n">
        <v>1</v>
      </c>
      <c r="T40" t="n">
        <v>1</v>
      </c>
      <c r="U40" t="inlineStr">
        <is>
          <t>2010-11-30</t>
        </is>
      </c>
      <c r="V40" t="inlineStr">
        <is>
          <t>2010-11-30</t>
        </is>
      </c>
      <c r="W40" t="inlineStr">
        <is>
          <t>1997-04-22</t>
        </is>
      </c>
      <c r="X40" t="inlineStr">
        <is>
          <t>1997-04-22</t>
        </is>
      </c>
      <c r="Y40" t="n">
        <v>387</v>
      </c>
      <c r="Z40" t="n">
        <v>340</v>
      </c>
      <c r="AA40" t="n">
        <v>360</v>
      </c>
      <c r="AB40" t="n">
        <v>3</v>
      </c>
      <c r="AC40" t="n">
        <v>3</v>
      </c>
      <c r="AD40" t="n">
        <v>13</v>
      </c>
      <c r="AE40" t="n">
        <v>14</v>
      </c>
      <c r="AF40" t="n">
        <v>5</v>
      </c>
      <c r="AG40" t="n">
        <v>5</v>
      </c>
      <c r="AH40" t="n">
        <v>1</v>
      </c>
      <c r="AI40" t="n">
        <v>2</v>
      </c>
      <c r="AJ40" t="n">
        <v>7</v>
      </c>
      <c r="AK40" t="n">
        <v>8</v>
      </c>
      <c r="AL40" t="n">
        <v>2</v>
      </c>
      <c r="AM40" t="n">
        <v>2</v>
      </c>
      <c r="AN40" t="n">
        <v>0</v>
      </c>
      <c r="AO40" t="n">
        <v>0</v>
      </c>
      <c r="AP40" t="inlineStr">
        <is>
          <t>No</t>
        </is>
      </c>
      <c r="AQ40" t="inlineStr">
        <is>
          <t>Yes</t>
        </is>
      </c>
      <c r="AR40">
        <f>HYPERLINK("http://catalog.hathitrust.org/Record/001064399","HathiTrust Record")</f>
        <v/>
      </c>
      <c r="AS40">
        <f>HYPERLINK("https://creighton-primo.hosted.exlibrisgroup.com/primo-explore/search?tab=default_tab&amp;search_scope=EVERYTHING&amp;vid=01CRU&amp;lang=en_US&amp;offset=0&amp;query=any,contains,991005254719702656","Catalog Record")</f>
        <v/>
      </c>
      <c r="AT40">
        <f>HYPERLINK("http://www.worldcat.org/oclc/380691","WorldCat Record")</f>
        <v/>
      </c>
      <c r="AU40" t="inlineStr">
        <is>
          <t>1489625:eng</t>
        </is>
      </c>
      <c r="AV40" t="inlineStr">
        <is>
          <t>380691</t>
        </is>
      </c>
      <c r="AW40" t="inlineStr">
        <is>
          <t>991005254719702656</t>
        </is>
      </c>
      <c r="AX40" t="inlineStr">
        <is>
          <t>991005254719702656</t>
        </is>
      </c>
      <c r="AY40" t="inlineStr">
        <is>
          <t>2261467090002656</t>
        </is>
      </c>
      <c r="AZ40" t="inlineStr">
        <is>
          <t>BOOK</t>
        </is>
      </c>
      <c r="BC40" t="inlineStr">
        <is>
          <t>32285002595469</t>
        </is>
      </c>
      <c r="BD40" t="inlineStr">
        <is>
          <t>893877205</t>
        </is>
      </c>
    </row>
    <row r="41">
      <c r="A41" t="inlineStr">
        <is>
          <t>No</t>
        </is>
      </c>
      <c r="B41" t="inlineStr">
        <is>
          <t>LA206 .C63 1974</t>
        </is>
      </c>
      <c r="C41" t="inlineStr">
        <is>
          <t>0                      LA 0206000C  63          1974</t>
        </is>
      </c>
      <c r="D41" t="inlineStr">
        <is>
          <t>A history of colonial education, 1607-1776 / [by] Sheldon S. Cohen.</t>
        </is>
      </c>
      <c r="F41" t="inlineStr">
        <is>
          <t>No</t>
        </is>
      </c>
      <c r="G41" t="inlineStr">
        <is>
          <t>1</t>
        </is>
      </c>
      <c r="H41" t="inlineStr">
        <is>
          <t>No</t>
        </is>
      </c>
      <c r="I41" t="inlineStr">
        <is>
          <t>No</t>
        </is>
      </c>
      <c r="J41" t="inlineStr">
        <is>
          <t>0</t>
        </is>
      </c>
      <c r="K41" t="inlineStr">
        <is>
          <t>Cohen, Sheldon S.</t>
        </is>
      </c>
      <c r="L41" t="inlineStr">
        <is>
          <t>New York : Wiley, [1974]</t>
        </is>
      </c>
      <c r="M41" t="inlineStr">
        <is>
          <t>1974</t>
        </is>
      </c>
      <c r="O41" t="inlineStr">
        <is>
          <t>eng</t>
        </is>
      </c>
      <c r="P41" t="inlineStr">
        <is>
          <t>nyu</t>
        </is>
      </c>
      <c r="Q41" t="inlineStr">
        <is>
          <t>Studies in the history of American education series</t>
        </is>
      </c>
      <c r="R41" t="inlineStr">
        <is>
          <t xml:space="preserve">LA </t>
        </is>
      </c>
      <c r="S41" t="n">
        <v>3</v>
      </c>
      <c r="T41" t="n">
        <v>3</v>
      </c>
      <c r="U41" t="inlineStr">
        <is>
          <t>2001-11-12</t>
        </is>
      </c>
      <c r="V41" t="inlineStr">
        <is>
          <t>2001-11-12</t>
        </is>
      </c>
      <c r="W41" t="inlineStr">
        <is>
          <t>1992-02-10</t>
        </is>
      </c>
      <c r="X41" t="inlineStr">
        <is>
          <t>1992-02-10</t>
        </is>
      </c>
      <c r="Y41" t="n">
        <v>419</v>
      </c>
      <c r="Z41" t="n">
        <v>351</v>
      </c>
      <c r="AA41" t="n">
        <v>357</v>
      </c>
      <c r="AB41" t="n">
        <v>5</v>
      </c>
      <c r="AC41" t="n">
        <v>5</v>
      </c>
      <c r="AD41" t="n">
        <v>18</v>
      </c>
      <c r="AE41" t="n">
        <v>18</v>
      </c>
      <c r="AF41" t="n">
        <v>6</v>
      </c>
      <c r="AG41" t="n">
        <v>6</v>
      </c>
      <c r="AH41" t="n">
        <v>4</v>
      </c>
      <c r="AI41" t="n">
        <v>4</v>
      </c>
      <c r="AJ41" t="n">
        <v>7</v>
      </c>
      <c r="AK41" t="n">
        <v>7</v>
      </c>
      <c r="AL41" t="n">
        <v>4</v>
      </c>
      <c r="AM41" t="n">
        <v>4</v>
      </c>
      <c r="AN41" t="n">
        <v>0</v>
      </c>
      <c r="AO41" t="n">
        <v>0</v>
      </c>
      <c r="AP41" t="inlineStr">
        <is>
          <t>No</t>
        </is>
      </c>
      <c r="AQ41" t="inlineStr">
        <is>
          <t>No</t>
        </is>
      </c>
      <c r="AS41">
        <f>HYPERLINK("https://creighton-primo.hosted.exlibrisgroup.com/primo-explore/search?tab=default_tab&amp;search_scope=EVERYTHING&amp;vid=01CRU&amp;lang=en_US&amp;offset=0&amp;query=any,contains,991003283769702656","Catalog Record")</f>
        <v/>
      </c>
      <c r="AT41">
        <f>HYPERLINK("http://www.worldcat.org/oclc/805798","WorldCat Record")</f>
        <v/>
      </c>
      <c r="AU41" t="inlineStr">
        <is>
          <t>23402742:eng</t>
        </is>
      </c>
      <c r="AV41" t="inlineStr">
        <is>
          <t>805798</t>
        </is>
      </c>
      <c r="AW41" t="inlineStr">
        <is>
          <t>991003283769702656</t>
        </is>
      </c>
      <c r="AX41" t="inlineStr">
        <is>
          <t>991003283769702656</t>
        </is>
      </c>
      <c r="AY41" t="inlineStr">
        <is>
          <t>2265364820002656</t>
        </is>
      </c>
      <c r="AZ41" t="inlineStr">
        <is>
          <t>BOOK</t>
        </is>
      </c>
      <c r="BB41" t="inlineStr">
        <is>
          <t>9780471164210</t>
        </is>
      </c>
      <c r="BC41" t="inlineStr">
        <is>
          <t>32285000954627</t>
        </is>
      </c>
      <c r="BD41" t="inlineStr">
        <is>
          <t>893805612</t>
        </is>
      </c>
    </row>
    <row r="42">
      <c r="A42" t="inlineStr">
        <is>
          <t>No</t>
        </is>
      </c>
      <c r="B42" t="inlineStr">
        <is>
          <t>LA206 .P36 1993</t>
        </is>
      </c>
      <c r="C42" t="inlineStr">
        <is>
          <t>0                      LA 0206000P  36          1993</t>
        </is>
      </c>
      <c r="D42" t="inlineStr">
        <is>
          <t>The learning of liberty : the educational ideas of the American founders / Lorraine Smith Pangle and Thomas L. Pangle.</t>
        </is>
      </c>
      <c r="F42" t="inlineStr">
        <is>
          <t>No</t>
        </is>
      </c>
      <c r="G42" t="inlineStr">
        <is>
          <t>1</t>
        </is>
      </c>
      <c r="H42" t="inlineStr">
        <is>
          <t>No</t>
        </is>
      </c>
      <c r="I42" t="inlineStr">
        <is>
          <t>No</t>
        </is>
      </c>
      <c r="J42" t="inlineStr">
        <is>
          <t>0</t>
        </is>
      </c>
      <c r="K42" t="inlineStr">
        <is>
          <t>Pangle, Lorraine Smith.</t>
        </is>
      </c>
      <c r="L42" t="inlineStr">
        <is>
          <t>Lawrence, KS : University Press of Kansas, c1993.</t>
        </is>
      </c>
      <c r="M42" t="inlineStr">
        <is>
          <t>1993</t>
        </is>
      </c>
      <c r="O42" t="inlineStr">
        <is>
          <t>eng</t>
        </is>
      </c>
      <c r="P42" t="inlineStr">
        <is>
          <t>ksu</t>
        </is>
      </c>
      <c r="Q42" t="inlineStr">
        <is>
          <t>American political thought</t>
        </is>
      </c>
      <c r="R42" t="inlineStr">
        <is>
          <t xml:space="preserve">LA </t>
        </is>
      </c>
      <c r="S42" t="n">
        <v>3</v>
      </c>
      <c r="T42" t="n">
        <v>3</v>
      </c>
      <c r="U42" t="inlineStr">
        <is>
          <t>2000-04-26</t>
        </is>
      </c>
      <c r="V42" t="inlineStr">
        <is>
          <t>2000-04-26</t>
        </is>
      </c>
      <c r="W42" t="inlineStr">
        <is>
          <t>1994-02-15</t>
        </is>
      </c>
      <c r="X42" t="inlineStr">
        <is>
          <t>1994-02-15</t>
        </is>
      </c>
      <c r="Y42" t="n">
        <v>585</v>
      </c>
      <c r="Z42" t="n">
        <v>528</v>
      </c>
      <c r="AA42" t="n">
        <v>531</v>
      </c>
      <c r="AB42" t="n">
        <v>5</v>
      </c>
      <c r="AC42" t="n">
        <v>5</v>
      </c>
      <c r="AD42" t="n">
        <v>28</v>
      </c>
      <c r="AE42" t="n">
        <v>28</v>
      </c>
      <c r="AF42" t="n">
        <v>7</v>
      </c>
      <c r="AG42" t="n">
        <v>7</v>
      </c>
      <c r="AH42" t="n">
        <v>4</v>
      </c>
      <c r="AI42" t="n">
        <v>4</v>
      </c>
      <c r="AJ42" t="n">
        <v>12</v>
      </c>
      <c r="AK42" t="n">
        <v>12</v>
      </c>
      <c r="AL42" t="n">
        <v>4</v>
      </c>
      <c r="AM42" t="n">
        <v>4</v>
      </c>
      <c r="AN42" t="n">
        <v>7</v>
      </c>
      <c r="AO42" t="n">
        <v>7</v>
      </c>
      <c r="AP42" t="inlineStr">
        <is>
          <t>No</t>
        </is>
      </c>
      <c r="AQ42" t="inlineStr">
        <is>
          <t>Yes</t>
        </is>
      </c>
      <c r="AR42">
        <f>HYPERLINK("http://catalog.hathitrust.org/Record/002647834","HathiTrust Record")</f>
        <v/>
      </c>
      <c r="AS42">
        <f>HYPERLINK("https://creighton-primo.hosted.exlibrisgroup.com/primo-explore/search?tab=default_tab&amp;search_scope=EVERYTHING&amp;vid=01CRU&amp;lang=en_US&amp;offset=0&amp;query=any,contains,991002078099702656","Catalog Record")</f>
        <v/>
      </c>
      <c r="AT42">
        <f>HYPERLINK("http://www.worldcat.org/oclc/26635130","WorldCat Record")</f>
        <v/>
      </c>
      <c r="AU42" t="inlineStr">
        <is>
          <t>29160387:eng</t>
        </is>
      </c>
      <c r="AV42" t="inlineStr">
        <is>
          <t>26635130</t>
        </is>
      </c>
      <c r="AW42" t="inlineStr">
        <is>
          <t>991002078099702656</t>
        </is>
      </c>
      <c r="AX42" t="inlineStr">
        <is>
          <t>991002078099702656</t>
        </is>
      </c>
      <c r="AY42" t="inlineStr">
        <is>
          <t>2262436870002656</t>
        </is>
      </c>
      <c r="AZ42" t="inlineStr">
        <is>
          <t>BOOK</t>
        </is>
      </c>
      <c r="BB42" t="inlineStr">
        <is>
          <t>9780700605811</t>
        </is>
      </c>
      <c r="BC42" t="inlineStr">
        <is>
          <t>32285001842706</t>
        </is>
      </c>
      <c r="BD42" t="inlineStr">
        <is>
          <t>893615663</t>
        </is>
      </c>
    </row>
    <row r="43">
      <c r="A43" t="inlineStr">
        <is>
          <t>No</t>
        </is>
      </c>
      <c r="B43" t="inlineStr">
        <is>
          <t>LA209 .P42 1991</t>
        </is>
      </c>
      <c r="C43" t="inlineStr">
        <is>
          <t>0                      LA 0209000P  42          1991</t>
        </is>
      </c>
      <c r="D43" t="inlineStr">
        <is>
          <t>The imperfect panacea : American faith in education, 1865-1990 / Henry J. Perkinson.</t>
        </is>
      </c>
      <c r="F43" t="inlineStr">
        <is>
          <t>No</t>
        </is>
      </c>
      <c r="G43" t="inlineStr">
        <is>
          <t>1</t>
        </is>
      </c>
      <c r="H43" t="inlineStr">
        <is>
          <t>No</t>
        </is>
      </c>
      <c r="I43" t="inlineStr">
        <is>
          <t>No</t>
        </is>
      </c>
      <c r="J43" t="inlineStr">
        <is>
          <t>0</t>
        </is>
      </c>
      <c r="K43" t="inlineStr">
        <is>
          <t>Perkinson, Henry J.</t>
        </is>
      </c>
      <c r="L43" t="inlineStr">
        <is>
          <t>New York : McGraw-Hill, c1991.</t>
        </is>
      </c>
      <c r="M43" t="inlineStr">
        <is>
          <t>1991</t>
        </is>
      </c>
      <c r="N43" t="inlineStr">
        <is>
          <t>3rd ed.</t>
        </is>
      </c>
      <c r="O43" t="inlineStr">
        <is>
          <t>eng</t>
        </is>
      </c>
      <c r="P43" t="inlineStr">
        <is>
          <t>nyu</t>
        </is>
      </c>
      <c r="R43" t="inlineStr">
        <is>
          <t xml:space="preserve">LA </t>
        </is>
      </c>
      <c r="S43" t="n">
        <v>4</v>
      </c>
      <c r="T43" t="n">
        <v>4</v>
      </c>
      <c r="U43" t="inlineStr">
        <is>
          <t>2002-01-24</t>
        </is>
      </c>
      <c r="V43" t="inlineStr">
        <is>
          <t>2002-01-24</t>
        </is>
      </c>
      <c r="W43" t="inlineStr">
        <is>
          <t>1991-05-09</t>
        </is>
      </c>
      <c r="X43" t="inlineStr">
        <is>
          <t>1991-05-09</t>
        </is>
      </c>
      <c r="Y43" t="n">
        <v>262</v>
      </c>
      <c r="Z43" t="n">
        <v>250</v>
      </c>
      <c r="AA43" t="n">
        <v>261</v>
      </c>
      <c r="AB43" t="n">
        <v>5</v>
      </c>
      <c r="AC43" t="n">
        <v>5</v>
      </c>
      <c r="AD43" t="n">
        <v>14</v>
      </c>
      <c r="AE43" t="n">
        <v>14</v>
      </c>
      <c r="AF43" t="n">
        <v>6</v>
      </c>
      <c r="AG43" t="n">
        <v>6</v>
      </c>
      <c r="AH43" t="n">
        <v>1</v>
      </c>
      <c r="AI43" t="n">
        <v>1</v>
      </c>
      <c r="AJ43" t="n">
        <v>7</v>
      </c>
      <c r="AK43" t="n">
        <v>7</v>
      </c>
      <c r="AL43" t="n">
        <v>3</v>
      </c>
      <c r="AM43" t="n">
        <v>3</v>
      </c>
      <c r="AN43" t="n">
        <v>0</v>
      </c>
      <c r="AO43" t="n">
        <v>0</v>
      </c>
      <c r="AP43" t="inlineStr">
        <is>
          <t>No</t>
        </is>
      </c>
      <c r="AQ43" t="inlineStr">
        <is>
          <t>No</t>
        </is>
      </c>
      <c r="AS43">
        <f>HYPERLINK("https://creighton-primo.hosted.exlibrisgroup.com/primo-explore/search?tab=default_tab&amp;search_scope=EVERYTHING&amp;vid=01CRU&amp;lang=en_US&amp;offset=0&amp;query=any,contains,991001742239702656","Catalog Record")</f>
        <v/>
      </c>
      <c r="AT43">
        <f>HYPERLINK("http://www.worldcat.org/oclc/22006076","WorldCat Record")</f>
        <v/>
      </c>
      <c r="AU43" t="inlineStr">
        <is>
          <t>9242780523:eng</t>
        </is>
      </c>
      <c r="AV43" t="inlineStr">
        <is>
          <t>22006076</t>
        </is>
      </c>
      <c r="AW43" t="inlineStr">
        <is>
          <t>991001742239702656</t>
        </is>
      </c>
      <c r="AX43" t="inlineStr">
        <is>
          <t>991001742239702656</t>
        </is>
      </c>
      <c r="AY43" t="inlineStr">
        <is>
          <t>2265086290002656</t>
        </is>
      </c>
      <c r="AZ43" t="inlineStr">
        <is>
          <t>BOOK</t>
        </is>
      </c>
      <c r="BB43" t="inlineStr">
        <is>
          <t>9780070493483</t>
        </is>
      </c>
      <c r="BC43" t="inlineStr">
        <is>
          <t>32285000571694</t>
        </is>
      </c>
      <c r="BD43" t="inlineStr">
        <is>
          <t>893696994</t>
        </is>
      </c>
    </row>
    <row r="44">
      <c r="A44" t="inlineStr">
        <is>
          <t>No</t>
        </is>
      </c>
      <c r="B44" t="inlineStr">
        <is>
          <t>LA209.2 .A76 1993</t>
        </is>
      </c>
      <c r="C44" t="inlineStr">
        <is>
          <t>0                      LA 0209200A  76          1993</t>
        </is>
      </c>
      <c r="D44" t="inlineStr">
        <is>
          <t>Education still under siege / Stanley Aronowitz and Henry A. Giroux.</t>
        </is>
      </c>
      <c r="F44" t="inlineStr">
        <is>
          <t>No</t>
        </is>
      </c>
      <c r="G44" t="inlineStr">
        <is>
          <t>1</t>
        </is>
      </c>
      <c r="H44" t="inlineStr">
        <is>
          <t>No</t>
        </is>
      </c>
      <c r="I44" t="inlineStr">
        <is>
          <t>No</t>
        </is>
      </c>
      <c r="J44" t="inlineStr">
        <is>
          <t>0</t>
        </is>
      </c>
      <c r="K44" t="inlineStr">
        <is>
          <t>Aronowitz, Stanley.</t>
        </is>
      </c>
      <c r="L44" t="inlineStr">
        <is>
          <t>Westport, Conn. : Bergin &amp; Garvey, 1993.</t>
        </is>
      </c>
      <c r="M44" t="inlineStr">
        <is>
          <t>1993</t>
        </is>
      </c>
      <c r="N44" t="inlineStr">
        <is>
          <t>2nd ed.</t>
        </is>
      </c>
      <c r="O44" t="inlineStr">
        <is>
          <t>eng</t>
        </is>
      </c>
      <c r="P44" t="inlineStr">
        <is>
          <t>ctu</t>
        </is>
      </c>
      <c r="Q44" t="inlineStr">
        <is>
          <t>Critical studies in education and culture series, 1064-8615</t>
        </is>
      </c>
      <c r="R44" t="inlineStr">
        <is>
          <t xml:space="preserve">LA </t>
        </is>
      </c>
      <c r="S44" t="n">
        <v>7</v>
      </c>
      <c r="T44" t="n">
        <v>7</v>
      </c>
      <c r="U44" t="inlineStr">
        <is>
          <t>1999-11-04</t>
        </is>
      </c>
      <c r="V44" t="inlineStr">
        <is>
          <t>1999-11-04</t>
        </is>
      </c>
      <c r="W44" t="inlineStr">
        <is>
          <t>1994-05-17</t>
        </is>
      </c>
      <c r="X44" t="inlineStr">
        <is>
          <t>1994-05-17</t>
        </is>
      </c>
      <c r="Y44" t="n">
        <v>565</v>
      </c>
      <c r="Z44" t="n">
        <v>486</v>
      </c>
      <c r="AA44" t="n">
        <v>510</v>
      </c>
      <c r="AB44" t="n">
        <v>5</v>
      </c>
      <c r="AC44" t="n">
        <v>5</v>
      </c>
      <c r="AD44" t="n">
        <v>25</v>
      </c>
      <c r="AE44" t="n">
        <v>26</v>
      </c>
      <c r="AF44" t="n">
        <v>9</v>
      </c>
      <c r="AG44" t="n">
        <v>10</v>
      </c>
      <c r="AH44" t="n">
        <v>5</v>
      </c>
      <c r="AI44" t="n">
        <v>5</v>
      </c>
      <c r="AJ44" t="n">
        <v>14</v>
      </c>
      <c r="AK44" t="n">
        <v>15</v>
      </c>
      <c r="AL44" t="n">
        <v>4</v>
      </c>
      <c r="AM44" t="n">
        <v>4</v>
      </c>
      <c r="AN44" t="n">
        <v>0</v>
      </c>
      <c r="AO44" t="n">
        <v>0</v>
      </c>
      <c r="AP44" t="inlineStr">
        <is>
          <t>No</t>
        </is>
      </c>
      <c r="AQ44" t="inlineStr">
        <is>
          <t>Yes</t>
        </is>
      </c>
      <c r="AR44">
        <f>HYPERLINK("http://catalog.hathitrust.org/Record/002710740","HathiTrust Record")</f>
        <v/>
      </c>
      <c r="AS44">
        <f>HYPERLINK("https://creighton-primo.hosted.exlibrisgroup.com/primo-explore/search?tab=default_tab&amp;search_scope=EVERYTHING&amp;vid=01CRU&amp;lang=en_US&amp;offset=0&amp;query=any,contains,991002159519702656","Catalog Record")</f>
        <v/>
      </c>
      <c r="AT44">
        <f>HYPERLINK("http://www.worldcat.org/oclc/27812577","WorldCat Record")</f>
        <v/>
      </c>
      <c r="AU44" t="inlineStr">
        <is>
          <t>3857332175:eng</t>
        </is>
      </c>
      <c r="AV44" t="inlineStr">
        <is>
          <t>27812577</t>
        </is>
      </c>
      <c r="AW44" t="inlineStr">
        <is>
          <t>991002159519702656</t>
        </is>
      </c>
      <c r="AX44" t="inlineStr">
        <is>
          <t>991002159519702656</t>
        </is>
      </c>
      <c r="AY44" t="inlineStr">
        <is>
          <t>2258239860002656</t>
        </is>
      </c>
      <c r="AZ44" t="inlineStr">
        <is>
          <t>BOOK</t>
        </is>
      </c>
      <c r="BB44" t="inlineStr">
        <is>
          <t>9780897893107</t>
        </is>
      </c>
      <c r="BC44" t="inlineStr">
        <is>
          <t>32285001896439</t>
        </is>
      </c>
      <c r="BD44" t="inlineStr">
        <is>
          <t>893238699</t>
        </is>
      </c>
    </row>
    <row r="45">
      <c r="A45" t="inlineStr">
        <is>
          <t>No</t>
        </is>
      </c>
      <c r="B45" t="inlineStr">
        <is>
          <t>LA209.2 .E237 2008</t>
        </is>
      </c>
      <c r="C45" t="inlineStr">
        <is>
          <t>0                      LA 0209200E  237         2008</t>
        </is>
      </c>
      <c r="D45" t="inlineStr">
        <is>
          <t>Education matters : exploring issues in education / [edited by] Morgan Gresham, Crystal McCage.</t>
        </is>
      </c>
      <c r="F45" t="inlineStr">
        <is>
          <t>No</t>
        </is>
      </c>
      <c r="G45" t="inlineStr">
        <is>
          <t>1</t>
        </is>
      </c>
      <c r="H45" t="inlineStr">
        <is>
          <t>No</t>
        </is>
      </c>
      <c r="I45" t="inlineStr">
        <is>
          <t>No</t>
        </is>
      </c>
      <c r="J45" t="inlineStr">
        <is>
          <t>0</t>
        </is>
      </c>
      <c r="L45" t="inlineStr">
        <is>
          <t>New York : Pearson/Longman, c2008.</t>
        </is>
      </c>
      <c r="M45" t="inlineStr">
        <is>
          <t>2008</t>
        </is>
      </c>
      <c r="O45" t="inlineStr">
        <is>
          <t>eng</t>
        </is>
      </c>
      <c r="P45" t="inlineStr">
        <is>
          <t>nyu</t>
        </is>
      </c>
      <c r="Q45" t="inlineStr">
        <is>
          <t>Longman topics reader series</t>
        </is>
      </c>
      <c r="R45" t="inlineStr">
        <is>
          <t xml:space="preserve">LA </t>
        </is>
      </c>
      <c r="S45" t="n">
        <v>2</v>
      </c>
      <c r="T45" t="n">
        <v>2</v>
      </c>
      <c r="U45" t="inlineStr">
        <is>
          <t>2009-09-27</t>
        </is>
      </c>
      <c r="V45" t="inlineStr">
        <is>
          <t>2009-09-27</t>
        </is>
      </c>
      <c r="W45" t="inlineStr">
        <is>
          <t>2008-02-22</t>
        </is>
      </c>
      <c r="X45" t="inlineStr">
        <is>
          <t>2008-02-22</t>
        </is>
      </c>
      <c r="Y45" t="n">
        <v>51</v>
      </c>
      <c r="Z45" t="n">
        <v>39</v>
      </c>
      <c r="AA45" t="n">
        <v>39</v>
      </c>
      <c r="AB45" t="n">
        <v>1</v>
      </c>
      <c r="AC45" t="n">
        <v>1</v>
      </c>
      <c r="AD45" t="n">
        <v>4</v>
      </c>
      <c r="AE45" t="n">
        <v>4</v>
      </c>
      <c r="AF45" t="n">
        <v>3</v>
      </c>
      <c r="AG45" t="n">
        <v>3</v>
      </c>
      <c r="AH45" t="n">
        <v>0</v>
      </c>
      <c r="AI45" t="n">
        <v>0</v>
      </c>
      <c r="AJ45" t="n">
        <v>4</v>
      </c>
      <c r="AK45" t="n">
        <v>4</v>
      </c>
      <c r="AL45" t="n">
        <v>0</v>
      </c>
      <c r="AM45" t="n">
        <v>0</v>
      </c>
      <c r="AN45" t="n">
        <v>0</v>
      </c>
      <c r="AO45" t="n">
        <v>0</v>
      </c>
      <c r="AP45" t="inlineStr">
        <is>
          <t>No</t>
        </is>
      </c>
      <c r="AQ45" t="inlineStr">
        <is>
          <t>No</t>
        </is>
      </c>
      <c r="AS45">
        <f>HYPERLINK("https://creighton-primo.hosted.exlibrisgroup.com/primo-explore/search?tab=default_tab&amp;search_scope=EVERYTHING&amp;vid=01CRU&amp;lang=en_US&amp;offset=0&amp;query=any,contains,991005158729702656","Catalog Record")</f>
        <v/>
      </c>
      <c r="AT45">
        <f>HYPERLINK("http://www.worldcat.org/oclc/166317515","WorldCat Record")</f>
        <v/>
      </c>
      <c r="AU45" t="inlineStr">
        <is>
          <t>9827240168:eng</t>
        </is>
      </c>
      <c r="AV45" t="inlineStr">
        <is>
          <t>166317515</t>
        </is>
      </c>
      <c r="AW45" t="inlineStr">
        <is>
          <t>991005158729702656</t>
        </is>
      </c>
      <c r="AX45" t="inlineStr">
        <is>
          <t>991005158729702656</t>
        </is>
      </c>
      <c r="AY45" t="inlineStr">
        <is>
          <t>2257464130002656</t>
        </is>
      </c>
      <c r="AZ45" t="inlineStr">
        <is>
          <t>BOOK</t>
        </is>
      </c>
      <c r="BB45" t="inlineStr">
        <is>
          <t>9780321338990</t>
        </is>
      </c>
      <c r="BC45" t="inlineStr">
        <is>
          <t>32285005393953</t>
        </is>
      </c>
      <c r="BD45" t="inlineStr">
        <is>
          <t>893694838</t>
        </is>
      </c>
    </row>
    <row r="46">
      <c r="A46" t="inlineStr">
        <is>
          <t>No</t>
        </is>
      </c>
      <c r="B46" t="inlineStr">
        <is>
          <t>LA209.2 .G87 1988</t>
        </is>
      </c>
      <c r="C46" t="inlineStr">
        <is>
          <t>0                      LA 0209200G  87          1988</t>
        </is>
      </c>
      <c r="D46" t="inlineStr">
        <is>
          <t>Education and schooling in America / Gerald L. Gutek.</t>
        </is>
      </c>
      <c r="F46" t="inlineStr">
        <is>
          <t>No</t>
        </is>
      </c>
      <c r="G46" t="inlineStr">
        <is>
          <t>1</t>
        </is>
      </c>
      <c r="H46" t="inlineStr">
        <is>
          <t>No</t>
        </is>
      </c>
      <c r="I46" t="inlineStr">
        <is>
          <t>No</t>
        </is>
      </c>
      <c r="J46" t="inlineStr">
        <is>
          <t>0</t>
        </is>
      </c>
      <c r="K46" t="inlineStr">
        <is>
          <t>Gutek, Gerald Lee.</t>
        </is>
      </c>
      <c r="L46" t="inlineStr">
        <is>
          <t>Englewood Cliffs, N.J. : Prentice-Hall, c1988.</t>
        </is>
      </c>
      <c r="M46" t="inlineStr">
        <is>
          <t>1988</t>
        </is>
      </c>
      <c r="N46" t="inlineStr">
        <is>
          <t>2nd ed.</t>
        </is>
      </c>
      <c r="O46" t="inlineStr">
        <is>
          <t>eng</t>
        </is>
      </c>
      <c r="P46" t="inlineStr">
        <is>
          <t>nju</t>
        </is>
      </c>
      <c r="R46" t="inlineStr">
        <is>
          <t xml:space="preserve">LA </t>
        </is>
      </c>
      <c r="S46" t="n">
        <v>9</v>
      </c>
      <c r="T46" t="n">
        <v>9</v>
      </c>
      <c r="U46" t="inlineStr">
        <is>
          <t>2005-05-01</t>
        </is>
      </c>
      <c r="V46" t="inlineStr">
        <is>
          <t>2005-05-01</t>
        </is>
      </c>
      <c r="W46" t="inlineStr">
        <is>
          <t>1991-12-10</t>
        </is>
      </c>
      <c r="X46" t="inlineStr">
        <is>
          <t>1991-12-10</t>
        </is>
      </c>
      <c r="Y46" t="n">
        <v>165</v>
      </c>
      <c r="Z46" t="n">
        <v>151</v>
      </c>
      <c r="AA46" t="n">
        <v>399</v>
      </c>
      <c r="AB46" t="n">
        <v>2</v>
      </c>
      <c r="AC46" t="n">
        <v>4</v>
      </c>
      <c r="AD46" t="n">
        <v>5</v>
      </c>
      <c r="AE46" t="n">
        <v>13</v>
      </c>
      <c r="AF46" t="n">
        <v>1</v>
      </c>
      <c r="AG46" t="n">
        <v>2</v>
      </c>
      <c r="AH46" t="n">
        <v>1</v>
      </c>
      <c r="AI46" t="n">
        <v>5</v>
      </c>
      <c r="AJ46" t="n">
        <v>3</v>
      </c>
      <c r="AK46" t="n">
        <v>9</v>
      </c>
      <c r="AL46" t="n">
        <v>1</v>
      </c>
      <c r="AM46" t="n">
        <v>2</v>
      </c>
      <c r="AN46" t="n">
        <v>0</v>
      </c>
      <c r="AO46" t="n">
        <v>0</v>
      </c>
      <c r="AP46" t="inlineStr">
        <is>
          <t>No</t>
        </is>
      </c>
      <c r="AQ46" t="inlineStr">
        <is>
          <t>Yes</t>
        </is>
      </c>
      <c r="AR46">
        <f>HYPERLINK("http://catalog.hathitrust.org/Record/003308855","HathiTrust Record")</f>
        <v/>
      </c>
      <c r="AS46">
        <f>HYPERLINK("https://creighton-primo.hosted.exlibrisgroup.com/primo-explore/search?tab=default_tab&amp;search_scope=EVERYTHING&amp;vid=01CRU&amp;lang=en_US&amp;offset=0&amp;query=any,contains,991001092719702656","Catalog Record")</f>
        <v/>
      </c>
      <c r="AT46">
        <f>HYPERLINK("http://www.worldcat.org/oclc/16226278","WorldCat Record")</f>
        <v/>
      </c>
      <c r="AU46" t="inlineStr">
        <is>
          <t>12251829:eng</t>
        </is>
      </c>
      <c r="AV46" t="inlineStr">
        <is>
          <t>16226278</t>
        </is>
      </c>
      <c r="AW46" t="inlineStr">
        <is>
          <t>991001092719702656</t>
        </is>
      </c>
      <c r="AX46" t="inlineStr">
        <is>
          <t>991001092719702656</t>
        </is>
      </c>
      <c r="AY46" t="inlineStr">
        <is>
          <t>2266367300002656</t>
        </is>
      </c>
      <c r="AZ46" t="inlineStr">
        <is>
          <t>BOOK</t>
        </is>
      </c>
      <c r="BB46" t="inlineStr">
        <is>
          <t>9780132403917</t>
        </is>
      </c>
      <c r="BC46" t="inlineStr">
        <is>
          <t>32285000886464</t>
        </is>
      </c>
      <c r="BD46" t="inlineStr">
        <is>
          <t>893509374</t>
        </is>
      </c>
    </row>
    <row r="47">
      <c r="A47" t="inlineStr">
        <is>
          <t>No</t>
        </is>
      </c>
      <c r="B47" t="inlineStr">
        <is>
          <t>LA209.2 .H35 1997</t>
        </is>
      </c>
      <c r="C47" t="inlineStr">
        <is>
          <t>0                      LA 0209200H  35          1997</t>
        </is>
      </c>
      <c r="D47" t="inlineStr">
        <is>
          <t>Finding the heart of the child : essays on children, families, and schools / Edward M. Hallowell, Michael G. Thompson.</t>
        </is>
      </c>
      <c r="F47" t="inlineStr">
        <is>
          <t>No</t>
        </is>
      </c>
      <c r="G47" t="inlineStr">
        <is>
          <t>1</t>
        </is>
      </c>
      <c r="H47" t="inlineStr">
        <is>
          <t>No</t>
        </is>
      </c>
      <c r="I47" t="inlineStr">
        <is>
          <t>No</t>
        </is>
      </c>
      <c r="J47" t="inlineStr">
        <is>
          <t>0</t>
        </is>
      </c>
      <c r="K47" t="inlineStr">
        <is>
          <t>Hallowell, Edward M.</t>
        </is>
      </c>
      <c r="L47" t="inlineStr">
        <is>
          <t>Washington, DC : National Association of Independent Schools, c1997.</t>
        </is>
      </c>
      <c r="M47" t="inlineStr">
        <is>
          <t>1997</t>
        </is>
      </c>
      <c r="O47" t="inlineStr">
        <is>
          <t>eng</t>
        </is>
      </c>
      <c r="P47" t="inlineStr">
        <is>
          <t>dcu</t>
        </is>
      </c>
      <c r="R47" t="inlineStr">
        <is>
          <t xml:space="preserve">LA </t>
        </is>
      </c>
      <c r="S47" t="n">
        <v>2</v>
      </c>
      <c r="T47" t="n">
        <v>2</v>
      </c>
      <c r="U47" t="inlineStr">
        <is>
          <t>2004-07-07</t>
        </is>
      </c>
      <c r="V47" t="inlineStr">
        <is>
          <t>2004-07-07</t>
        </is>
      </c>
      <c r="W47" t="inlineStr">
        <is>
          <t>1998-03-20</t>
        </is>
      </c>
      <c r="X47" t="inlineStr">
        <is>
          <t>1998-03-20</t>
        </is>
      </c>
      <c r="Y47" t="n">
        <v>19</v>
      </c>
      <c r="Z47" t="n">
        <v>18</v>
      </c>
      <c r="AA47" t="n">
        <v>47</v>
      </c>
      <c r="AB47" t="n">
        <v>1</v>
      </c>
      <c r="AC47" t="n">
        <v>1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1</v>
      </c>
      <c r="AL47" t="n">
        <v>0</v>
      </c>
      <c r="AM47" t="n">
        <v>0</v>
      </c>
      <c r="AN47" t="n">
        <v>0</v>
      </c>
      <c r="AO47" t="n">
        <v>0</v>
      </c>
      <c r="AP47" t="inlineStr">
        <is>
          <t>No</t>
        </is>
      </c>
      <c r="AQ47" t="inlineStr">
        <is>
          <t>No</t>
        </is>
      </c>
      <c r="AS47">
        <f>HYPERLINK("https://creighton-primo.hosted.exlibrisgroup.com/primo-explore/search?tab=default_tab&amp;search_scope=EVERYTHING&amp;vid=01CRU&amp;lang=en_US&amp;offset=0&amp;query=any,contains,991002889159702656","Catalog Record")</f>
        <v/>
      </c>
      <c r="AT47">
        <f>HYPERLINK("http://www.worldcat.org/oclc/38063695","WorldCat Record")</f>
        <v/>
      </c>
      <c r="AU47" t="inlineStr">
        <is>
          <t>31903315:eng</t>
        </is>
      </c>
      <c r="AV47" t="inlineStr">
        <is>
          <t>38063695</t>
        </is>
      </c>
      <c r="AW47" t="inlineStr">
        <is>
          <t>991002889159702656</t>
        </is>
      </c>
      <c r="AX47" t="inlineStr">
        <is>
          <t>991002889159702656</t>
        </is>
      </c>
      <c r="AY47" t="inlineStr">
        <is>
          <t>2262567500002656</t>
        </is>
      </c>
      <c r="AZ47" t="inlineStr">
        <is>
          <t>BOOK</t>
        </is>
      </c>
      <c r="BB47" t="inlineStr">
        <is>
          <t>9780934338929</t>
        </is>
      </c>
      <c r="BC47" t="inlineStr">
        <is>
          <t>32285003359212</t>
        </is>
      </c>
      <c r="BD47" t="inlineStr">
        <is>
          <t>893880539</t>
        </is>
      </c>
    </row>
    <row r="48">
      <c r="A48" t="inlineStr">
        <is>
          <t>No</t>
        </is>
      </c>
      <c r="B48" t="inlineStr">
        <is>
          <t>LA209.2 .H565</t>
        </is>
      </c>
      <c r="C48" t="inlineStr">
        <is>
          <t>0                      LA 0209200H  565</t>
        </is>
      </c>
      <c r="D48" t="inlineStr">
        <is>
          <t>History, education, and public policy : recovering the American educational past / edited by Donald R. Warren.</t>
        </is>
      </c>
      <c r="F48" t="inlineStr">
        <is>
          <t>No</t>
        </is>
      </c>
      <c r="G48" t="inlineStr">
        <is>
          <t>1</t>
        </is>
      </c>
      <c r="H48" t="inlineStr">
        <is>
          <t>No</t>
        </is>
      </c>
      <c r="I48" t="inlineStr">
        <is>
          <t>No</t>
        </is>
      </c>
      <c r="J48" t="inlineStr">
        <is>
          <t>0</t>
        </is>
      </c>
      <c r="L48" t="inlineStr">
        <is>
          <t>Berkeley, Calif. : McCutchan Pub. Corp., c1978.</t>
        </is>
      </c>
      <c r="M48" t="inlineStr">
        <is>
          <t>1978</t>
        </is>
      </c>
      <c r="O48" t="inlineStr">
        <is>
          <t>eng</t>
        </is>
      </c>
      <c r="P48" t="inlineStr">
        <is>
          <t>cau</t>
        </is>
      </c>
      <c r="Q48" t="inlineStr">
        <is>
          <t>Series on contemporary educational issues</t>
        </is>
      </c>
      <c r="R48" t="inlineStr">
        <is>
          <t xml:space="preserve">LA </t>
        </is>
      </c>
      <c r="S48" t="n">
        <v>4</v>
      </c>
      <c r="T48" t="n">
        <v>4</v>
      </c>
      <c r="U48" t="inlineStr">
        <is>
          <t>1998-04-13</t>
        </is>
      </c>
      <c r="V48" t="inlineStr">
        <is>
          <t>1998-04-13</t>
        </is>
      </c>
      <c r="W48" t="inlineStr">
        <is>
          <t>1992-04-14</t>
        </is>
      </c>
      <c r="X48" t="inlineStr">
        <is>
          <t>1992-04-14</t>
        </is>
      </c>
      <c r="Y48" t="n">
        <v>368</v>
      </c>
      <c r="Z48" t="n">
        <v>324</v>
      </c>
      <c r="AA48" t="n">
        <v>326</v>
      </c>
      <c r="AB48" t="n">
        <v>2</v>
      </c>
      <c r="AC48" t="n">
        <v>2</v>
      </c>
      <c r="AD48" t="n">
        <v>11</v>
      </c>
      <c r="AE48" t="n">
        <v>11</v>
      </c>
      <c r="AF48" t="n">
        <v>2</v>
      </c>
      <c r="AG48" t="n">
        <v>2</v>
      </c>
      <c r="AH48" t="n">
        <v>3</v>
      </c>
      <c r="AI48" t="n">
        <v>3</v>
      </c>
      <c r="AJ48" t="n">
        <v>9</v>
      </c>
      <c r="AK48" t="n">
        <v>9</v>
      </c>
      <c r="AL48" t="n">
        <v>1</v>
      </c>
      <c r="AM48" t="n">
        <v>1</v>
      </c>
      <c r="AN48" t="n">
        <v>0</v>
      </c>
      <c r="AO48" t="n">
        <v>0</v>
      </c>
      <c r="AP48" t="inlineStr">
        <is>
          <t>No</t>
        </is>
      </c>
      <c r="AQ48" t="inlineStr">
        <is>
          <t>Yes</t>
        </is>
      </c>
      <c r="AR48">
        <f>HYPERLINK("http://catalog.hathitrust.org/Record/000175222","HathiTrust Record")</f>
        <v/>
      </c>
      <c r="AS48">
        <f>HYPERLINK("https://creighton-primo.hosted.exlibrisgroup.com/primo-explore/search?tab=default_tab&amp;search_scope=EVERYTHING&amp;vid=01CRU&amp;lang=en_US&amp;offset=0&amp;query=any,contains,991004554419702656","Catalog Record")</f>
        <v/>
      </c>
      <c r="AT48">
        <f>HYPERLINK("http://www.worldcat.org/oclc/3961245","WorldCat Record")</f>
        <v/>
      </c>
      <c r="AU48" t="inlineStr">
        <is>
          <t>865275739:eng</t>
        </is>
      </c>
      <c r="AV48" t="inlineStr">
        <is>
          <t>3961245</t>
        </is>
      </c>
      <c r="AW48" t="inlineStr">
        <is>
          <t>991004554419702656</t>
        </is>
      </c>
      <c r="AX48" t="inlineStr">
        <is>
          <t>991004554419702656</t>
        </is>
      </c>
      <c r="AY48" t="inlineStr">
        <is>
          <t>2262935040002656</t>
        </is>
      </c>
      <c r="AZ48" t="inlineStr">
        <is>
          <t>BOOK</t>
        </is>
      </c>
      <c r="BB48" t="inlineStr">
        <is>
          <t>9780821122587</t>
        </is>
      </c>
      <c r="BC48" t="inlineStr">
        <is>
          <t>32285001060119</t>
        </is>
      </c>
      <c r="BD48" t="inlineStr">
        <is>
          <t>893500724</t>
        </is>
      </c>
    </row>
    <row r="49">
      <c r="A49" t="inlineStr">
        <is>
          <t>No</t>
        </is>
      </c>
      <c r="B49" t="inlineStr">
        <is>
          <t>LA209.2 .R38 1985</t>
        </is>
      </c>
      <c r="C49" t="inlineStr">
        <is>
          <t>0                      LA 0209200R  38          1985</t>
        </is>
      </c>
      <c r="D49" t="inlineStr">
        <is>
          <t>The schools we deserve : reflections on the educational crises of our times / Diane Ravitch.</t>
        </is>
      </c>
      <c r="F49" t="inlineStr">
        <is>
          <t>No</t>
        </is>
      </c>
      <c r="G49" t="inlineStr">
        <is>
          <t>1</t>
        </is>
      </c>
      <c r="H49" t="inlineStr">
        <is>
          <t>No</t>
        </is>
      </c>
      <c r="I49" t="inlineStr">
        <is>
          <t>No</t>
        </is>
      </c>
      <c r="J49" t="inlineStr">
        <is>
          <t>0</t>
        </is>
      </c>
      <c r="K49" t="inlineStr">
        <is>
          <t>Ravitch, Diane.</t>
        </is>
      </c>
      <c r="L49" t="inlineStr">
        <is>
          <t>New York : Basic Books, c1985.</t>
        </is>
      </c>
      <c r="M49" t="inlineStr">
        <is>
          <t>1985</t>
        </is>
      </c>
      <c r="O49" t="inlineStr">
        <is>
          <t>eng</t>
        </is>
      </c>
      <c r="P49" t="inlineStr">
        <is>
          <t>nyu</t>
        </is>
      </c>
      <c r="R49" t="inlineStr">
        <is>
          <t xml:space="preserve">LA </t>
        </is>
      </c>
      <c r="S49" t="n">
        <v>3</v>
      </c>
      <c r="T49" t="n">
        <v>3</v>
      </c>
      <c r="U49" t="inlineStr">
        <is>
          <t>1998-04-18</t>
        </is>
      </c>
      <c r="V49" t="inlineStr">
        <is>
          <t>1998-04-18</t>
        </is>
      </c>
      <c r="W49" t="inlineStr">
        <is>
          <t>1992-08-05</t>
        </is>
      </c>
      <c r="X49" t="inlineStr">
        <is>
          <t>1992-08-05</t>
        </is>
      </c>
      <c r="Y49" t="n">
        <v>1099</v>
      </c>
      <c r="Z49" t="n">
        <v>1011</v>
      </c>
      <c r="AA49" t="n">
        <v>1016</v>
      </c>
      <c r="AB49" t="n">
        <v>5</v>
      </c>
      <c r="AC49" t="n">
        <v>5</v>
      </c>
      <c r="AD49" t="n">
        <v>41</v>
      </c>
      <c r="AE49" t="n">
        <v>41</v>
      </c>
      <c r="AF49" t="n">
        <v>19</v>
      </c>
      <c r="AG49" t="n">
        <v>19</v>
      </c>
      <c r="AH49" t="n">
        <v>6</v>
      </c>
      <c r="AI49" t="n">
        <v>6</v>
      </c>
      <c r="AJ49" t="n">
        <v>23</v>
      </c>
      <c r="AK49" t="n">
        <v>23</v>
      </c>
      <c r="AL49" t="n">
        <v>4</v>
      </c>
      <c r="AM49" t="n">
        <v>4</v>
      </c>
      <c r="AN49" t="n">
        <v>0</v>
      </c>
      <c r="AO49" t="n">
        <v>0</v>
      </c>
      <c r="AP49" t="inlineStr">
        <is>
          <t>No</t>
        </is>
      </c>
      <c r="AQ49" t="inlineStr">
        <is>
          <t>Yes</t>
        </is>
      </c>
      <c r="AR49">
        <f>HYPERLINK("http://catalog.hathitrust.org/Record/000414189","HathiTrust Record")</f>
        <v/>
      </c>
      <c r="AS49">
        <f>HYPERLINK("https://creighton-primo.hosted.exlibrisgroup.com/primo-explore/search?tab=default_tab&amp;search_scope=EVERYTHING&amp;vid=01CRU&amp;lang=en_US&amp;offset=0&amp;query=any,contains,991000553529702656","Catalog Record")</f>
        <v/>
      </c>
      <c r="AT49">
        <f>HYPERLINK("http://www.worldcat.org/oclc/11548866","WorldCat Record")</f>
        <v/>
      </c>
      <c r="AU49" t="inlineStr">
        <is>
          <t>916250868:eng</t>
        </is>
      </c>
      <c r="AV49" t="inlineStr">
        <is>
          <t>11548866</t>
        </is>
      </c>
      <c r="AW49" t="inlineStr">
        <is>
          <t>991000553529702656</t>
        </is>
      </c>
      <c r="AX49" t="inlineStr">
        <is>
          <t>991000553529702656</t>
        </is>
      </c>
      <c r="AY49" t="inlineStr">
        <is>
          <t>2260010410002656</t>
        </is>
      </c>
      <c r="AZ49" t="inlineStr">
        <is>
          <t>BOOK</t>
        </is>
      </c>
      <c r="BB49" t="inlineStr">
        <is>
          <t>9780465072361</t>
        </is>
      </c>
      <c r="BC49" t="inlineStr">
        <is>
          <t>32285001232874</t>
        </is>
      </c>
      <c r="BD49" t="inlineStr">
        <is>
          <t>893790631</t>
        </is>
      </c>
    </row>
    <row r="50">
      <c r="A50" t="inlineStr">
        <is>
          <t>No</t>
        </is>
      </c>
      <c r="B50" t="inlineStr">
        <is>
          <t>LA21 .D78 1985</t>
        </is>
      </c>
      <c r="C50" t="inlineStr">
        <is>
          <t>0                      LA 0021000D  78          1985</t>
        </is>
      </c>
      <c r="D50" t="inlineStr">
        <is>
          <t>Philosophy of education in historical perspective / Adrian M. Dupuis.</t>
        </is>
      </c>
      <c r="F50" t="inlineStr">
        <is>
          <t>No</t>
        </is>
      </c>
      <c r="G50" t="inlineStr">
        <is>
          <t>1</t>
        </is>
      </c>
      <c r="H50" t="inlineStr">
        <is>
          <t>No</t>
        </is>
      </c>
      <c r="I50" t="inlineStr">
        <is>
          <t>No</t>
        </is>
      </c>
      <c r="J50" t="inlineStr">
        <is>
          <t>0</t>
        </is>
      </c>
      <c r="K50" t="inlineStr">
        <is>
          <t>Dupuis, Adrian M. (Adrian Maurice)</t>
        </is>
      </c>
      <c r="L50" t="inlineStr">
        <is>
          <t>Lanham, MD : University Press of America, c1985.</t>
        </is>
      </c>
      <c r="M50" t="inlineStr">
        <is>
          <t>1985</t>
        </is>
      </c>
      <c r="O50" t="inlineStr">
        <is>
          <t>eng</t>
        </is>
      </c>
      <c r="P50" t="inlineStr">
        <is>
          <t>mdu</t>
        </is>
      </c>
      <c r="R50" t="inlineStr">
        <is>
          <t xml:space="preserve">LA </t>
        </is>
      </c>
      <c r="S50" t="n">
        <v>6</v>
      </c>
      <c r="T50" t="n">
        <v>6</v>
      </c>
      <c r="U50" t="inlineStr">
        <is>
          <t>2002-09-04</t>
        </is>
      </c>
      <c r="V50" t="inlineStr">
        <is>
          <t>2002-09-04</t>
        </is>
      </c>
      <c r="W50" t="inlineStr">
        <is>
          <t>1997-05-22</t>
        </is>
      </c>
      <c r="X50" t="inlineStr">
        <is>
          <t>1997-05-22</t>
        </is>
      </c>
      <c r="Y50" t="n">
        <v>206</v>
      </c>
      <c r="Z50" t="n">
        <v>181</v>
      </c>
      <c r="AA50" t="n">
        <v>817</v>
      </c>
      <c r="AB50" t="n">
        <v>2</v>
      </c>
      <c r="AC50" t="n">
        <v>8</v>
      </c>
      <c r="AD50" t="n">
        <v>6</v>
      </c>
      <c r="AE50" t="n">
        <v>37</v>
      </c>
      <c r="AF50" t="n">
        <v>2</v>
      </c>
      <c r="AG50" t="n">
        <v>13</v>
      </c>
      <c r="AH50" t="n">
        <v>2</v>
      </c>
      <c r="AI50" t="n">
        <v>7</v>
      </c>
      <c r="AJ50" t="n">
        <v>4</v>
      </c>
      <c r="AK50" t="n">
        <v>17</v>
      </c>
      <c r="AL50" t="n">
        <v>1</v>
      </c>
      <c r="AM50" t="n">
        <v>7</v>
      </c>
      <c r="AN50" t="n">
        <v>0</v>
      </c>
      <c r="AO50" t="n">
        <v>0</v>
      </c>
      <c r="AP50" t="inlineStr">
        <is>
          <t>No</t>
        </is>
      </c>
      <c r="AQ50" t="inlineStr">
        <is>
          <t>No</t>
        </is>
      </c>
      <c r="AS50">
        <f>HYPERLINK("https://creighton-primo.hosted.exlibrisgroup.com/primo-explore/search?tab=default_tab&amp;search_scope=EVERYTHING&amp;vid=01CRU&amp;lang=en_US&amp;offset=0&amp;query=any,contains,991000634019702656","Catalog Record")</f>
        <v/>
      </c>
      <c r="AT50">
        <f>HYPERLINK("http://www.worldcat.org/oclc/12079021","WorldCat Record")</f>
        <v/>
      </c>
      <c r="AU50" t="inlineStr">
        <is>
          <t>1626010:eng</t>
        </is>
      </c>
      <c r="AV50" t="inlineStr">
        <is>
          <t>12079021</t>
        </is>
      </c>
      <c r="AW50" t="inlineStr">
        <is>
          <t>991000634019702656</t>
        </is>
      </c>
      <c r="AX50" t="inlineStr">
        <is>
          <t>991000634019702656</t>
        </is>
      </c>
      <c r="AY50" t="inlineStr">
        <is>
          <t>2269423260002656</t>
        </is>
      </c>
      <c r="AZ50" t="inlineStr">
        <is>
          <t>BOOK</t>
        </is>
      </c>
      <c r="BB50" t="inlineStr">
        <is>
          <t>9780819147295</t>
        </is>
      </c>
      <c r="BC50" t="inlineStr">
        <is>
          <t>32285002741287</t>
        </is>
      </c>
      <c r="BD50" t="inlineStr">
        <is>
          <t>893321211</t>
        </is>
      </c>
    </row>
    <row r="51">
      <c r="A51" t="inlineStr">
        <is>
          <t>No</t>
        </is>
      </c>
      <c r="B51" t="inlineStr">
        <is>
          <t>LA21 .G3</t>
        </is>
      </c>
      <c r="C51" t="inlineStr">
        <is>
          <t>0                      LA 0021000G  3</t>
        </is>
      </c>
      <c r="D51" t="inlineStr">
        <is>
          <t>Some philosophers on education : papers concerning the doctrines of Augustine, Aristotle, Aquinas &amp; Dewey.</t>
        </is>
      </c>
      <c r="F51" t="inlineStr">
        <is>
          <t>No</t>
        </is>
      </c>
      <c r="G51" t="inlineStr">
        <is>
          <t>2</t>
        </is>
      </c>
      <c r="H51" t="inlineStr">
        <is>
          <t>No</t>
        </is>
      </c>
      <c r="I51" t="inlineStr">
        <is>
          <t>No</t>
        </is>
      </c>
      <c r="J51" t="inlineStr">
        <is>
          <t>0</t>
        </is>
      </c>
      <c r="K51" t="inlineStr">
        <is>
          <t>Gallagher, Donald Arthur editor.</t>
        </is>
      </c>
      <c r="L51" t="inlineStr">
        <is>
          <t>[Milwaukee] : Marquette University Press, 1956.</t>
        </is>
      </c>
      <c r="M51" t="inlineStr">
        <is>
          <t>1956</t>
        </is>
      </c>
      <c r="O51" t="inlineStr">
        <is>
          <t>eng</t>
        </is>
      </c>
      <c r="P51" t="inlineStr">
        <is>
          <t>wiu</t>
        </is>
      </c>
      <c r="R51" t="inlineStr">
        <is>
          <t xml:space="preserve">LA </t>
        </is>
      </c>
      <c r="S51" t="n">
        <v>5</v>
      </c>
      <c r="T51" t="n">
        <v>5</v>
      </c>
      <c r="U51" t="inlineStr">
        <is>
          <t>1992-06-05</t>
        </is>
      </c>
      <c r="V51" t="inlineStr">
        <is>
          <t>1992-06-05</t>
        </is>
      </c>
      <c r="W51" t="inlineStr">
        <is>
          <t>1992-06-05</t>
        </is>
      </c>
      <c r="X51" t="inlineStr">
        <is>
          <t>1992-06-05</t>
        </is>
      </c>
      <c r="Y51" t="n">
        <v>306</v>
      </c>
      <c r="Z51" t="n">
        <v>268</v>
      </c>
      <c r="AA51" t="n">
        <v>271</v>
      </c>
      <c r="AB51" t="n">
        <v>4</v>
      </c>
      <c r="AC51" t="n">
        <v>4</v>
      </c>
      <c r="AD51" t="n">
        <v>29</v>
      </c>
      <c r="AE51" t="n">
        <v>29</v>
      </c>
      <c r="AF51" t="n">
        <v>8</v>
      </c>
      <c r="AG51" t="n">
        <v>8</v>
      </c>
      <c r="AH51" t="n">
        <v>5</v>
      </c>
      <c r="AI51" t="n">
        <v>5</v>
      </c>
      <c r="AJ51" t="n">
        <v>22</v>
      </c>
      <c r="AK51" t="n">
        <v>22</v>
      </c>
      <c r="AL51" t="n">
        <v>3</v>
      </c>
      <c r="AM51" t="n">
        <v>3</v>
      </c>
      <c r="AN51" t="n">
        <v>0</v>
      </c>
      <c r="AO51" t="n">
        <v>0</v>
      </c>
      <c r="AP51" t="inlineStr">
        <is>
          <t>No</t>
        </is>
      </c>
      <c r="AQ51" t="inlineStr">
        <is>
          <t>No</t>
        </is>
      </c>
      <c r="AR51">
        <f>HYPERLINK("http://catalog.hathitrust.org/Record/001279154","HathiTrust Record")</f>
        <v/>
      </c>
      <c r="AS51">
        <f>HYPERLINK("https://creighton-primo.hosted.exlibrisgroup.com/primo-explore/search?tab=default_tab&amp;search_scope=EVERYTHING&amp;vid=01CRU&amp;lang=en_US&amp;offset=0&amp;query=any,contains,991001034519702656","Catalog Record")</f>
        <v/>
      </c>
      <c r="AT51">
        <f>HYPERLINK("http://www.worldcat.org/oclc/175526","WorldCat Record")</f>
        <v/>
      </c>
      <c r="AU51" t="inlineStr">
        <is>
          <t>1308735:eng</t>
        </is>
      </c>
      <c r="AV51" t="inlineStr">
        <is>
          <t>175526</t>
        </is>
      </c>
      <c r="AW51" t="inlineStr">
        <is>
          <t>991001034519702656</t>
        </is>
      </c>
      <c r="AX51" t="inlineStr">
        <is>
          <t>991001034519702656</t>
        </is>
      </c>
      <c r="AY51" t="inlineStr">
        <is>
          <t>2265312080002656</t>
        </is>
      </c>
      <c r="AZ51" t="inlineStr">
        <is>
          <t>BOOK</t>
        </is>
      </c>
      <c r="BC51" t="inlineStr">
        <is>
          <t>32285001128635</t>
        </is>
      </c>
      <c r="BD51" t="inlineStr">
        <is>
          <t>893872231</t>
        </is>
      </c>
    </row>
    <row r="52">
      <c r="A52" t="inlineStr">
        <is>
          <t>No</t>
        </is>
      </c>
      <c r="B52" t="inlineStr">
        <is>
          <t>LA21 .G87</t>
        </is>
      </c>
      <c r="C52" t="inlineStr">
        <is>
          <t>0                      LA 0021000G  87</t>
        </is>
      </c>
      <c r="D52" t="inlineStr">
        <is>
          <t>Philosophical alternatives in education.</t>
        </is>
      </c>
      <c r="F52" t="inlineStr">
        <is>
          <t>No</t>
        </is>
      </c>
      <c r="G52" t="inlineStr">
        <is>
          <t>1</t>
        </is>
      </c>
      <c r="H52" t="inlineStr">
        <is>
          <t>No</t>
        </is>
      </c>
      <c r="I52" t="inlineStr">
        <is>
          <t>No</t>
        </is>
      </c>
      <c r="J52" t="inlineStr">
        <is>
          <t>0</t>
        </is>
      </c>
      <c r="K52" t="inlineStr">
        <is>
          <t>Gutek, Gerald Lee.</t>
        </is>
      </c>
      <c r="L52" t="inlineStr">
        <is>
          <t>Columbus, Ohio, Merrill [1974]</t>
        </is>
      </c>
      <c r="M52" t="inlineStr">
        <is>
          <t>1974</t>
        </is>
      </c>
      <c r="O52" t="inlineStr">
        <is>
          <t>eng</t>
        </is>
      </c>
      <c r="P52" t="inlineStr">
        <is>
          <t>ohu</t>
        </is>
      </c>
      <c r="Q52" t="inlineStr">
        <is>
          <t>Merrill coordinated teacher preparation series</t>
        </is>
      </c>
      <c r="R52" t="inlineStr">
        <is>
          <t xml:space="preserve">LA </t>
        </is>
      </c>
      <c r="S52" t="n">
        <v>5</v>
      </c>
      <c r="T52" t="n">
        <v>5</v>
      </c>
      <c r="U52" t="inlineStr">
        <is>
          <t>2004-11-30</t>
        </is>
      </c>
      <c r="V52" t="inlineStr">
        <is>
          <t>2004-11-30</t>
        </is>
      </c>
      <c r="W52" t="inlineStr">
        <is>
          <t>1997-04-22</t>
        </is>
      </c>
      <c r="X52" t="inlineStr">
        <is>
          <t>1997-04-22</t>
        </is>
      </c>
      <c r="Y52" t="n">
        <v>217</v>
      </c>
      <c r="Z52" t="n">
        <v>167</v>
      </c>
      <c r="AA52" t="n">
        <v>167</v>
      </c>
      <c r="AB52" t="n">
        <v>2</v>
      </c>
      <c r="AC52" t="n">
        <v>2</v>
      </c>
      <c r="AD52" t="n">
        <v>9</v>
      </c>
      <c r="AE52" t="n">
        <v>9</v>
      </c>
      <c r="AF52" t="n">
        <v>5</v>
      </c>
      <c r="AG52" t="n">
        <v>5</v>
      </c>
      <c r="AH52" t="n">
        <v>1</v>
      </c>
      <c r="AI52" t="n">
        <v>1</v>
      </c>
      <c r="AJ52" t="n">
        <v>7</v>
      </c>
      <c r="AK52" t="n">
        <v>7</v>
      </c>
      <c r="AL52" t="n">
        <v>1</v>
      </c>
      <c r="AM52" t="n">
        <v>1</v>
      </c>
      <c r="AN52" t="n">
        <v>0</v>
      </c>
      <c r="AO52" t="n">
        <v>0</v>
      </c>
      <c r="AP52" t="inlineStr">
        <is>
          <t>No</t>
        </is>
      </c>
      <c r="AQ52" t="inlineStr">
        <is>
          <t>No</t>
        </is>
      </c>
      <c r="AS52">
        <f>HYPERLINK("https://creighton-primo.hosted.exlibrisgroup.com/primo-explore/search?tab=default_tab&amp;search_scope=EVERYTHING&amp;vid=01CRU&amp;lang=en_US&amp;offset=0&amp;query=any,contains,991003298519702656","Catalog Record")</f>
        <v/>
      </c>
      <c r="AT52">
        <f>HYPERLINK("http://www.worldcat.org/oclc/821039","WorldCat Record")</f>
        <v/>
      </c>
      <c r="AU52" t="inlineStr">
        <is>
          <t>1695423:eng</t>
        </is>
      </c>
      <c r="AV52" t="inlineStr">
        <is>
          <t>821039</t>
        </is>
      </c>
      <c r="AW52" t="inlineStr">
        <is>
          <t>991003298519702656</t>
        </is>
      </c>
      <c r="AX52" t="inlineStr">
        <is>
          <t>991003298519702656</t>
        </is>
      </c>
      <c r="AY52" t="inlineStr">
        <is>
          <t>2256398920002656</t>
        </is>
      </c>
      <c r="AZ52" t="inlineStr">
        <is>
          <t>BOOK</t>
        </is>
      </c>
      <c r="BB52" t="inlineStr">
        <is>
          <t>9780675089265</t>
        </is>
      </c>
      <c r="BC52" t="inlineStr">
        <is>
          <t>32285002554821</t>
        </is>
      </c>
      <c r="BD52" t="inlineStr">
        <is>
          <t>893692576</t>
        </is>
      </c>
    </row>
    <row r="53">
      <c r="A53" t="inlineStr">
        <is>
          <t>No</t>
        </is>
      </c>
      <c r="B53" t="inlineStr">
        <is>
          <t>LA21 .O95 1986</t>
        </is>
      </c>
      <c r="C53" t="inlineStr">
        <is>
          <t>0                      LA 0021000O  95          1986</t>
        </is>
      </c>
      <c r="D53" t="inlineStr">
        <is>
          <t>Philosophical foundations of education / Howard A. Ozmon, Samuel M. Craver.</t>
        </is>
      </c>
      <c r="F53" t="inlineStr">
        <is>
          <t>No</t>
        </is>
      </c>
      <c r="G53" t="inlineStr">
        <is>
          <t>1</t>
        </is>
      </c>
      <c r="H53" t="inlineStr">
        <is>
          <t>No</t>
        </is>
      </c>
      <c r="I53" t="inlineStr">
        <is>
          <t>No</t>
        </is>
      </c>
      <c r="J53" t="inlineStr">
        <is>
          <t>0</t>
        </is>
      </c>
      <c r="K53" t="inlineStr">
        <is>
          <t>Ozmon, Howard.</t>
        </is>
      </c>
      <c r="L53" t="inlineStr">
        <is>
          <t>Columbus : Merrill Pub. Co., c1986.</t>
        </is>
      </c>
      <c r="M53" t="inlineStr">
        <is>
          <t>1986</t>
        </is>
      </c>
      <c r="N53" t="inlineStr">
        <is>
          <t>3rd ed.</t>
        </is>
      </c>
      <c r="O53" t="inlineStr">
        <is>
          <t>eng</t>
        </is>
      </c>
      <c r="P53" t="inlineStr">
        <is>
          <t>ohu</t>
        </is>
      </c>
      <c r="R53" t="inlineStr">
        <is>
          <t xml:space="preserve">LA </t>
        </is>
      </c>
      <c r="S53" t="n">
        <v>22</v>
      </c>
      <c r="T53" t="n">
        <v>22</v>
      </c>
      <c r="U53" t="inlineStr">
        <is>
          <t>2004-11-30</t>
        </is>
      </c>
      <c r="V53" t="inlineStr">
        <is>
          <t>2004-11-30</t>
        </is>
      </c>
      <c r="W53" t="inlineStr">
        <is>
          <t>1990-02-02</t>
        </is>
      </c>
      <c r="X53" t="inlineStr">
        <is>
          <t>1990-02-02</t>
        </is>
      </c>
      <c r="Y53" t="n">
        <v>248</v>
      </c>
      <c r="Z53" t="n">
        <v>178</v>
      </c>
      <c r="AA53" t="n">
        <v>788</v>
      </c>
      <c r="AB53" t="n">
        <v>1</v>
      </c>
      <c r="AC53" t="n">
        <v>4</v>
      </c>
      <c r="AD53" t="n">
        <v>6</v>
      </c>
      <c r="AE53" t="n">
        <v>35</v>
      </c>
      <c r="AF53" t="n">
        <v>4</v>
      </c>
      <c r="AG53" t="n">
        <v>18</v>
      </c>
      <c r="AH53" t="n">
        <v>1</v>
      </c>
      <c r="AI53" t="n">
        <v>8</v>
      </c>
      <c r="AJ53" t="n">
        <v>2</v>
      </c>
      <c r="AK53" t="n">
        <v>17</v>
      </c>
      <c r="AL53" t="n">
        <v>0</v>
      </c>
      <c r="AM53" t="n">
        <v>3</v>
      </c>
      <c r="AN53" t="n">
        <v>0</v>
      </c>
      <c r="AO53" t="n">
        <v>0</v>
      </c>
      <c r="AP53" t="inlineStr">
        <is>
          <t>No</t>
        </is>
      </c>
      <c r="AQ53" t="inlineStr">
        <is>
          <t>Yes</t>
        </is>
      </c>
      <c r="AR53">
        <f>HYPERLINK("http://catalog.hathitrust.org/Record/101885597","HathiTrust Record")</f>
        <v/>
      </c>
      <c r="AS53">
        <f>HYPERLINK("https://creighton-primo.hosted.exlibrisgroup.com/primo-explore/search?tab=default_tab&amp;search_scope=EVERYTHING&amp;vid=01CRU&amp;lang=en_US&amp;offset=0&amp;query=any,contains,991000814629702656","Catalog Record")</f>
        <v/>
      </c>
      <c r="AT53">
        <f>HYPERLINK("http://www.worldcat.org/oclc/13338023","WorldCat Record")</f>
        <v/>
      </c>
      <c r="AU53" t="inlineStr">
        <is>
          <t>4156361:eng</t>
        </is>
      </c>
      <c r="AV53" t="inlineStr">
        <is>
          <t>13338023</t>
        </is>
      </c>
      <c r="AW53" t="inlineStr">
        <is>
          <t>991000814629702656</t>
        </is>
      </c>
      <c r="AX53" t="inlineStr">
        <is>
          <t>991000814629702656</t>
        </is>
      </c>
      <c r="AY53" t="inlineStr">
        <is>
          <t>2260111780002656</t>
        </is>
      </c>
      <c r="AZ53" t="inlineStr">
        <is>
          <t>BOOK</t>
        </is>
      </c>
      <c r="BB53" t="inlineStr">
        <is>
          <t>9780675204583</t>
        </is>
      </c>
      <c r="BC53" t="inlineStr">
        <is>
          <t>32285000036243</t>
        </is>
      </c>
      <c r="BD53" t="inlineStr">
        <is>
          <t>893515634</t>
        </is>
      </c>
    </row>
    <row r="54">
      <c r="A54" t="inlineStr">
        <is>
          <t>No</t>
        </is>
      </c>
      <c r="B54" t="inlineStr">
        <is>
          <t>LA21 .R66</t>
        </is>
      </c>
      <c r="C54" t="inlineStr">
        <is>
          <t>0                      LA 0021000R  66</t>
        </is>
      </c>
      <c r="D54" t="inlineStr">
        <is>
          <t>Philosophic systems and education / [by] F. Bruce Rosen.</t>
        </is>
      </c>
      <c r="F54" t="inlineStr">
        <is>
          <t>No</t>
        </is>
      </c>
      <c r="G54" t="inlineStr">
        <is>
          <t>1</t>
        </is>
      </c>
      <c r="H54" t="inlineStr">
        <is>
          <t>No</t>
        </is>
      </c>
      <c r="I54" t="inlineStr">
        <is>
          <t>No</t>
        </is>
      </c>
      <c r="J54" t="inlineStr">
        <is>
          <t>0</t>
        </is>
      </c>
      <c r="K54" t="inlineStr">
        <is>
          <t>Rosen, F. Bruce.</t>
        </is>
      </c>
      <c r="L54" t="inlineStr">
        <is>
          <t>Columbus, Ohio : C. E. Merrill Pub. Co., [1968]</t>
        </is>
      </c>
      <c r="M54" t="inlineStr">
        <is>
          <t>1968</t>
        </is>
      </c>
      <c r="O54" t="inlineStr">
        <is>
          <t>eng</t>
        </is>
      </c>
      <c r="P54" t="inlineStr">
        <is>
          <t>ohu</t>
        </is>
      </c>
      <c r="Q54" t="inlineStr">
        <is>
          <t>Foundations of education series</t>
        </is>
      </c>
      <c r="R54" t="inlineStr">
        <is>
          <t xml:space="preserve">LA </t>
        </is>
      </c>
      <c r="S54" t="n">
        <v>5</v>
      </c>
      <c r="T54" t="n">
        <v>5</v>
      </c>
      <c r="U54" t="inlineStr">
        <is>
          <t>1999-11-29</t>
        </is>
      </c>
      <c r="V54" t="inlineStr">
        <is>
          <t>1999-11-29</t>
        </is>
      </c>
      <c r="W54" t="inlineStr">
        <is>
          <t>1992-09-23</t>
        </is>
      </c>
      <c r="X54" t="inlineStr">
        <is>
          <t>1992-09-23</t>
        </is>
      </c>
      <c r="Y54" t="n">
        <v>262</v>
      </c>
      <c r="Z54" t="n">
        <v>210</v>
      </c>
      <c r="AA54" t="n">
        <v>212</v>
      </c>
      <c r="AB54" t="n">
        <v>3</v>
      </c>
      <c r="AC54" t="n">
        <v>3</v>
      </c>
      <c r="AD54" t="n">
        <v>12</v>
      </c>
      <c r="AE54" t="n">
        <v>12</v>
      </c>
      <c r="AF54" t="n">
        <v>6</v>
      </c>
      <c r="AG54" t="n">
        <v>6</v>
      </c>
      <c r="AH54" t="n">
        <v>1</v>
      </c>
      <c r="AI54" t="n">
        <v>1</v>
      </c>
      <c r="AJ54" t="n">
        <v>6</v>
      </c>
      <c r="AK54" t="n">
        <v>6</v>
      </c>
      <c r="AL54" t="n">
        <v>2</v>
      </c>
      <c r="AM54" t="n">
        <v>2</v>
      </c>
      <c r="AN54" t="n">
        <v>0</v>
      </c>
      <c r="AO54" t="n">
        <v>0</v>
      </c>
      <c r="AP54" t="inlineStr">
        <is>
          <t>No</t>
        </is>
      </c>
      <c r="AQ54" t="inlineStr">
        <is>
          <t>Yes</t>
        </is>
      </c>
      <c r="AR54">
        <f>HYPERLINK("http://catalog.hathitrust.org/Record/001279164","HathiTrust Record")</f>
        <v/>
      </c>
      <c r="AS54">
        <f>HYPERLINK("https://creighton-primo.hosted.exlibrisgroup.com/primo-explore/search?tab=default_tab&amp;search_scope=EVERYTHING&amp;vid=01CRU&amp;lang=en_US&amp;offset=0&amp;query=any,contains,991001030899702656","Catalog Record")</f>
        <v/>
      </c>
      <c r="AT54">
        <f>HYPERLINK("http://www.worldcat.org/oclc/175360","WorldCat Record")</f>
        <v/>
      </c>
      <c r="AU54" t="inlineStr">
        <is>
          <t>1308198:eng</t>
        </is>
      </c>
      <c r="AV54" t="inlineStr">
        <is>
          <t>175360</t>
        </is>
      </c>
      <c r="AW54" t="inlineStr">
        <is>
          <t>991001030899702656</t>
        </is>
      </c>
      <c r="AX54" t="inlineStr">
        <is>
          <t>991001030899702656</t>
        </is>
      </c>
      <c r="AY54" t="inlineStr">
        <is>
          <t>2265292080002656</t>
        </is>
      </c>
      <c r="AZ54" t="inlineStr">
        <is>
          <t>BOOK</t>
        </is>
      </c>
      <c r="BC54" t="inlineStr">
        <is>
          <t>32285001320661</t>
        </is>
      </c>
      <c r="BD54" t="inlineStr">
        <is>
          <t>893515848</t>
        </is>
      </c>
    </row>
    <row r="55">
      <c r="A55" t="inlineStr">
        <is>
          <t>No</t>
        </is>
      </c>
      <c r="B55" t="inlineStr">
        <is>
          <t>LA21 .T38 1983</t>
        </is>
      </c>
      <c r="C55" t="inlineStr">
        <is>
          <t>0                      LA 0021000T  38          1983</t>
        </is>
      </c>
      <c r="D55" t="inlineStr">
        <is>
          <t>An introduction to the philosophy of education / Albert J. Taylor.</t>
        </is>
      </c>
      <c r="F55" t="inlineStr">
        <is>
          <t>No</t>
        </is>
      </c>
      <c r="G55" t="inlineStr">
        <is>
          <t>1</t>
        </is>
      </c>
      <c r="H55" t="inlineStr">
        <is>
          <t>No</t>
        </is>
      </c>
      <c r="I55" t="inlineStr">
        <is>
          <t>No</t>
        </is>
      </c>
      <c r="J55" t="inlineStr">
        <is>
          <t>0</t>
        </is>
      </c>
      <c r="K55" t="inlineStr">
        <is>
          <t>Taylor, Albert J.</t>
        </is>
      </c>
      <c r="L55" t="inlineStr">
        <is>
          <t>Lanham, MD : University Press of America, c1983.</t>
        </is>
      </c>
      <c r="M55" t="inlineStr">
        <is>
          <t>1983</t>
        </is>
      </c>
      <c r="O55" t="inlineStr">
        <is>
          <t>eng</t>
        </is>
      </c>
      <c r="P55" t="inlineStr">
        <is>
          <t>mdu</t>
        </is>
      </c>
      <c r="R55" t="inlineStr">
        <is>
          <t xml:space="preserve">LA </t>
        </is>
      </c>
      <c r="S55" t="n">
        <v>10</v>
      </c>
      <c r="T55" t="n">
        <v>10</v>
      </c>
      <c r="U55" t="inlineStr">
        <is>
          <t>1998-12-02</t>
        </is>
      </c>
      <c r="V55" t="inlineStr">
        <is>
          <t>1998-12-02</t>
        </is>
      </c>
      <c r="W55" t="inlineStr">
        <is>
          <t>1992-08-03</t>
        </is>
      </c>
      <c r="X55" t="inlineStr">
        <is>
          <t>1992-08-03</t>
        </is>
      </c>
      <c r="Y55" t="n">
        <v>127</v>
      </c>
      <c r="Z55" t="n">
        <v>106</v>
      </c>
      <c r="AA55" t="n">
        <v>140</v>
      </c>
      <c r="AB55" t="n">
        <v>2</v>
      </c>
      <c r="AC55" t="n">
        <v>2</v>
      </c>
      <c r="AD55" t="n">
        <v>2</v>
      </c>
      <c r="AE55" t="n">
        <v>3</v>
      </c>
      <c r="AF55" t="n">
        <v>0</v>
      </c>
      <c r="AG55" t="n">
        <v>0</v>
      </c>
      <c r="AH55" t="n">
        <v>0</v>
      </c>
      <c r="AI55" t="n">
        <v>1</v>
      </c>
      <c r="AJ55" t="n">
        <v>1</v>
      </c>
      <c r="AK55" t="n">
        <v>2</v>
      </c>
      <c r="AL55" t="n">
        <v>1</v>
      </c>
      <c r="AM55" t="n">
        <v>1</v>
      </c>
      <c r="AN55" t="n">
        <v>0</v>
      </c>
      <c r="AO55" t="n">
        <v>0</v>
      </c>
      <c r="AP55" t="inlineStr">
        <is>
          <t>No</t>
        </is>
      </c>
      <c r="AQ55" t="inlineStr">
        <is>
          <t>No</t>
        </is>
      </c>
      <c r="AS55">
        <f>HYPERLINK("https://creighton-primo.hosted.exlibrisgroup.com/primo-explore/search?tab=default_tab&amp;search_scope=EVERYTHING&amp;vid=01CRU&amp;lang=en_US&amp;offset=0&amp;query=any,contains,991000209909702656","Catalog Record")</f>
        <v/>
      </c>
      <c r="AT55">
        <f>HYPERLINK("http://www.worldcat.org/oclc/9533430","WorldCat Record")</f>
        <v/>
      </c>
      <c r="AU55" t="inlineStr">
        <is>
          <t>3768426401:eng</t>
        </is>
      </c>
      <c r="AV55" t="inlineStr">
        <is>
          <t>9533430</t>
        </is>
      </c>
      <c r="AW55" t="inlineStr">
        <is>
          <t>991000209909702656</t>
        </is>
      </c>
      <c r="AX55" t="inlineStr">
        <is>
          <t>991000209909702656</t>
        </is>
      </c>
      <c r="AY55" t="inlineStr">
        <is>
          <t>2263104880002656</t>
        </is>
      </c>
      <c r="AZ55" t="inlineStr">
        <is>
          <t>BOOK</t>
        </is>
      </c>
      <c r="BB55" t="inlineStr">
        <is>
          <t>9780819132659</t>
        </is>
      </c>
      <c r="BC55" t="inlineStr">
        <is>
          <t>32285001232510</t>
        </is>
      </c>
      <c r="BD55" t="inlineStr">
        <is>
          <t>893230967</t>
        </is>
      </c>
    </row>
    <row r="56">
      <c r="A56" t="inlineStr">
        <is>
          <t>No</t>
        </is>
      </c>
      <c r="B56" t="inlineStr">
        <is>
          <t>LA210 .B65 1997</t>
        </is>
      </c>
      <c r="C56" t="inlineStr">
        <is>
          <t>0                      LA 0210000B  65          1997</t>
        </is>
      </c>
      <c r="D56" t="inlineStr">
        <is>
          <t>Jefferson's children : education and the promise of American culture / Leon Botstein.</t>
        </is>
      </c>
      <c r="F56" t="inlineStr">
        <is>
          <t>No</t>
        </is>
      </c>
      <c r="G56" t="inlineStr">
        <is>
          <t>1</t>
        </is>
      </c>
      <c r="H56" t="inlineStr">
        <is>
          <t>No</t>
        </is>
      </c>
      <c r="I56" t="inlineStr">
        <is>
          <t>No</t>
        </is>
      </c>
      <c r="J56" t="inlineStr">
        <is>
          <t>0</t>
        </is>
      </c>
      <c r="K56" t="inlineStr">
        <is>
          <t>Botstein, Leon.</t>
        </is>
      </c>
      <c r="L56" t="inlineStr">
        <is>
          <t>New York : Doubleday, 1997.</t>
        </is>
      </c>
      <c r="M56" t="inlineStr">
        <is>
          <t>1997</t>
        </is>
      </c>
      <c r="N56" t="inlineStr">
        <is>
          <t>1st ed.</t>
        </is>
      </c>
      <c r="O56" t="inlineStr">
        <is>
          <t>eng</t>
        </is>
      </c>
      <c r="P56" t="inlineStr">
        <is>
          <t>nyu</t>
        </is>
      </c>
      <c r="R56" t="inlineStr">
        <is>
          <t xml:space="preserve">LA </t>
        </is>
      </c>
      <c r="S56" t="n">
        <v>3</v>
      </c>
      <c r="T56" t="n">
        <v>3</v>
      </c>
      <c r="U56" t="inlineStr">
        <is>
          <t>1998-12-07</t>
        </is>
      </c>
      <c r="V56" t="inlineStr">
        <is>
          <t>1998-12-07</t>
        </is>
      </c>
      <c r="W56" t="inlineStr">
        <is>
          <t>1997-12-23</t>
        </is>
      </c>
      <c r="X56" t="inlineStr">
        <is>
          <t>1997-12-23</t>
        </is>
      </c>
      <c r="Y56" t="n">
        <v>779</v>
      </c>
      <c r="Z56" t="n">
        <v>740</v>
      </c>
      <c r="AA56" t="n">
        <v>742</v>
      </c>
      <c r="AB56" t="n">
        <v>6</v>
      </c>
      <c r="AC56" t="n">
        <v>6</v>
      </c>
      <c r="AD56" t="n">
        <v>26</v>
      </c>
      <c r="AE56" t="n">
        <v>26</v>
      </c>
      <c r="AF56" t="n">
        <v>10</v>
      </c>
      <c r="AG56" t="n">
        <v>10</v>
      </c>
      <c r="AH56" t="n">
        <v>5</v>
      </c>
      <c r="AI56" t="n">
        <v>5</v>
      </c>
      <c r="AJ56" t="n">
        <v>11</v>
      </c>
      <c r="AK56" t="n">
        <v>11</v>
      </c>
      <c r="AL56" t="n">
        <v>5</v>
      </c>
      <c r="AM56" t="n">
        <v>5</v>
      </c>
      <c r="AN56" t="n">
        <v>0</v>
      </c>
      <c r="AO56" t="n">
        <v>0</v>
      </c>
      <c r="AP56" t="inlineStr">
        <is>
          <t>No</t>
        </is>
      </c>
      <c r="AQ56" t="inlineStr">
        <is>
          <t>Yes</t>
        </is>
      </c>
      <c r="AR56">
        <f>HYPERLINK("http://catalog.hathitrust.org/Record/003947088","HathiTrust Record")</f>
        <v/>
      </c>
      <c r="AS56">
        <f>HYPERLINK("https://creighton-primo.hosted.exlibrisgroup.com/primo-explore/search?tab=default_tab&amp;search_scope=EVERYTHING&amp;vid=01CRU&amp;lang=en_US&amp;offset=0&amp;query=any,contains,991002771829702656","Catalog Record")</f>
        <v/>
      </c>
      <c r="AT56">
        <f>HYPERLINK("http://www.worldcat.org/oclc/36393750","WorldCat Record")</f>
        <v/>
      </c>
      <c r="AU56" t="inlineStr">
        <is>
          <t>975303:eng</t>
        </is>
      </c>
      <c r="AV56" t="inlineStr">
        <is>
          <t>36393750</t>
        </is>
      </c>
      <c r="AW56" t="inlineStr">
        <is>
          <t>991002771829702656</t>
        </is>
      </c>
      <c r="AX56" t="inlineStr">
        <is>
          <t>991002771829702656</t>
        </is>
      </c>
      <c r="AY56" t="inlineStr">
        <is>
          <t>2261178200002656</t>
        </is>
      </c>
      <c r="AZ56" t="inlineStr">
        <is>
          <t>BOOK</t>
        </is>
      </c>
      <c r="BB56" t="inlineStr">
        <is>
          <t>9780385475556</t>
        </is>
      </c>
      <c r="BC56" t="inlineStr">
        <is>
          <t>32285003284188</t>
        </is>
      </c>
      <c r="BD56" t="inlineStr">
        <is>
          <t>893421780</t>
        </is>
      </c>
    </row>
    <row r="57">
      <c r="A57" t="inlineStr">
        <is>
          <t>No</t>
        </is>
      </c>
      <c r="B57" t="inlineStr">
        <is>
          <t>LA210 .C286 1997</t>
        </is>
      </c>
      <c r="C57" t="inlineStr">
        <is>
          <t>0                      LA 0210000C  286         1997</t>
        </is>
      </c>
      <c r="D57" t="inlineStr">
        <is>
          <t>Education on the edge of possibility / Renate Nummela Caine and Geoffrey Caine.</t>
        </is>
      </c>
      <c r="F57" t="inlineStr">
        <is>
          <t>No</t>
        </is>
      </c>
      <c r="G57" t="inlineStr">
        <is>
          <t>1</t>
        </is>
      </c>
      <c r="H57" t="inlineStr">
        <is>
          <t>No</t>
        </is>
      </c>
      <c r="I57" t="inlineStr">
        <is>
          <t>No</t>
        </is>
      </c>
      <c r="J57" t="inlineStr">
        <is>
          <t>0</t>
        </is>
      </c>
      <c r="K57" t="inlineStr">
        <is>
          <t>Caine, Renate Nummela.</t>
        </is>
      </c>
      <c r="L57" t="inlineStr">
        <is>
          <t>Alexandria, Va. : ASCD, c1997.</t>
        </is>
      </c>
      <c r="M57" t="inlineStr">
        <is>
          <t>1997</t>
        </is>
      </c>
      <c r="O57" t="inlineStr">
        <is>
          <t>eng</t>
        </is>
      </c>
      <c r="P57" t="inlineStr">
        <is>
          <t>vau</t>
        </is>
      </c>
      <c r="R57" t="inlineStr">
        <is>
          <t xml:space="preserve">LA </t>
        </is>
      </c>
      <c r="S57" t="n">
        <v>2</v>
      </c>
      <c r="T57" t="n">
        <v>2</v>
      </c>
      <c r="U57" t="inlineStr">
        <is>
          <t>1998-01-19</t>
        </is>
      </c>
      <c r="V57" t="inlineStr">
        <is>
          <t>1998-01-19</t>
        </is>
      </c>
      <c r="W57" t="inlineStr">
        <is>
          <t>1997-04-23</t>
        </is>
      </c>
      <c r="X57" t="inlineStr">
        <is>
          <t>1997-04-23</t>
        </is>
      </c>
      <c r="Y57" t="n">
        <v>949</v>
      </c>
      <c r="Z57" t="n">
        <v>847</v>
      </c>
      <c r="AA57" t="n">
        <v>860</v>
      </c>
      <c r="AB57" t="n">
        <v>8</v>
      </c>
      <c r="AC57" t="n">
        <v>8</v>
      </c>
      <c r="AD57" t="n">
        <v>31</v>
      </c>
      <c r="AE57" t="n">
        <v>33</v>
      </c>
      <c r="AF57" t="n">
        <v>13</v>
      </c>
      <c r="AG57" t="n">
        <v>14</v>
      </c>
      <c r="AH57" t="n">
        <v>5</v>
      </c>
      <c r="AI57" t="n">
        <v>6</v>
      </c>
      <c r="AJ57" t="n">
        <v>11</v>
      </c>
      <c r="AK57" t="n">
        <v>11</v>
      </c>
      <c r="AL57" t="n">
        <v>6</v>
      </c>
      <c r="AM57" t="n">
        <v>6</v>
      </c>
      <c r="AN57" t="n">
        <v>0</v>
      </c>
      <c r="AO57" t="n">
        <v>0</v>
      </c>
      <c r="AP57" t="inlineStr">
        <is>
          <t>No</t>
        </is>
      </c>
      <c r="AQ57" t="inlineStr">
        <is>
          <t>Yes</t>
        </is>
      </c>
      <c r="AR57">
        <f>HYPERLINK("http://catalog.hathitrust.org/Record/003162085","HathiTrust Record")</f>
        <v/>
      </c>
      <c r="AS57">
        <f>HYPERLINK("https://creighton-primo.hosted.exlibrisgroup.com/primo-explore/search?tab=default_tab&amp;search_scope=EVERYTHING&amp;vid=01CRU&amp;lang=en_US&amp;offset=0&amp;query=any,contains,991002765459702656","Catalog Record")</f>
        <v/>
      </c>
      <c r="AT57">
        <f>HYPERLINK("http://www.worldcat.org/oclc/36284514","WorldCat Record")</f>
        <v/>
      </c>
      <c r="AU57" t="inlineStr">
        <is>
          <t>639962:eng</t>
        </is>
      </c>
      <c r="AV57" t="inlineStr">
        <is>
          <t>36284514</t>
        </is>
      </c>
      <c r="AW57" t="inlineStr">
        <is>
          <t>991002765459702656</t>
        </is>
      </c>
      <c r="AX57" t="inlineStr">
        <is>
          <t>991002765459702656</t>
        </is>
      </c>
      <c r="AY57" t="inlineStr">
        <is>
          <t>2271030060002656</t>
        </is>
      </c>
      <c r="AZ57" t="inlineStr">
        <is>
          <t>BOOK</t>
        </is>
      </c>
      <c r="BB57" t="inlineStr">
        <is>
          <t>9780871202826</t>
        </is>
      </c>
      <c r="BC57" t="inlineStr">
        <is>
          <t>32285002540333</t>
        </is>
      </c>
      <c r="BD57" t="inlineStr">
        <is>
          <t>893867681</t>
        </is>
      </c>
    </row>
    <row r="58">
      <c r="A58" t="inlineStr">
        <is>
          <t>No</t>
        </is>
      </c>
      <c r="B58" t="inlineStr">
        <is>
          <t>LA210 .E448 1991</t>
        </is>
      </c>
      <c r="C58" t="inlineStr">
        <is>
          <t>0                      LA 0210000E  448         1991</t>
        </is>
      </c>
      <c r="D58" t="inlineStr">
        <is>
          <t>Educational planning : concepts, strategies and practices / edited by Robert V. Carlson, Gary Awkerman.</t>
        </is>
      </c>
      <c r="F58" t="inlineStr">
        <is>
          <t>No</t>
        </is>
      </c>
      <c r="G58" t="inlineStr">
        <is>
          <t>1</t>
        </is>
      </c>
      <c r="H58" t="inlineStr">
        <is>
          <t>No</t>
        </is>
      </c>
      <c r="I58" t="inlineStr">
        <is>
          <t>No</t>
        </is>
      </c>
      <c r="J58" t="inlineStr">
        <is>
          <t>0</t>
        </is>
      </c>
      <c r="L58" t="inlineStr">
        <is>
          <t>White Plains, N.Y. : Longman, c1991.</t>
        </is>
      </c>
      <c r="M58" t="inlineStr">
        <is>
          <t>1991</t>
        </is>
      </c>
      <c r="O58" t="inlineStr">
        <is>
          <t>eng</t>
        </is>
      </c>
      <c r="P58" t="inlineStr">
        <is>
          <t>nyu</t>
        </is>
      </c>
      <c r="R58" t="inlineStr">
        <is>
          <t xml:space="preserve">LA </t>
        </is>
      </c>
      <c r="S58" t="n">
        <v>5</v>
      </c>
      <c r="T58" t="n">
        <v>5</v>
      </c>
      <c r="U58" t="inlineStr">
        <is>
          <t>2001-04-03</t>
        </is>
      </c>
      <c r="V58" t="inlineStr">
        <is>
          <t>2001-04-03</t>
        </is>
      </c>
      <c r="W58" t="inlineStr">
        <is>
          <t>1990-11-05</t>
        </is>
      </c>
      <c r="X58" t="inlineStr">
        <is>
          <t>1990-11-05</t>
        </is>
      </c>
      <c r="Y58" t="n">
        <v>253</v>
      </c>
      <c r="Z58" t="n">
        <v>213</v>
      </c>
      <c r="AA58" t="n">
        <v>221</v>
      </c>
      <c r="AB58" t="n">
        <v>4</v>
      </c>
      <c r="AC58" t="n">
        <v>4</v>
      </c>
      <c r="AD58" t="n">
        <v>11</v>
      </c>
      <c r="AE58" t="n">
        <v>11</v>
      </c>
      <c r="AF58" t="n">
        <v>1</v>
      </c>
      <c r="AG58" t="n">
        <v>1</v>
      </c>
      <c r="AH58" t="n">
        <v>2</v>
      </c>
      <c r="AI58" t="n">
        <v>2</v>
      </c>
      <c r="AJ58" t="n">
        <v>8</v>
      </c>
      <c r="AK58" t="n">
        <v>8</v>
      </c>
      <c r="AL58" t="n">
        <v>3</v>
      </c>
      <c r="AM58" t="n">
        <v>3</v>
      </c>
      <c r="AN58" t="n">
        <v>0</v>
      </c>
      <c r="AO58" t="n">
        <v>0</v>
      </c>
      <c r="AP58" t="inlineStr">
        <is>
          <t>No</t>
        </is>
      </c>
      <c r="AQ58" t="inlineStr">
        <is>
          <t>Yes</t>
        </is>
      </c>
      <c r="AR58">
        <f>HYPERLINK("http://catalog.hathitrust.org/Record/002238215","HathiTrust Record")</f>
        <v/>
      </c>
      <c r="AS58">
        <f>HYPERLINK("https://creighton-primo.hosted.exlibrisgroup.com/primo-explore/search?tab=default_tab&amp;search_scope=EVERYTHING&amp;vid=01CRU&amp;lang=en_US&amp;offset=0&amp;query=any,contains,991001678289702656","Catalog Record")</f>
        <v/>
      </c>
      <c r="AT58">
        <f>HYPERLINK("http://www.worldcat.org/oclc/21335125","WorldCat Record")</f>
        <v/>
      </c>
      <c r="AU58" t="inlineStr">
        <is>
          <t>423132336:eng</t>
        </is>
      </c>
      <c r="AV58" t="inlineStr">
        <is>
          <t>21335125</t>
        </is>
      </c>
      <c r="AW58" t="inlineStr">
        <is>
          <t>991001678289702656</t>
        </is>
      </c>
      <c r="AX58" t="inlineStr">
        <is>
          <t>991001678289702656</t>
        </is>
      </c>
      <c r="AY58" t="inlineStr">
        <is>
          <t>2264107650002656</t>
        </is>
      </c>
      <c r="AZ58" t="inlineStr">
        <is>
          <t>BOOK</t>
        </is>
      </c>
      <c r="BB58" t="inlineStr">
        <is>
          <t>9780801304347</t>
        </is>
      </c>
      <c r="BC58" t="inlineStr">
        <is>
          <t>32285000312859</t>
        </is>
      </c>
      <c r="BD58" t="inlineStr">
        <is>
          <t>893715618</t>
        </is>
      </c>
    </row>
    <row r="59">
      <c r="A59" t="inlineStr">
        <is>
          <t>No</t>
        </is>
      </c>
      <c r="B59" t="inlineStr">
        <is>
          <t>LA210 .F69 1993</t>
        </is>
      </c>
      <c r="C59" t="inlineStr">
        <is>
          <t>0                      LA 0210000F  69          1993</t>
        </is>
      </c>
      <c r="D59" t="inlineStr">
        <is>
          <t>From risk to renewal : charting a course for reform / by the editors of Education Week newspaper.</t>
        </is>
      </c>
      <c r="F59" t="inlineStr">
        <is>
          <t>No</t>
        </is>
      </c>
      <c r="G59" t="inlineStr">
        <is>
          <t>1</t>
        </is>
      </c>
      <c r="H59" t="inlineStr">
        <is>
          <t>No</t>
        </is>
      </c>
      <c r="I59" t="inlineStr">
        <is>
          <t>No</t>
        </is>
      </c>
      <c r="J59" t="inlineStr">
        <is>
          <t>0</t>
        </is>
      </c>
      <c r="L59" t="inlineStr">
        <is>
          <t>Washington, D.C. : Editorial Projects in Education, c1993.</t>
        </is>
      </c>
      <c r="M59" t="inlineStr">
        <is>
          <t>1993</t>
        </is>
      </c>
      <c r="O59" t="inlineStr">
        <is>
          <t>eng</t>
        </is>
      </c>
      <c r="P59" t="inlineStr">
        <is>
          <t>dcu</t>
        </is>
      </c>
      <c r="R59" t="inlineStr">
        <is>
          <t xml:space="preserve">LA </t>
        </is>
      </c>
      <c r="S59" t="n">
        <v>6</v>
      </c>
      <c r="T59" t="n">
        <v>6</v>
      </c>
      <c r="U59" t="inlineStr">
        <is>
          <t>2009-09-27</t>
        </is>
      </c>
      <c r="V59" t="inlineStr">
        <is>
          <t>2009-09-27</t>
        </is>
      </c>
      <c r="W59" t="inlineStr">
        <is>
          <t>1994-02-11</t>
        </is>
      </c>
      <c r="X59" t="inlineStr">
        <is>
          <t>1994-02-11</t>
        </is>
      </c>
      <c r="Y59" t="n">
        <v>215</v>
      </c>
      <c r="Z59" t="n">
        <v>210</v>
      </c>
      <c r="AA59" t="n">
        <v>215</v>
      </c>
      <c r="AB59" t="n">
        <v>3</v>
      </c>
      <c r="AC59" t="n">
        <v>3</v>
      </c>
      <c r="AD59" t="n">
        <v>9</v>
      </c>
      <c r="AE59" t="n">
        <v>9</v>
      </c>
      <c r="AF59" t="n">
        <v>5</v>
      </c>
      <c r="AG59" t="n">
        <v>5</v>
      </c>
      <c r="AH59" t="n">
        <v>3</v>
      </c>
      <c r="AI59" t="n">
        <v>3</v>
      </c>
      <c r="AJ59" t="n">
        <v>3</v>
      </c>
      <c r="AK59" t="n">
        <v>3</v>
      </c>
      <c r="AL59" t="n">
        <v>0</v>
      </c>
      <c r="AM59" t="n">
        <v>0</v>
      </c>
      <c r="AN59" t="n">
        <v>0</v>
      </c>
      <c r="AO59" t="n">
        <v>0</v>
      </c>
      <c r="AP59" t="inlineStr">
        <is>
          <t>No</t>
        </is>
      </c>
      <c r="AQ59" t="inlineStr">
        <is>
          <t>No</t>
        </is>
      </c>
      <c r="AS59">
        <f>HYPERLINK("https://creighton-primo.hosted.exlibrisgroup.com/primo-explore/search?tab=default_tab&amp;search_scope=EVERYTHING&amp;vid=01CRU&amp;lang=en_US&amp;offset=0&amp;query=any,contains,991002248619702656","Catalog Record")</f>
        <v/>
      </c>
      <c r="AT59">
        <f>HYPERLINK("http://www.worldcat.org/oclc/29025202","WorldCat Record")</f>
        <v/>
      </c>
      <c r="AU59" t="inlineStr">
        <is>
          <t>31242871:eng</t>
        </is>
      </c>
      <c r="AV59" t="inlineStr">
        <is>
          <t>29025202</t>
        </is>
      </c>
      <c r="AW59" t="inlineStr">
        <is>
          <t>991002248619702656</t>
        </is>
      </c>
      <c r="AX59" t="inlineStr">
        <is>
          <t>991002248619702656</t>
        </is>
      </c>
      <c r="AY59" t="inlineStr">
        <is>
          <t>2258179750002656</t>
        </is>
      </c>
      <c r="AZ59" t="inlineStr">
        <is>
          <t>BOOK</t>
        </is>
      </c>
      <c r="BB59" t="inlineStr">
        <is>
          <t>9780963680402</t>
        </is>
      </c>
      <c r="BC59" t="inlineStr">
        <is>
          <t>32285001860567</t>
        </is>
      </c>
      <c r="BD59" t="inlineStr">
        <is>
          <t>893445052</t>
        </is>
      </c>
    </row>
    <row r="60">
      <c r="A60" t="inlineStr">
        <is>
          <t>No</t>
        </is>
      </c>
      <c r="B60" t="inlineStr">
        <is>
          <t>LA210 .G626 1997</t>
        </is>
      </c>
      <c r="C60" t="inlineStr">
        <is>
          <t>0                      LA 0210000G  626         1997</t>
        </is>
      </c>
      <c r="D60" t="inlineStr">
        <is>
          <t>In praise of education / John I. Goodlad.</t>
        </is>
      </c>
      <c r="F60" t="inlineStr">
        <is>
          <t>No</t>
        </is>
      </c>
      <c r="G60" t="inlineStr">
        <is>
          <t>1</t>
        </is>
      </c>
      <c r="H60" t="inlineStr">
        <is>
          <t>No</t>
        </is>
      </c>
      <c r="I60" t="inlineStr">
        <is>
          <t>No</t>
        </is>
      </c>
      <c r="J60" t="inlineStr">
        <is>
          <t>0</t>
        </is>
      </c>
      <c r="K60" t="inlineStr">
        <is>
          <t>Goodlad, John I.</t>
        </is>
      </c>
      <c r="L60" t="inlineStr">
        <is>
          <t>New York : Teachers College Press, c1997.</t>
        </is>
      </c>
      <c r="M60" t="inlineStr">
        <is>
          <t>1997</t>
        </is>
      </c>
      <c r="O60" t="inlineStr">
        <is>
          <t>eng</t>
        </is>
      </c>
      <c r="P60" t="inlineStr">
        <is>
          <t>nyu</t>
        </is>
      </c>
      <c r="Q60" t="inlineStr">
        <is>
          <t>The John Dewey lecture</t>
        </is>
      </c>
      <c r="R60" t="inlineStr">
        <is>
          <t xml:space="preserve">LA </t>
        </is>
      </c>
      <c r="S60" t="n">
        <v>11</v>
      </c>
      <c r="T60" t="n">
        <v>11</v>
      </c>
      <c r="U60" t="inlineStr">
        <is>
          <t>2003-02-05</t>
        </is>
      </c>
      <c r="V60" t="inlineStr">
        <is>
          <t>2003-02-05</t>
        </is>
      </c>
      <c r="W60" t="inlineStr">
        <is>
          <t>1997-07-01</t>
        </is>
      </c>
      <c r="X60" t="inlineStr">
        <is>
          <t>1997-07-01</t>
        </is>
      </c>
      <c r="Y60" t="n">
        <v>767</v>
      </c>
      <c r="Z60" t="n">
        <v>685</v>
      </c>
      <c r="AA60" t="n">
        <v>1183</v>
      </c>
      <c r="AB60" t="n">
        <v>8</v>
      </c>
      <c r="AC60" t="n">
        <v>9</v>
      </c>
      <c r="AD60" t="n">
        <v>34</v>
      </c>
      <c r="AE60" t="n">
        <v>40</v>
      </c>
      <c r="AF60" t="n">
        <v>15</v>
      </c>
      <c r="AG60" t="n">
        <v>19</v>
      </c>
      <c r="AH60" t="n">
        <v>7</v>
      </c>
      <c r="AI60" t="n">
        <v>8</v>
      </c>
      <c r="AJ60" t="n">
        <v>14</v>
      </c>
      <c r="AK60" t="n">
        <v>16</v>
      </c>
      <c r="AL60" t="n">
        <v>7</v>
      </c>
      <c r="AM60" t="n">
        <v>8</v>
      </c>
      <c r="AN60" t="n">
        <v>0</v>
      </c>
      <c r="AO60" t="n">
        <v>0</v>
      </c>
      <c r="AP60" t="inlineStr">
        <is>
          <t>No</t>
        </is>
      </c>
      <c r="AQ60" t="inlineStr">
        <is>
          <t>No</t>
        </is>
      </c>
      <c r="AS60">
        <f>HYPERLINK("https://creighton-primo.hosted.exlibrisgroup.com/primo-explore/search?tab=default_tab&amp;search_scope=EVERYTHING&amp;vid=01CRU&amp;lang=en_US&amp;offset=0&amp;query=any,contains,991002768519702656","Catalog Record")</f>
        <v/>
      </c>
      <c r="AT60">
        <f>HYPERLINK("http://www.worldcat.org/oclc/36330869","WorldCat Record")</f>
        <v/>
      </c>
      <c r="AU60" t="inlineStr">
        <is>
          <t>616550:eng</t>
        </is>
      </c>
      <c r="AV60" t="inlineStr">
        <is>
          <t>36330869</t>
        </is>
      </c>
      <c r="AW60" t="inlineStr">
        <is>
          <t>991002768519702656</t>
        </is>
      </c>
      <c r="AX60" t="inlineStr">
        <is>
          <t>991002768519702656</t>
        </is>
      </c>
      <c r="AY60" t="inlineStr">
        <is>
          <t>2272202720002656</t>
        </is>
      </c>
      <c r="AZ60" t="inlineStr">
        <is>
          <t>BOOK</t>
        </is>
      </c>
      <c r="BB60" t="inlineStr">
        <is>
          <t>9780807736203</t>
        </is>
      </c>
      <c r="BC60" t="inlineStr">
        <is>
          <t>32285002880010</t>
        </is>
      </c>
      <c r="BD60" t="inlineStr">
        <is>
          <t>893786529</t>
        </is>
      </c>
    </row>
    <row r="61">
      <c r="A61" t="inlineStr">
        <is>
          <t>No</t>
        </is>
      </c>
      <c r="B61" t="inlineStr">
        <is>
          <t>LA210 .Q3</t>
        </is>
      </c>
      <c r="C61" t="inlineStr">
        <is>
          <t>0                      LA 0210000Q  3</t>
        </is>
      </c>
      <c r="D61" t="inlineStr">
        <is>
          <t>The Quality of inequality: urban and suburban public schools. Charles U. Daly, editor.</t>
        </is>
      </c>
      <c r="F61" t="inlineStr">
        <is>
          <t>No</t>
        </is>
      </c>
      <c r="G61" t="inlineStr">
        <is>
          <t>1</t>
        </is>
      </c>
      <c r="H61" t="inlineStr">
        <is>
          <t>No</t>
        </is>
      </c>
      <c r="I61" t="inlineStr">
        <is>
          <t>No</t>
        </is>
      </c>
      <c r="J61" t="inlineStr">
        <is>
          <t>0</t>
        </is>
      </c>
      <c r="L61" t="inlineStr">
        <is>
          <t>[Chicago] The University of Chicago, Center for Policy Study [1968]</t>
        </is>
      </c>
      <c r="M61" t="inlineStr">
        <is>
          <t>1968</t>
        </is>
      </c>
      <c r="O61" t="inlineStr">
        <is>
          <t>eng</t>
        </is>
      </c>
      <c r="P61" t="inlineStr">
        <is>
          <t>ilu</t>
        </is>
      </c>
      <c r="R61" t="inlineStr">
        <is>
          <t xml:space="preserve">LA </t>
        </is>
      </c>
      <c r="S61" t="n">
        <v>2</v>
      </c>
      <c r="T61" t="n">
        <v>2</v>
      </c>
      <c r="U61" t="inlineStr">
        <is>
          <t>2006-11-28</t>
        </is>
      </c>
      <c r="V61" t="inlineStr">
        <is>
          <t>2006-11-28</t>
        </is>
      </c>
      <c r="W61" t="inlineStr">
        <is>
          <t>1997-04-22</t>
        </is>
      </c>
      <c r="X61" t="inlineStr">
        <is>
          <t>1997-04-22</t>
        </is>
      </c>
      <c r="Y61" t="n">
        <v>317</v>
      </c>
      <c r="Z61" t="n">
        <v>306</v>
      </c>
      <c r="AA61" t="n">
        <v>308</v>
      </c>
      <c r="AB61" t="n">
        <v>5</v>
      </c>
      <c r="AC61" t="n">
        <v>5</v>
      </c>
      <c r="AD61" t="n">
        <v>21</v>
      </c>
      <c r="AE61" t="n">
        <v>21</v>
      </c>
      <c r="AF61" t="n">
        <v>7</v>
      </c>
      <c r="AG61" t="n">
        <v>7</v>
      </c>
      <c r="AH61" t="n">
        <v>5</v>
      </c>
      <c r="AI61" t="n">
        <v>5</v>
      </c>
      <c r="AJ61" t="n">
        <v>6</v>
      </c>
      <c r="AK61" t="n">
        <v>6</v>
      </c>
      <c r="AL61" t="n">
        <v>4</v>
      </c>
      <c r="AM61" t="n">
        <v>4</v>
      </c>
      <c r="AN61" t="n">
        <v>2</v>
      </c>
      <c r="AO61" t="n">
        <v>2</v>
      </c>
      <c r="AP61" t="inlineStr">
        <is>
          <t>No</t>
        </is>
      </c>
      <c r="AQ61" t="inlineStr">
        <is>
          <t>No</t>
        </is>
      </c>
      <c r="AS61">
        <f>HYPERLINK("https://creighton-primo.hosted.exlibrisgroup.com/primo-explore/search?tab=default_tab&amp;search_scope=EVERYTHING&amp;vid=01CRU&amp;lang=en_US&amp;offset=0&amp;query=any,contains,991001047229702656","Catalog Record")</f>
        <v/>
      </c>
      <c r="AT61">
        <f>HYPERLINK("http://www.worldcat.org/oclc/176426","WorldCat Record")</f>
        <v/>
      </c>
      <c r="AU61" t="inlineStr">
        <is>
          <t>1311198:eng</t>
        </is>
      </c>
      <c r="AV61" t="inlineStr">
        <is>
          <t>176426</t>
        </is>
      </c>
      <c r="AW61" t="inlineStr">
        <is>
          <t>991001047229702656</t>
        </is>
      </c>
      <c r="AX61" t="inlineStr">
        <is>
          <t>991001047229702656</t>
        </is>
      </c>
      <c r="AY61" t="inlineStr">
        <is>
          <t>2267904680002656</t>
        </is>
      </c>
      <c r="AZ61" t="inlineStr">
        <is>
          <t>BOOK</t>
        </is>
      </c>
      <c r="BC61" t="inlineStr">
        <is>
          <t>32285002595865</t>
        </is>
      </c>
      <c r="BD61" t="inlineStr">
        <is>
          <t>893602276</t>
        </is>
      </c>
    </row>
    <row r="62">
      <c r="A62" t="inlineStr">
        <is>
          <t>No</t>
        </is>
      </c>
      <c r="B62" t="inlineStr">
        <is>
          <t>LA210 .S27</t>
        </is>
      </c>
      <c r="C62" t="inlineStr">
        <is>
          <t>0                      LA 0210000S  27</t>
        </is>
      </c>
      <c r="D62" t="inlineStr">
        <is>
          <t>Teachers make the difference : an introduction to education / Myra Pollack Sadker, David Miller Sadker.</t>
        </is>
      </c>
      <c r="F62" t="inlineStr">
        <is>
          <t>No</t>
        </is>
      </c>
      <c r="G62" t="inlineStr">
        <is>
          <t>1</t>
        </is>
      </c>
      <c r="H62" t="inlineStr">
        <is>
          <t>No</t>
        </is>
      </c>
      <c r="I62" t="inlineStr">
        <is>
          <t>No</t>
        </is>
      </c>
      <c r="J62" t="inlineStr">
        <is>
          <t>0</t>
        </is>
      </c>
      <c r="K62" t="inlineStr">
        <is>
          <t>Sadker, Myra Pollack.</t>
        </is>
      </c>
      <c r="L62" t="inlineStr">
        <is>
          <t>New York : Harper &amp; Row, c1980.</t>
        </is>
      </c>
      <c r="M62" t="inlineStr">
        <is>
          <t>1980</t>
        </is>
      </c>
      <c r="O62" t="inlineStr">
        <is>
          <t>eng</t>
        </is>
      </c>
      <c r="P62" t="inlineStr">
        <is>
          <t>nyu</t>
        </is>
      </c>
      <c r="R62" t="inlineStr">
        <is>
          <t xml:space="preserve">LA </t>
        </is>
      </c>
      <c r="S62" t="n">
        <v>15</v>
      </c>
      <c r="T62" t="n">
        <v>15</v>
      </c>
      <c r="U62" t="inlineStr">
        <is>
          <t>2008-04-13</t>
        </is>
      </c>
      <c r="V62" t="inlineStr">
        <is>
          <t>2008-04-13</t>
        </is>
      </c>
      <c r="W62" t="inlineStr">
        <is>
          <t>1992-08-05</t>
        </is>
      </c>
      <c r="X62" t="inlineStr">
        <is>
          <t>1992-08-05</t>
        </is>
      </c>
      <c r="Y62" t="n">
        <v>228</v>
      </c>
      <c r="Z62" t="n">
        <v>169</v>
      </c>
      <c r="AA62" t="n">
        <v>174</v>
      </c>
      <c r="AB62" t="n">
        <v>3</v>
      </c>
      <c r="AC62" t="n">
        <v>3</v>
      </c>
      <c r="AD62" t="n">
        <v>7</v>
      </c>
      <c r="AE62" t="n">
        <v>7</v>
      </c>
      <c r="AF62" t="n">
        <v>4</v>
      </c>
      <c r="AG62" t="n">
        <v>4</v>
      </c>
      <c r="AH62" t="n">
        <v>0</v>
      </c>
      <c r="AI62" t="n">
        <v>0</v>
      </c>
      <c r="AJ62" t="n">
        <v>3</v>
      </c>
      <c r="AK62" t="n">
        <v>3</v>
      </c>
      <c r="AL62" t="n">
        <v>2</v>
      </c>
      <c r="AM62" t="n">
        <v>2</v>
      </c>
      <c r="AN62" t="n">
        <v>0</v>
      </c>
      <c r="AO62" t="n">
        <v>0</v>
      </c>
      <c r="AP62" t="inlineStr">
        <is>
          <t>No</t>
        </is>
      </c>
      <c r="AQ62" t="inlineStr">
        <is>
          <t>No</t>
        </is>
      </c>
      <c r="AS62">
        <f>HYPERLINK("https://creighton-primo.hosted.exlibrisgroup.com/primo-explore/search?tab=default_tab&amp;search_scope=EVERYTHING&amp;vid=01CRU&amp;lang=en_US&amp;offset=0&amp;query=any,contains,991004836129702656","Catalog Record")</f>
        <v/>
      </c>
      <c r="AT62">
        <f>HYPERLINK("http://www.worldcat.org/oclc/5449150","WorldCat Record")</f>
        <v/>
      </c>
      <c r="AU62" t="inlineStr">
        <is>
          <t>945391931:eng</t>
        </is>
      </c>
      <c r="AV62" t="inlineStr">
        <is>
          <t>5449150</t>
        </is>
      </c>
      <c r="AW62" t="inlineStr">
        <is>
          <t>991004836129702656</t>
        </is>
      </c>
      <c r="AX62" t="inlineStr">
        <is>
          <t>991004836129702656</t>
        </is>
      </c>
      <c r="AY62" t="inlineStr">
        <is>
          <t>2255903990002656</t>
        </is>
      </c>
      <c r="AZ62" t="inlineStr">
        <is>
          <t>BOOK</t>
        </is>
      </c>
      <c r="BB62" t="inlineStr">
        <is>
          <t>9780060456955</t>
        </is>
      </c>
      <c r="BC62" t="inlineStr">
        <is>
          <t>32285001232973</t>
        </is>
      </c>
      <c r="BD62" t="inlineStr">
        <is>
          <t>893700734</t>
        </is>
      </c>
    </row>
    <row r="63">
      <c r="A63" t="inlineStr">
        <is>
          <t>No</t>
        </is>
      </c>
      <c r="B63" t="inlineStr">
        <is>
          <t>LA210 .S343 1995</t>
        </is>
      </c>
      <c r="C63" t="inlineStr">
        <is>
          <t>0                      LA 0210000S  343         1995</t>
        </is>
      </c>
      <c r="D63" t="inlineStr">
        <is>
          <t>School change : the personal development of a point of view / Seymour B. Sarason.</t>
        </is>
      </c>
      <c r="F63" t="inlineStr">
        <is>
          <t>No</t>
        </is>
      </c>
      <c r="G63" t="inlineStr">
        <is>
          <t>1</t>
        </is>
      </c>
      <c r="H63" t="inlineStr">
        <is>
          <t>No</t>
        </is>
      </c>
      <c r="I63" t="inlineStr">
        <is>
          <t>No</t>
        </is>
      </c>
      <c r="J63" t="inlineStr">
        <is>
          <t>0</t>
        </is>
      </c>
      <c r="K63" t="inlineStr">
        <is>
          <t>Sarason, Seymour Bernard, 1919-2010.</t>
        </is>
      </c>
      <c r="L63" t="inlineStr">
        <is>
          <t>New York : Teachers College Press, Teachers College, Columbia University, c1995.</t>
        </is>
      </c>
      <c r="M63" t="inlineStr">
        <is>
          <t>1995</t>
        </is>
      </c>
      <c r="O63" t="inlineStr">
        <is>
          <t>eng</t>
        </is>
      </c>
      <c r="P63" t="inlineStr">
        <is>
          <t>nyu</t>
        </is>
      </c>
      <c r="Q63" t="inlineStr">
        <is>
          <t>The series on school reform</t>
        </is>
      </c>
      <c r="R63" t="inlineStr">
        <is>
          <t xml:space="preserve">LA </t>
        </is>
      </c>
      <c r="S63" t="n">
        <v>5</v>
      </c>
      <c r="T63" t="n">
        <v>5</v>
      </c>
      <c r="U63" t="inlineStr">
        <is>
          <t>2003-03-29</t>
        </is>
      </c>
      <c r="V63" t="inlineStr">
        <is>
          <t>2003-03-29</t>
        </is>
      </c>
      <c r="W63" t="inlineStr">
        <is>
          <t>1995-11-03</t>
        </is>
      </c>
      <c r="X63" t="inlineStr">
        <is>
          <t>1995-11-03</t>
        </is>
      </c>
      <c r="Y63" t="n">
        <v>415</v>
      </c>
      <c r="Z63" t="n">
        <v>370</v>
      </c>
      <c r="AA63" t="n">
        <v>376</v>
      </c>
      <c r="AB63" t="n">
        <v>5</v>
      </c>
      <c r="AC63" t="n">
        <v>5</v>
      </c>
      <c r="AD63" t="n">
        <v>23</v>
      </c>
      <c r="AE63" t="n">
        <v>23</v>
      </c>
      <c r="AF63" t="n">
        <v>11</v>
      </c>
      <c r="AG63" t="n">
        <v>11</v>
      </c>
      <c r="AH63" t="n">
        <v>2</v>
      </c>
      <c r="AI63" t="n">
        <v>2</v>
      </c>
      <c r="AJ63" t="n">
        <v>13</v>
      </c>
      <c r="AK63" t="n">
        <v>13</v>
      </c>
      <c r="AL63" t="n">
        <v>4</v>
      </c>
      <c r="AM63" t="n">
        <v>4</v>
      </c>
      <c r="AN63" t="n">
        <v>0</v>
      </c>
      <c r="AO63" t="n">
        <v>0</v>
      </c>
      <c r="AP63" t="inlineStr">
        <is>
          <t>No</t>
        </is>
      </c>
      <c r="AQ63" t="inlineStr">
        <is>
          <t>No</t>
        </is>
      </c>
      <c r="AS63">
        <f>HYPERLINK("https://creighton-primo.hosted.exlibrisgroup.com/primo-explore/search?tab=default_tab&amp;search_scope=EVERYTHING&amp;vid=01CRU&amp;lang=en_US&amp;offset=0&amp;query=any,contains,991002423949702656","Catalog Record")</f>
        <v/>
      </c>
      <c r="AT63">
        <f>HYPERLINK("http://www.worldcat.org/oclc/31606319","WorldCat Record")</f>
        <v/>
      </c>
      <c r="AU63" t="inlineStr">
        <is>
          <t>906329959:eng</t>
        </is>
      </c>
      <c r="AV63" t="inlineStr">
        <is>
          <t>31606319</t>
        </is>
      </c>
      <c r="AW63" t="inlineStr">
        <is>
          <t>991002423949702656</t>
        </is>
      </c>
      <c r="AX63" t="inlineStr">
        <is>
          <t>991002423949702656</t>
        </is>
      </c>
      <c r="AY63" t="inlineStr">
        <is>
          <t>2262717030002656</t>
        </is>
      </c>
      <c r="AZ63" t="inlineStr">
        <is>
          <t>BOOK</t>
        </is>
      </c>
      <c r="BB63" t="inlineStr">
        <is>
          <t>9780807734483</t>
        </is>
      </c>
      <c r="BC63" t="inlineStr">
        <is>
          <t>32285002100849</t>
        </is>
      </c>
      <c r="BD63" t="inlineStr">
        <is>
          <t>893427585</t>
        </is>
      </c>
    </row>
    <row r="64">
      <c r="A64" t="inlineStr">
        <is>
          <t>No</t>
        </is>
      </c>
      <c r="B64" t="inlineStr">
        <is>
          <t>LA210 .S67</t>
        </is>
      </c>
      <c r="C64" t="inlineStr">
        <is>
          <t>0                      LA 0210000S  67</t>
        </is>
      </c>
      <c r="D64" t="inlineStr">
        <is>
          <t>Educating the worker-citizen : the social, economic, and political foundations of education / Joel Spring.</t>
        </is>
      </c>
      <c r="F64" t="inlineStr">
        <is>
          <t>No</t>
        </is>
      </c>
      <c r="G64" t="inlineStr">
        <is>
          <t>1</t>
        </is>
      </c>
      <c r="H64" t="inlineStr">
        <is>
          <t>No</t>
        </is>
      </c>
      <c r="I64" t="inlineStr">
        <is>
          <t>No</t>
        </is>
      </c>
      <c r="J64" t="inlineStr">
        <is>
          <t>0</t>
        </is>
      </c>
      <c r="K64" t="inlineStr">
        <is>
          <t>Spring, Joel H.</t>
        </is>
      </c>
      <c r="L64" t="inlineStr">
        <is>
          <t>New York : Longman, c1980.</t>
        </is>
      </c>
      <c r="M64" t="inlineStr">
        <is>
          <t>1980</t>
        </is>
      </c>
      <c r="O64" t="inlineStr">
        <is>
          <t>eng</t>
        </is>
      </c>
      <c r="P64" t="inlineStr">
        <is>
          <t>nyu</t>
        </is>
      </c>
      <c r="R64" t="inlineStr">
        <is>
          <t xml:space="preserve">LA </t>
        </is>
      </c>
      <c r="S64" t="n">
        <v>1</v>
      </c>
      <c r="T64" t="n">
        <v>1</v>
      </c>
      <c r="U64" t="inlineStr">
        <is>
          <t>2006-10-11</t>
        </is>
      </c>
      <c r="V64" t="inlineStr">
        <is>
          <t>2006-10-11</t>
        </is>
      </c>
      <c r="W64" t="inlineStr">
        <is>
          <t>1992-08-05</t>
        </is>
      </c>
      <c r="X64" t="inlineStr">
        <is>
          <t>1992-08-05</t>
        </is>
      </c>
      <c r="Y64" t="n">
        <v>454</v>
      </c>
      <c r="Z64" t="n">
        <v>361</v>
      </c>
      <c r="AA64" t="n">
        <v>363</v>
      </c>
      <c r="AB64" t="n">
        <v>3</v>
      </c>
      <c r="AC64" t="n">
        <v>3</v>
      </c>
      <c r="AD64" t="n">
        <v>13</v>
      </c>
      <c r="AE64" t="n">
        <v>13</v>
      </c>
      <c r="AF64" t="n">
        <v>3</v>
      </c>
      <c r="AG64" t="n">
        <v>3</v>
      </c>
      <c r="AH64" t="n">
        <v>3</v>
      </c>
      <c r="AI64" t="n">
        <v>3</v>
      </c>
      <c r="AJ64" t="n">
        <v>7</v>
      </c>
      <c r="AK64" t="n">
        <v>7</v>
      </c>
      <c r="AL64" t="n">
        <v>2</v>
      </c>
      <c r="AM64" t="n">
        <v>2</v>
      </c>
      <c r="AN64" t="n">
        <v>0</v>
      </c>
      <c r="AO64" t="n">
        <v>0</v>
      </c>
      <c r="AP64" t="inlineStr">
        <is>
          <t>No</t>
        </is>
      </c>
      <c r="AQ64" t="inlineStr">
        <is>
          <t>Yes</t>
        </is>
      </c>
      <c r="AR64">
        <f>HYPERLINK("http://catalog.hathitrust.org/Record/000128710","HathiTrust Record")</f>
        <v/>
      </c>
      <c r="AS64">
        <f>HYPERLINK("https://creighton-primo.hosted.exlibrisgroup.com/primo-explore/search?tab=default_tab&amp;search_scope=EVERYTHING&amp;vid=01CRU&amp;lang=en_US&amp;offset=0&amp;query=any,contains,991004802139702656","Catalog Record")</f>
        <v/>
      </c>
      <c r="AT64">
        <f>HYPERLINK("http://www.worldcat.org/oclc/5219520","WorldCat Record")</f>
        <v/>
      </c>
      <c r="AU64" t="inlineStr">
        <is>
          <t>292074984:eng</t>
        </is>
      </c>
      <c r="AV64" t="inlineStr">
        <is>
          <t>5219520</t>
        </is>
      </c>
      <c r="AW64" t="inlineStr">
        <is>
          <t>991004802139702656</t>
        </is>
      </c>
      <c r="AX64" t="inlineStr">
        <is>
          <t>991004802139702656</t>
        </is>
      </c>
      <c r="AY64" t="inlineStr">
        <is>
          <t>2268399360002656</t>
        </is>
      </c>
      <c r="AZ64" t="inlineStr">
        <is>
          <t>BOOK</t>
        </is>
      </c>
      <c r="BB64" t="inlineStr">
        <is>
          <t>9780582280755</t>
        </is>
      </c>
      <c r="BC64" t="inlineStr">
        <is>
          <t>32285001232999</t>
        </is>
      </c>
      <c r="BD64" t="inlineStr">
        <is>
          <t>893876596</t>
        </is>
      </c>
    </row>
    <row r="65">
      <c r="A65" t="inlineStr">
        <is>
          <t>No</t>
        </is>
      </c>
      <c r="B65" t="inlineStr">
        <is>
          <t>LA212 .A37</t>
        </is>
      </c>
      <c r="C65" t="inlineStr">
        <is>
          <t>0                      LA 0212000A  37</t>
        </is>
      </c>
      <c r="D65" t="inlineStr">
        <is>
          <t>Reforming education : the schooling of a people and their education beyond schooling / Mortimer J. Adler ; with a foreword by Maurice B. Mitchell.</t>
        </is>
      </c>
      <c r="F65" t="inlineStr">
        <is>
          <t>No</t>
        </is>
      </c>
      <c r="G65" t="inlineStr">
        <is>
          <t>1</t>
        </is>
      </c>
      <c r="H65" t="inlineStr">
        <is>
          <t>No</t>
        </is>
      </c>
      <c r="I65" t="inlineStr">
        <is>
          <t>No</t>
        </is>
      </c>
      <c r="J65" t="inlineStr">
        <is>
          <t>0</t>
        </is>
      </c>
      <c r="K65" t="inlineStr">
        <is>
          <t>Adler, Mortimer Jerome, 1902-2001.</t>
        </is>
      </c>
      <c r="L65" t="inlineStr">
        <is>
          <t>Boulder, Colo. : Westview Press, c1977.</t>
        </is>
      </c>
      <c r="M65" t="inlineStr">
        <is>
          <t>1977</t>
        </is>
      </c>
      <c r="O65" t="inlineStr">
        <is>
          <t>eng</t>
        </is>
      </c>
      <c r="P65" t="inlineStr">
        <is>
          <t>cou</t>
        </is>
      </c>
      <c r="R65" t="inlineStr">
        <is>
          <t xml:space="preserve">LA </t>
        </is>
      </c>
      <c r="S65" t="n">
        <v>6</v>
      </c>
      <c r="T65" t="n">
        <v>6</v>
      </c>
      <c r="U65" t="inlineStr">
        <is>
          <t>2007-07-20</t>
        </is>
      </c>
      <c r="V65" t="inlineStr">
        <is>
          <t>2007-07-20</t>
        </is>
      </c>
      <c r="W65" t="inlineStr">
        <is>
          <t>1997-04-22</t>
        </is>
      </c>
      <c r="X65" t="inlineStr">
        <is>
          <t>1997-04-22</t>
        </is>
      </c>
      <c r="Y65" t="n">
        <v>414</v>
      </c>
      <c r="Z65" t="n">
        <v>366</v>
      </c>
      <c r="AA65" t="n">
        <v>367</v>
      </c>
      <c r="AB65" t="n">
        <v>5</v>
      </c>
      <c r="AC65" t="n">
        <v>5</v>
      </c>
      <c r="AD65" t="n">
        <v>21</v>
      </c>
      <c r="AE65" t="n">
        <v>21</v>
      </c>
      <c r="AF65" t="n">
        <v>9</v>
      </c>
      <c r="AG65" t="n">
        <v>9</v>
      </c>
      <c r="AH65" t="n">
        <v>4</v>
      </c>
      <c r="AI65" t="n">
        <v>4</v>
      </c>
      <c r="AJ65" t="n">
        <v>11</v>
      </c>
      <c r="AK65" t="n">
        <v>11</v>
      </c>
      <c r="AL65" t="n">
        <v>3</v>
      </c>
      <c r="AM65" t="n">
        <v>3</v>
      </c>
      <c r="AN65" t="n">
        <v>0</v>
      </c>
      <c r="AO65" t="n">
        <v>0</v>
      </c>
      <c r="AP65" t="inlineStr">
        <is>
          <t>No</t>
        </is>
      </c>
      <c r="AQ65" t="inlineStr">
        <is>
          <t>Yes</t>
        </is>
      </c>
      <c r="AR65">
        <f>HYPERLINK("http://catalog.hathitrust.org/Record/007406531","HathiTrust Record")</f>
        <v/>
      </c>
      <c r="AS65">
        <f>HYPERLINK("https://creighton-primo.hosted.exlibrisgroup.com/primo-explore/search?tab=default_tab&amp;search_scope=EVERYTHING&amp;vid=01CRU&amp;lang=en_US&amp;offset=0&amp;query=any,contains,991004384389702656","Catalog Record")</f>
        <v/>
      </c>
      <c r="AT65">
        <f>HYPERLINK("http://www.worldcat.org/oclc/3239595","WorldCat Record")</f>
        <v/>
      </c>
      <c r="AU65" t="inlineStr">
        <is>
          <t>197796298:eng</t>
        </is>
      </c>
      <c r="AV65" t="inlineStr">
        <is>
          <t>3239595</t>
        </is>
      </c>
      <c r="AW65" t="inlineStr">
        <is>
          <t>991004384389702656</t>
        </is>
      </c>
      <c r="AX65" t="inlineStr">
        <is>
          <t>991004384389702656</t>
        </is>
      </c>
      <c r="AY65" t="inlineStr">
        <is>
          <t>2256753110002656</t>
        </is>
      </c>
      <c r="AZ65" t="inlineStr">
        <is>
          <t>BOOK</t>
        </is>
      </c>
      <c r="BB65" t="inlineStr">
        <is>
          <t>9780891584261</t>
        </is>
      </c>
      <c r="BC65" t="inlineStr">
        <is>
          <t>32285002595923</t>
        </is>
      </c>
      <c r="BD65" t="inlineStr">
        <is>
          <t>893882414</t>
        </is>
      </c>
    </row>
    <row r="66">
      <c r="A66" t="inlineStr">
        <is>
          <t>No</t>
        </is>
      </c>
      <c r="B66" t="inlineStr">
        <is>
          <t>LA212 .A45</t>
        </is>
      </c>
      <c r="C66" t="inlineStr">
        <is>
          <t>0                      LA 0212000A  45</t>
        </is>
      </c>
      <c r="D66" t="inlineStr">
        <is>
          <t>American education: the task and the teacher [by] John H. Johansen [and others]</t>
        </is>
      </c>
      <c r="F66" t="inlineStr">
        <is>
          <t>No</t>
        </is>
      </c>
      <c r="G66" t="inlineStr">
        <is>
          <t>1</t>
        </is>
      </c>
      <c r="H66" t="inlineStr">
        <is>
          <t>No</t>
        </is>
      </c>
      <c r="I66" t="inlineStr">
        <is>
          <t>No</t>
        </is>
      </c>
      <c r="J66" t="inlineStr">
        <is>
          <t>0</t>
        </is>
      </c>
      <c r="L66" t="inlineStr">
        <is>
          <t>Dubuque, Iowa, W. C. Brown Co. [1971]</t>
        </is>
      </c>
      <c r="M66" t="inlineStr">
        <is>
          <t>1971</t>
        </is>
      </c>
      <c r="O66" t="inlineStr">
        <is>
          <t>eng</t>
        </is>
      </c>
      <c r="P66" t="inlineStr">
        <is>
          <t>iau</t>
        </is>
      </c>
      <c r="R66" t="inlineStr">
        <is>
          <t xml:space="preserve">LA </t>
        </is>
      </c>
      <c r="S66" t="n">
        <v>4</v>
      </c>
      <c r="T66" t="n">
        <v>4</v>
      </c>
      <c r="U66" t="inlineStr">
        <is>
          <t>2007-09-05</t>
        </is>
      </c>
      <c r="V66" t="inlineStr">
        <is>
          <t>2007-09-05</t>
        </is>
      </c>
      <c r="W66" t="inlineStr">
        <is>
          <t>1997-04-22</t>
        </is>
      </c>
      <c r="X66" t="inlineStr">
        <is>
          <t>1997-04-22</t>
        </is>
      </c>
      <c r="Y66" t="n">
        <v>233</v>
      </c>
      <c r="Z66" t="n">
        <v>221</v>
      </c>
      <c r="AA66" t="n">
        <v>369</v>
      </c>
      <c r="AB66" t="n">
        <v>5</v>
      </c>
      <c r="AC66" t="n">
        <v>5</v>
      </c>
      <c r="AD66" t="n">
        <v>11</v>
      </c>
      <c r="AE66" t="n">
        <v>16</v>
      </c>
      <c r="AF66" t="n">
        <v>3</v>
      </c>
      <c r="AG66" t="n">
        <v>6</v>
      </c>
      <c r="AH66" t="n">
        <v>2</v>
      </c>
      <c r="AI66" t="n">
        <v>2</v>
      </c>
      <c r="AJ66" t="n">
        <v>5</v>
      </c>
      <c r="AK66" t="n">
        <v>7</v>
      </c>
      <c r="AL66" t="n">
        <v>4</v>
      </c>
      <c r="AM66" t="n">
        <v>4</v>
      </c>
      <c r="AN66" t="n">
        <v>0</v>
      </c>
      <c r="AO66" t="n">
        <v>0</v>
      </c>
      <c r="AP66" t="inlineStr">
        <is>
          <t>No</t>
        </is>
      </c>
      <c r="AQ66" t="inlineStr">
        <is>
          <t>No</t>
        </is>
      </c>
      <c r="AS66">
        <f>HYPERLINK("https://creighton-primo.hosted.exlibrisgroup.com/primo-explore/search?tab=default_tab&amp;search_scope=EVERYTHING&amp;vid=01CRU&amp;lang=en_US&amp;offset=0&amp;query=any,contains,991000728529702656","Catalog Record")</f>
        <v/>
      </c>
      <c r="AT66">
        <f>HYPERLINK("http://www.worldcat.org/oclc/128241","WorldCat Record")</f>
        <v/>
      </c>
      <c r="AU66" t="inlineStr">
        <is>
          <t>53938107:eng</t>
        </is>
      </c>
      <c r="AV66" t="inlineStr">
        <is>
          <t>128241</t>
        </is>
      </c>
      <c r="AW66" t="inlineStr">
        <is>
          <t>991000728529702656</t>
        </is>
      </c>
      <c r="AX66" t="inlineStr">
        <is>
          <t>991000728529702656</t>
        </is>
      </c>
      <c r="AY66" t="inlineStr">
        <is>
          <t>2261489540002656</t>
        </is>
      </c>
      <c r="AZ66" t="inlineStr">
        <is>
          <t>BOOK</t>
        </is>
      </c>
      <c r="BB66" t="inlineStr">
        <is>
          <t>9780697060228</t>
        </is>
      </c>
      <c r="BC66" t="inlineStr">
        <is>
          <t>32285002595949</t>
        </is>
      </c>
      <c r="BD66" t="inlineStr">
        <is>
          <t>893237561</t>
        </is>
      </c>
    </row>
    <row r="67">
      <c r="A67" t="inlineStr">
        <is>
          <t>No</t>
        </is>
      </c>
      <c r="B67" t="inlineStr">
        <is>
          <t>LA212 .C53</t>
        </is>
      </c>
      <c r="C67" t="inlineStr">
        <is>
          <t>0                      LA 0212000C  53</t>
        </is>
      </c>
      <c r="D67" t="inlineStr">
        <is>
          <t>Education in the United States : an interpretive history / Robert L. Church and Michael W. Sedlak.</t>
        </is>
      </c>
      <c r="F67" t="inlineStr">
        <is>
          <t>No</t>
        </is>
      </c>
      <c r="G67" t="inlineStr">
        <is>
          <t>1</t>
        </is>
      </c>
      <c r="H67" t="inlineStr">
        <is>
          <t>No</t>
        </is>
      </c>
      <c r="I67" t="inlineStr">
        <is>
          <t>No</t>
        </is>
      </c>
      <c r="J67" t="inlineStr">
        <is>
          <t>0</t>
        </is>
      </c>
      <c r="K67" t="inlineStr">
        <is>
          <t>Church, Robert L.</t>
        </is>
      </c>
      <c r="L67" t="inlineStr">
        <is>
          <t>New York : Free Press, c1976.</t>
        </is>
      </c>
      <c r="M67" t="inlineStr">
        <is>
          <t>1976</t>
        </is>
      </c>
      <c r="O67" t="inlineStr">
        <is>
          <t>eng</t>
        </is>
      </c>
      <c r="P67" t="inlineStr">
        <is>
          <t>nyu</t>
        </is>
      </c>
      <c r="R67" t="inlineStr">
        <is>
          <t xml:space="preserve">LA </t>
        </is>
      </c>
      <c r="S67" t="n">
        <v>4</v>
      </c>
      <c r="T67" t="n">
        <v>4</v>
      </c>
      <c r="U67" t="inlineStr">
        <is>
          <t>2002-04-07</t>
        </is>
      </c>
      <c r="V67" t="inlineStr">
        <is>
          <t>2002-04-07</t>
        </is>
      </c>
      <c r="W67" t="inlineStr">
        <is>
          <t>1997-04-22</t>
        </is>
      </c>
      <c r="X67" t="inlineStr">
        <is>
          <t>1997-04-22</t>
        </is>
      </c>
      <c r="Y67" t="n">
        <v>980</v>
      </c>
      <c r="Z67" t="n">
        <v>900</v>
      </c>
      <c r="AA67" t="n">
        <v>906</v>
      </c>
      <c r="AB67" t="n">
        <v>5</v>
      </c>
      <c r="AC67" t="n">
        <v>5</v>
      </c>
      <c r="AD67" t="n">
        <v>34</v>
      </c>
      <c r="AE67" t="n">
        <v>34</v>
      </c>
      <c r="AF67" t="n">
        <v>16</v>
      </c>
      <c r="AG67" t="n">
        <v>16</v>
      </c>
      <c r="AH67" t="n">
        <v>7</v>
      </c>
      <c r="AI67" t="n">
        <v>7</v>
      </c>
      <c r="AJ67" t="n">
        <v>14</v>
      </c>
      <c r="AK67" t="n">
        <v>14</v>
      </c>
      <c r="AL67" t="n">
        <v>4</v>
      </c>
      <c r="AM67" t="n">
        <v>4</v>
      </c>
      <c r="AN67" t="n">
        <v>0</v>
      </c>
      <c r="AO67" t="n">
        <v>0</v>
      </c>
      <c r="AP67" t="inlineStr">
        <is>
          <t>No</t>
        </is>
      </c>
      <c r="AQ67" t="inlineStr">
        <is>
          <t>Yes</t>
        </is>
      </c>
      <c r="AR67">
        <f>HYPERLINK("http://catalog.hathitrust.org/Record/000699664","HathiTrust Record")</f>
        <v/>
      </c>
      <c r="AS67">
        <f>HYPERLINK("https://creighton-primo.hosted.exlibrisgroup.com/primo-explore/search?tab=default_tab&amp;search_scope=EVERYTHING&amp;vid=01CRU&amp;lang=en_US&amp;offset=0&amp;query=any,contains,991003945609702656","Catalog Record")</f>
        <v/>
      </c>
      <c r="AT67">
        <f>HYPERLINK("http://www.worldcat.org/oclc/1945321","WorldCat Record")</f>
        <v/>
      </c>
      <c r="AU67" t="inlineStr">
        <is>
          <t>909674834:eng</t>
        </is>
      </c>
      <c r="AV67" t="inlineStr">
        <is>
          <t>1945321</t>
        </is>
      </c>
      <c r="AW67" t="inlineStr">
        <is>
          <t>991003945609702656</t>
        </is>
      </c>
      <c r="AX67" t="inlineStr">
        <is>
          <t>991003945609702656</t>
        </is>
      </c>
      <c r="AY67" t="inlineStr">
        <is>
          <t>2264766150002656</t>
        </is>
      </c>
      <c r="AZ67" t="inlineStr">
        <is>
          <t>BOOK</t>
        </is>
      </c>
      <c r="BB67" t="inlineStr">
        <is>
          <t>9780029054901</t>
        </is>
      </c>
      <c r="BC67" t="inlineStr">
        <is>
          <t>32285002595980</t>
        </is>
      </c>
      <c r="BD67" t="inlineStr">
        <is>
          <t>893888142</t>
        </is>
      </c>
    </row>
    <row r="68">
      <c r="A68" t="inlineStr">
        <is>
          <t>No</t>
        </is>
      </c>
      <c r="B68" t="inlineStr">
        <is>
          <t>LA212 .C75 2006</t>
        </is>
      </c>
      <c r="C68" t="inlineStr">
        <is>
          <t>0                      LA 0212000C  75          2006</t>
        </is>
      </c>
      <c r="D68" t="inlineStr">
        <is>
          <t>Critical issues in education : an anthology of readings / edited by Eugene F. Provenzo, Jr.</t>
        </is>
      </c>
      <c r="F68" t="inlineStr">
        <is>
          <t>No</t>
        </is>
      </c>
      <c r="G68" t="inlineStr">
        <is>
          <t>1</t>
        </is>
      </c>
      <c r="H68" t="inlineStr">
        <is>
          <t>No</t>
        </is>
      </c>
      <c r="I68" t="inlineStr">
        <is>
          <t>No</t>
        </is>
      </c>
      <c r="J68" t="inlineStr">
        <is>
          <t>0</t>
        </is>
      </c>
      <c r="L68" t="inlineStr">
        <is>
          <t>Thousand Oaks : SAGE Publications, c2006.</t>
        </is>
      </c>
      <c r="M68" t="inlineStr">
        <is>
          <t>2006</t>
        </is>
      </c>
      <c r="O68" t="inlineStr">
        <is>
          <t>eng</t>
        </is>
      </c>
      <c r="P68" t="inlineStr">
        <is>
          <t>cau</t>
        </is>
      </c>
      <c r="R68" t="inlineStr">
        <is>
          <t xml:space="preserve">LA </t>
        </is>
      </c>
      <c r="S68" t="n">
        <v>19</v>
      </c>
      <c r="T68" t="n">
        <v>19</v>
      </c>
      <c r="U68" t="inlineStr">
        <is>
          <t>2009-09-27</t>
        </is>
      </c>
      <c r="V68" t="inlineStr">
        <is>
          <t>2009-09-27</t>
        </is>
      </c>
      <c r="W68" t="inlineStr">
        <is>
          <t>2006-06-05</t>
        </is>
      </c>
      <c r="X68" t="inlineStr">
        <is>
          <t>2006-06-05</t>
        </is>
      </c>
      <c r="Y68" t="n">
        <v>267</v>
      </c>
      <c r="Z68" t="n">
        <v>190</v>
      </c>
      <c r="AA68" t="n">
        <v>191</v>
      </c>
      <c r="AB68" t="n">
        <v>1</v>
      </c>
      <c r="AC68" t="n">
        <v>1</v>
      </c>
      <c r="AD68" t="n">
        <v>10</v>
      </c>
      <c r="AE68" t="n">
        <v>10</v>
      </c>
      <c r="AF68" t="n">
        <v>5</v>
      </c>
      <c r="AG68" t="n">
        <v>5</v>
      </c>
      <c r="AH68" t="n">
        <v>1</v>
      </c>
      <c r="AI68" t="n">
        <v>1</v>
      </c>
      <c r="AJ68" t="n">
        <v>4</v>
      </c>
      <c r="AK68" t="n">
        <v>4</v>
      </c>
      <c r="AL68" t="n">
        <v>0</v>
      </c>
      <c r="AM68" t="n">
        <v>0</v>
      </c>
      <c r="AN68" t="n">
        <v>1</v>
      </c>
      <c r="AO68" t="n">
        <v>1</v>
      </c>
      <c r="AP68" t="inlineStr">
        <is>
          <t>No</t>
        </is>
      </c>
      <c r="AQ68" t="inlineStr">
        <is>
          <t>Yes</t>
        </is>
      </c>
      <c r="AR68">
        <f>HYPERLINK("http://catalog.hathitrust.org/Record/005225268","HathiTrust Record")</f>
        <v/>
      </c>
      <c r="AS68">
        <f>HYPERLINK("https://creighton-primo.hosted.exlibrisgroup.com/primo-explore/search?tab=default_tab&amp;search_scope=EVERYTHING&amp;vid=01CRU&amp;lang=en_US&amp;offset=0&amp;query=any,contains,991004825039702656","Catalog Record")</f>
        <v/>
      </c>
      <c r="AT68">
        <f>HYPERLINK("http://www.worldcat.org/oclc/62324920","WorldCat Record")</f>
        <v/>
      </c>
      <c r="AU68" t="inlineStr">
        <is>
          <t>796522708:eng</t>
        </is>
      </c>
      <c r="AV68" t="inlineStr">
        <is>
          <t>62324920</t>
        </is>
      </c>
      <c r="AW68" t="inlineStr">
        <is>
          <t>991004825039702656</t>
        </is>
      </c>
      <c r="AX68" t="inlineStr">
        <is>
          <t>991004825039702656</t>
        </is>
      </c>
      <c r="AY68" t="inlineStr">
        <is>
          <t>2264575220002656</t>
        </is>
      </c>
      <c r="AZ68" t="inlineStr">
        <is>
          <t>BOOK</t>
        </is>
      </c>
      <c r="BB68" t="inlineStr">
        <is>
          <t>9781412904773</t>
        </is>
      </c>
      <c r="BC68" t="inlineStr">
        <is>
          <t>32285005190169</t>
        </is>
      </c>
      <c r="BD68" t="inlineStr">
        <is>
          <t>893882997</t>
        </is>
      </c>
    </row>
    <row r="69">
      <c r="A69" t="inlineStr">
        <is>
          <t>No</t>
        </is>
      </c>
      <c r="B69" t="inlineStr">
        <is>
          <t>LA212 .F6 1982</t>
        </is>
      </c>
      <c r="C69" t="inlineStr">
        <is>
          <t>0                      LA 0212000F  6           1982</t>
        </is>
      </c>
      <c r="D69" t="inlineStr">
        <is>
          <t>Foundations of American education : readings / [edited by] James A. Johnson ... [et al.].</t>
        </is>
      </c>
      <c r="F69" t="inlineStr">
        <is>
          <t>No</t>
        </is>
      </c>
      <c r="G69" t="inlineStr">
        <is>
          <t>1</t>
        </is>
      </c>
      <c r="H69" t="inlineStr">
        <is>
          <t>No</t>
        </is>
      </c>
      <c r="I69" t="inlineStr">
        <is>
          <t>No</t>
        </is>
      </c>
      <c r="J69" t="inlineStr">
        <is>
          <t>0</t>
        </is>
      </c>
      <c r="L69" t="inlineStr">
        <is>
          <t>Boston : Allyn and Bacon, c1982.</t>
        </is>
      </c>
      <c r="M69" t="inlineStr">
        <is>
          <t>1982</t>
        </is>
      </c>
      <c r="N69" t="inlineStr">
        <is>
          <t>5th ed.</t>
        </is>
      </c>
      <c r="O69" t="inlineStr">
        <is>
          <t>eng</t>
        </is>
      </c>
      <c r="P69" t="inlineStr">
        <is>
          <t>mau</t>
        </is>
      </c>
      <c r="R69" t="inlineStr">
        <is>
          <t xml:space="preserve">LA </t>
        </is>
      </c>
      <c r="S69" t="n">
        <v>12</v>
      </c>
      <c r="T69" t="n">
        <v>12</v>
      </c>
      <c r="U69" t="inlineStr">
        <is>
          <t>2007-06-01</t>
        </is>
      </c>
      <c r="V69" t="inlineStr">
        <is>
          <t>2007-06-01</t>
        </is>
      </c>
      <c r="W69" t="inlineStr">
        <is>
          <t>1992-08-05</t>
        </is>
      </c>
      <c r="X69" t="inlineStr">
        <is>
          <t>1992-08-05</t>
        </is>
      </c>
      <c r="Y69" t="n">
        <v>105</v>
      </c>
      <c r="Z69" t="n">
        <v>95</v>
      </c>
      <c r="AA69" t="n">
        <v>496</v>
      </c>
      <c r="AB69" t="n">
        <v>1</v>
      </c>
      <c r="AC69" t="n">
        <v>3</v>
      </c>
      <c r="AD69" t="n">
        <v>2</v>
      </c>
      <c r="AE69" t="n">
        <v>17</v>
      </c>
      <c r="AF69" t="n">
        <v>1</v>
      </c>
      <c r="AG69" t="n">
        <v>5</v>
      </c>
      <c r="AH69" t="n">
        <v>0</v>
      </c>
      <c r="AI69" t="n">
        <v>4</v>
      </c>
      <c r="AJ69" t="n">
        <v>1</v>
      </c>
      <c r="AK69" t="n">
        <v>10</v>
      </c>
      <c r="AL69" t="n">
        <v>0</v>
      </c>
      <c r="AM69" t="n">
        <v>2</v>
      </c>
      <c r="AN69" t="n">
        <v>0</v>
      </c>
      <c r="AO69" t="n">
        <v>0</v>
      </c>
      <c r="AP69" t="inlineStr">
        <is>
          <t>No</t>
        </is>
      </c>
      <c r="AQ69" t="inlineStr">
        <is>
          <t>Yes</t>
        </is>
      </c>
      <c r="AR69">
        <f>HYPERLINK("http://catalog.hathitrust.org/Record/007280201","HathiTrust Record")</f>
        <v/>
      </c>
      <c r="AS69">
        <f>HYPERLINK("https://creighton-primo.hosted.exlibrisgroup.com/primo-explore/search?tab=default_tab&amp;search_scope=EVERYTHING&amp;vid=01CRU&amp;lang=en_US&amp;offset=0&amp;query=any,contains,991005181749702656","Catalog Record")</f>
        <v/>
      </c>
      <c r="AT69">
        <f>HYPERLINK("http://www.worldcat.org/oclc/7946548","WorldCat Record")</f>
        <v/>
      </c>
      <c r="AU69" t="inlineStr">
        <is>
          <t>1443264:eng</t>
        </is>
      </c>
      <c r="AV69" t="inlineStr">
        <is>
          <t>7946548</t>
        </is>
      </c>
      <c r="AW69" t="inlineStr">
        <is>
          <t>991005181749702656</t>
        </is>
      </c>
      <c r="AX69" t="inlineStr">
        <is>
          <t>991005181749702656</t>
        </is>
      </c>
      <c r="AY69" t="inlineStr">
        <is>
          <t>2272501740002656</t>
        </is>
      </c>
      <c r="AZ69" t="inlineStr">
        <is>
          <t>BOOK</t>
        </is>
      </c>
      <c r="BB69" t="inlineStr">
        <is>
          <t>9780205076291</t>
        </is>
      </c>
      <c r="BC69" t="inlineStr">
        <is>
          <t>32285001233047</t>
        </is>
      </c>
      <c r="BD69" t="inlineStr">
        <is>
          <t>893230329</t>
        </is>
      </c>
    </row>
    <row r="70">
      <c r="A70" t="inlineStr">
        <is>
          <t>No</t>
        </is>
      </c>
      <c r="B70" t="inlineStr">
        <is>
          <t>LA212 .J64 1987</t>
        </is>
      </c>
      <c r="C70" t="inlineStr">
        <is>
          <t>0                      LA 0212000J  64          1987</t>
        </is>
      </c>
      <c r="D70" t="inlineStr">
        <is>
          <t>The foundations of contemporary American education / Erwin V. Johanningmeier.</t>
        </is>
      </c>
      <c r="F70" t="inlineStr">
        <is>
          <t>No</t>
        </is>
      </c>
      <c r="G70" t="inlineStr">
        <is>
          <t>1</t>
        </is>
      </c>
      <c r="H70" t="inlineStr">
        <is>
          <t>No</t>
        </is>
      </c>
      <c r="I70" t="inlineStr">
        <is>
          <t>No</t>
        </is>
      </c>
      <c r="J70" t="inlineStr">
        <is>
          <t>0</t>
        </is>
      </c>
      <c r="K70" t="inlineStr">
        <is>
          <t>Johanningmeier, Erwin V.</t>
        </is>
      </c>
      <c r="L70" t="inlineStr">
        <is>
          <t>Scottsdale, Ariz. : Gorsuch Scarisbrick, c1987.</t>
        </is>
      </c>
      <c r="M70" t="inlineStr">
        <is>
          <t>1987</t>
        </is>
      </c>
      <c r="O70" t="inlineStr">
        <is>
          <t>eng</t>
        </is>
      </c>
      <c r="P70" t="inlineStr">
        <is>
          <t>azu</t>
        </is>
      </c>
      <c r="R70" t="inlineStr">
        <is>
          <t xml:space="preserve">LA </t>
        </is>
      </c>
      <c r="S70" t="n">
        <v>13</v>
      </c>
      <c r="T70" t="n">
        <v>13</v>
      </c>
      <c r="U70" t="inlineStr">
        <is>
          <t>2006-06-20</t>
        </is>
      </c>
      <c r="V70" t="inlineStr">
        <is>
          <t>2006-06-20</t>
        </is>
      </c>
      <c r="W70" t="inlineStr">
        <is>
          <t>1991-12-10</t>
        </is>
      </c>
      <c r="X70" t="inlineStr">
        <is>
          <t>1991-12-10</t>
        </is>
      </c>
      <c r="Y70" t="n">
        <v>39</v>
      </c>
      <c r="Z70" t="n">
        <v>35</v>
      </c>
      <c r="AA70" t="n">
        <v>35</v>
      </c>
      <c r="AB70" t="n">
        <v>1</v>
      </c>
      <c r="AC70" t="n">
        <v>1</v>
      </c>
      <c r="AD70" t="n">
        <v>1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1</v>
      </c>
      <c r="AL70" t="n">
        <v>0</v>
      </c>
      <c r="AM70" t="n">
        <v>0</v>
      </c>
      <c r="AN70" t="n">
        <v>0</v>
      </c>
      <c r="AO70" t="n">
        <v>0</v>
      </c>
      <c r="AP70" t="inlineStr">
        <is>
          <t>No</t>
        </is>
      </c>
      <c r="AQ70" t="inlineStr">
        <is>
          <t>No</t>
        </is>
      </c>
      <c r="AS70">
        <f>HYPERLINK("https://creighton-primo.hosted.exlibrisgroup.com/primo-explore/search?tab=default_tab&amp;search_scope=EVERYTHING&amp;vid=01CRU&amp;lang=en_US&amp;offset=0&amp;query=any,contains,991001039949702656","Catalog Record")</f>
        <v/>
      </c>
      <c r="AT70">
        <f>HYPERLINK("http://www.worldcat.org/oclc/15585763","WorldCat Record")</f>
        <v/>
      </c>
      <c r="AU70" t="inlineStr">
        <is>
          <t>10488188:eng</t>
        </is>
      </c>
      <c r="AV70" t="inlineStr">
        <is>
          <t>15585763</t>
        </is>
      </c>
      <c r="AW70" t="inlineStr">
        <is>
          <t>991001039949702656</t>
        </is>
      </c>
      <c r="AX70" t="inlineStr">
        <is>
          <t>991001039949702656</t>
        </is>
      </c>
      <c r="AY70" t="inlineStr">
        <is>
          <t>2257780870002656</t>
        </is>
      </c>
      <c r="AZ70" t="inlineStr">
        <is>
          <t>BOOK</t>
        </is>
      </c>
      <c r="BB70" t="inlineStr">
        <is>
          <t>9780897875196</t>
        </is>
      </c>
      <c r="BC70" t="inlineStr">
        <is>
          <t>32285000886472</t>
        </is>
      </c>
      <c r="BD70" t="inlineStr">
        <is>
          <t>893420001</t>
        </is>
      </c>
    </row>
    <row r="71">
      <c r="A71" t="inlineStr">
        <is>
          <t>No</t>
        </is>
      </c>
      <c r="B71" t="inlineStr">
        <is>
          <t>LA212 .K27 1973</t>
        </is>
      </c>
      <c r="C71" t="inlineStr">
        <is>
          <t>0                      LA 0212000K  27          1973</t>
        </is>
      </c>
      <c r="D71" t="inlineStr">
        <is>
          <t>Roots of crisis: American education in the twentieth century [by] Clarence J. Karier, Paul C. Violas [and] Joel Spring.</t>
        </is>
      </c>
      <c r="F71" t="inlineStr">
        <is>
          <t>No</t>
        </is>
      </c>
      <c r="G71" t="inlineStr">
        <is>
          <t>1</t>
        </is>
      </c>
      <c r="H71" t="inlineStr">
        <is>
          <t>No</t>
        </is>
      </c>
      <c r="I71" t="inlineStr">
        <is>
          <t>No</t>
        </is>
      </c>
      <c r="J71" t="inlineStr">
        <is>
          <t>0</t>
        </is>
      </c>
      <c r="K71" t="inlineStr">
        <is>
          <t>Karier, Clarence J.</t>
        </is>
      </c>
      <c r="L71" t="inlineStr">
        <is>
          <t>Chicago, Rand McNally [1972, c1973]</t>
        </is>
      </c>
      <c r="M71" t="inlineStr">
        <is>
          <t>1972</t>
        </is>
      </c>
      <c r="O71" t="inlineStr">
        <is>
          <t>eng</t>
        </is>
      </c>
      <c r="P71" t="inlineStr">
        <is>
          <t>ilu</t>
        </is>
      </c>
      <c r="Q71" t="inlineStr">
        <is>
          <t>Rand McNally education series</t>
        </is>
      </c>
      <c r="R71" t="inlineStr">
        <is>
          <t xml:space="preserve">LA </t>
        </is>
      </c>
      <c r="S71" t="n">
        <v>1</v>
      </c>
      <c r="T71" t="n">
        <v>1</v>
      </c>
      <c r="U71" t="inlineStr">
        <is>
          <t>2006-10-11</t>
        </is>
      </c>
      <c r="V71" t="inlineStr">
        <is>
          <t>2006-10-11</t>
        </is>
      </c>
      <c r="W71" t="inlineStr">
        <is>
          <t>1997-04-23</t>
        </is>
      </c>
      <c r="X71" t="inlineStr">
        <is>
          <t>1997-04-23</t>
        </is>
      </c>
      <c r="Y71" t="n">
        <v>505</v>
      </c>
      <c r="Z71" t="n">
        <v>443</v>
      </c>
      <c r="AA71" t="n">
        <v>448</v>
      </c>
      <c r="AB71" t="n">
        <v>3</v>
      </c>
      <c r="AC71" t="n">
        <v>3</v>
      </c>
      <c r="AD71" t="n">
        <v>22</v>
      </c>
      <c r="AE71" t="n">
        <v>22</v>
      </c>
      <c r="AF71" t="n">
        <v>10</v>
      </c>
      <c r="AG71" t="n">
        <v>10</v>
      </c>
      <c r="AH71" t="n">
        <v>5</v>
      </c>
      <c r="AI71" t="n">
        <v>5</v>
      </c>
      <c r="AJ71" t="n">
        <v>13</v>
      </c>
      <c r="AK71" t="n">
        <v>13</v>
      </c>
      <c r="AL71" t="n">
        <v>2</v>
      </c>
      <c r="AM71" t="n">
        <v>2</v>
      </c>
      <c r="AN71" t="n">
        <v>0</v>
      </c>
      <c r="AO71" t="n">
        <v>0</v>
      </c>
      <c r="AP71" t="inlineStr">
        <is>
          <t>No</t>
        </is>
      </c>
      <c r="AQ71" t="inlineStr">
        <is>
          <t>No</t>
        </is>
      </c>
      <c r="AS71">
        <f>HYPERLINK("https://creighton-primo.hosted.exlibrisgroup.com/primo-explore/search?tab=default_tab&amp;search_scope=EVERYTHING&amp;vid=01CRU&amp;lang=en_US&amp;offset=0&amp;query=any,contains,991003024249702656","Catalog Record")</f>
        <v/>
      </c>
      <c r="AT71">
        <f>HYPERLINK("http://www.worldcat.org/oclc/588918","WorldCat Record")</f>
        <v/>
      </c>
      <c r="AU71" t="inlineStr">
        <is>
          <t>1763803:eng</t>
        </is>
      </c>
      <c r="AV71" t="inlineStr">
        <is>
          <t>588918</t>
        </is>
      </c>
      <c r="AW71" t="inlineStr">
        <is>
          <t>991003024249702656</t>
        </is>
      </c>
      <c r="AX71" t="inlineStr">
        <is>
          <t>991003024249702656</t>
        </is>
      </c>
      <c r="AY71" t="inlineStr">
        <is>
          <t>2270046180002656</t>
        </is>
      </c>
      <c r="AZ71" t="inlineStr">
        <is>
          <t>BOOK</t>
        </is>
      </c>
      <c r="BB71" t="inlineStr">
        <is>
          <t>9780528612374</t>
        </is>
      </c>
      <c r="BC71" t="inlineStr">
        <is>
          <t>32285002596012</t>
        </is>
      </c>
      <c r="BD71" t="inlineStr">
        <is>
          <t>893623066</t>
        </is>
      </c>
    </row>
    <row r="72">
      <c r="A72" t="inlineStr">
        <is>
          <t>No</t>
        </is>
      </c>
      <c r="B72" t="inlineStr">
        <is>
          <t>LA212 .M53 1981</t>
        </is>
      </c>
      <c r="C72" t="inlineStr">
        <is>
          <t>0                      LA 0212000M  53          1981</t>
        </is>
      </c>
      <c r="D72" t="inlineStr">
        <is>
          <t>The graves of academe / by Richard Mitchell.</t>
        </is>
      </c>
      <c r="F72" t="inlineStr">
        <is>
          <t>No</t>
        </is>
      </c>
      <c r="G72" t="inlineStr">
        <is>
          <t>1</t>
        </is>
      </c>
      <c r="H72" t="inlineStr">
        <is>
          <t>No</t>
        </is>
      </c>
      <c r="I72" t="inlineStr">
        <is>
          <t>No</t>
        </is>
      </c>
      <c r="J72" t="inlineStr">
        <is>
          <t>0</t>
        </is>
      </c>
      <c r="K72" t="inlineStr">
        <is>
          <t>Mitchell, Richard, 1929-2002.</t>
        </is>
      </c>
      <c r="L72" t="inlineStr">
        <is>
          <t>Boston : Little, Brown, 1981.</t>
        </is>
      </c>
      <c r="M72" t="inlineStr">
        <is>
          <t>1981</t>
        </is>
      </c>
      <c r="N72" t="inlineStr">
        <is>
          <t>1st ed.</t>
        </is>
      </c>
      <c r="O72" t="inlineStr">
        <is>
          <t>eng</t>
        </is>
      </c>
      <c r="P72" t="inlineStr">
        <is>
          <t>mau</t>
        </is>
      </c>
      <c r="R72" t="inlineStr">
        <is>
          <t xml:space="preserve">LA </t>
        </is>
      </c>
      <c r="S72" t="n">
        <v>1</v>
      </c>
      <c r="T72" t="n">
        <v>1</v>
      </c>
      <c r="U72" t="inlineStr">
        <is>
          <t>2007-10-10</t>
        </is>
      </c>
      <c r="V72" t="inlineStr">
        <is>
          <t>2007-10-10</t>
        </is>
      </c>
      <c r="W72" t="inlineStr">
        <is>
          <t>1992-08-05</t>
        </is>
      </c>
      <c r="X72" t="inlineStr">
        <is>
          <t>1992-08-05</t>
        </is>
      </c>
      <c r="Y72" t="n">
        <v>806</v>
      </c>
      <c r="Z72" t="n">
        <v>752</v>
      </c>
      <c r="AA72" t="n">
        <v>807</v>
      </c>
      <c r="AB72" t="n">
        <v>4</v>
      </c>
      <c r="AC72" t="n">
        <v>5</v>
      </c>
      <c r="AD72" t="n">
        <v>25</v>
      </c>
      <c r="AE72" t="n">
        <v>28</v>
      </c>
      <c r="AF72" t="n">
        <v>8</v>
      </c>
      <c r="AG72" t="n">
        <v>9</v>
      </c>
      <c r="AH72" t="n">
        <v>6</v>
      </c>
      <c r="AI72" t="n">
        <v>6</v>
      </c>
      <c r="AJ72" t="n">
        <v>16</v>
      </c>
      <c r="AK72" t="n">
        <v>16</v>
      </c>
      <c r="AL72" t="n">
        <v>3</v>
      </c>
      <c r="AM72" t="n">
        <v>4</v>
      </c>
      <c r="AN72" t="n">
        <v>0</v>
      </c>
      <c r="AO72" t="n">
        <v>1</v>
      </c>
      <c r="AP72" t="inlineStr">
        <is>
          <t>No</t>
        </is>
      </c>
      <c r="AQ72" t="inlineStr">
        <is>
          <t>No</t>
        </is>
      </c>
      <c r="AS72">
        <f>HYPERLINK("https://creighton-primo.hosted.exlibrisgroup.com/primo-explore/search?tab=default_tab&amp;search_scope=EVERYTHING&amp;vid=01CRU&amp;lang=en_US&amp;offset=0&amp;query=any,contains,991005130249702656","Catalog Record")</f>
        <v/>
      </c>
      <c r="AT72">
        <f>HYPERLINK("http://www.worldcat.org/oclc/7571669","WorldCat Record")</f>
        <v/>
      </c>
      <c r="AU72" t="inlineStr">
        <is>
          <t>69694005:eng</t>
        </is>
      </c>
      <c r="AV72" t="inlineStr">
        <is>
          <t>7571669</t>
        </is>
      </c>
      <c r="AW72" t="inlineStr">
        <is>
          <t>991005130249702656</t>
        </is>
      </c>
      <c r="AX72" t="inlineStr">
        <is>
          <t>991005130249702656</t>
        </is>
      </c>
      <c r="AY72" t="inlineStr">
        <is>
          <t>2272032940002656</t>
        </is>
      </c>
      <c r="AZ72" t="inlineStr">
        <is>
          <t>BOOK</t>
        </is>
      </c>
      <c r="BB72" t="inlineStr">
        <is>
          <t>9780316575089</t>
        </is>
      </c>
      <c r="BC72" t="inlineStr">
        <is>
          <t>32285001233138</t>
        </is>
      </c>
      <c r="BD72" t="inlineStr">
        <is>
          <t>893801778</t>
        </is>
      </c>
    </row>
    <row r="73">
      <c r="A73" t="inlineStr">
        <is>
          <t>No</t>
        </is>
      </c>
      <c r="B73" t="inlineStr">
        <is>
          <t>LA212 .R36 1978</t>
        </is>
      </c>
      <c r="C73" t="inlineStr">
        <is>
          <t>0                      LA 0212000R  36          1978</t>
        </is>
      </c>
      <c r="D73" t="inlineStr">
        <is>
          <t>The revisionists revised : a critique of the radical attack on the schools / Diane Ravitch.</t>
        </is>
      </c>
      <c r="F73" t="inlineStr">
        <is>
          <t>No</t>
        </is>
      </c>
      <c r="G73" t="inlineStr">
        <is>
          <t>1</t>
        </is>
      </c>
      <c r="H73" t="inlineStr">
        <is>
          <t>No</t>
        </is>
      </c>
      <c r="I73" t="inlineStr">
        <is>
          <t>No</t>
        </is>
      </c>
      <c r="J73" t="inlineStr">
        <is>
          <t>0</t>
        </is>
      </c>
      <c r="K73" t="inlineStr">
        <is>
          <t>Ravitch, Diane.</t>
        </is>
      </c>
      <c r="L73" t="inlineStr">
        <is>
          <t>New York : Basic Books, c1978.</t>
        </is>
      </c>
      <c r="M73" t="inlineStr">
        <is>
          <t>1978</t>
        </is>
      </c>
      <c r="O73" t="inlineStr">
        <is>
          <t>eng</t>
        </is>
      </c>
      <c r="P73" t="inlineStr">
        <is>
          <t>nyu</t>
        </is>
      </c>
      <c r="R73" t="inlineStr">
        <is>
          <t xml:space="preserve">LA </t>
        </is>
      </c>
      <c r="S73" t="n">
        <v>5</v>
      </c>
      <c r="T73" t="n">
        <v>5</v>
      </c>
      <c r="U73" t="inlineStr">
        <is>
          <t>2005-03-27</t>
        </is>
      </c>
      <c r="V73" t="inlineStr">
        <is>
          <t>2005-03-27</t>
        </is>
      </c>
      <c r="W73" t="inlineStr">
        <is>
          <t>1997-04-23</t>
        </is>
      </c>
      <c r="X73" t="inlineStr">
        <is>
          <t>1997-04-23</t>
        </is>
      </c>
      <c r="Y73" t="n">
        <v>802</v>
      </c>
      <c r="Z73" t="n">
        <v>721</v>
      </c>
      <c r="AA73" t="n">
        <v>728</v>
      </c>
      <c r="AB73" t="n">
        <v>6</v>
      </c>
      <c r="AC73" t="n">
        <v>6</v>
      </c>
      <c r="AD73" t="n">
        <v>35</v>
      </c>
      <c r="AE73" t="n">
        <v>35</v>
      </c>
      <c r="AF73" t="n">
        <v>14</v>
      </c>
      <c r="AG73" t="n">
        <v>14</v>
      </c>
      <c r="AH73" t="n">
        <v>9</v>
      </c>
      <c r="AI73" t="n">
        <v>9</v>
      </c>
      <c r="AJ73" t="n">
        <v>19</v>
      </c>
      <c r="AK73" t="n">
        <v>19</v>
      </c>
      <c r="AL73" t="n">
        <v>4</v>
      </c>
      <c r="AM73" t="n">
        <v>4</v>
      </c>
      <c r="AN73" t="n">
        <v>0</v>
      </c>
      <c r="AO73" t="n">
        <v>0</v>
      </c>
      <c r="AP73" t="inlineStr">
        <is>
          <t>No</t>
        </is>
      </c>
      <c r="AQ73" t="inlineStr">
        <is>
          <t>Yes</t>
        </is>
      </c>
      <c r="AR73">
        <f>HYPERLINK("http://catalog.hathitrust.org/Record/000132288","HathiTrust Record")</f>
        <v/>
      </c>
      <c r="AS73">
        <f>HYPERLINK("https://creighton-primo.hosted.exlibrisgroup.com/primo-explore/search?tab=default_tab&amp;search_scope=EVERYTHING&amp;vid=01CRU&amp;lang=en_US&amp;offset=0&amp;query=any,contains,991004505029702656","Catalog Record")</f>
        <v/>
      </c>
      <c r="AT73">
        <f>HYPERLINK("http://www.worldcat.org/oclc/3730797","WorldCat Record")</f>
        <v/>
      </c>
      <c r="AU73" t="inlineStr">
        <is>
          <t>487609:eng</t>
        </is>
      </c>
      <c r="AV73" t="inlineStr">
        <is>
          <t>3730797</t>
        </is>
      </c>
      <c r="AW73" t="inlineStr">
        <is>
          <t>991004505029702656</t>
        </is>
      </c>
      <c r="AX73" t="inlineStr">
        <is>
          <t>991004505029702656</t>
        </is>
      </c>
      <c r="AY73" t="inlineStr">
        <is>
          <t>2270842790002656</t>
        </is>
      </c>
      <c r="AZ73" t="inlineStr">
        <is>
          <t>BOOK</t>
        </is>
      </c>
      <c r="BB73" t="inlineStr">
        <is>
          <t>9780465069439</t>
        </is>
      </c>
      <c r="BC73" t="inlineStr">
        <is>
          <t>32285002596020</t>
        </is>
      </c>
      <c r="BD73" t="inlineStr">
        <is>
          <t>893788771</t>
        </is>
      </c>
    </row>
    <row r="74">
      <c r="A74" t="inlineStr">
        <is>
          <t>No</t>
        </is>
      </c>
      <c r="B74" t="inlineStr">
        <is>
          <t>LA216 .G47 1995</t>
        </is>
      </c>
      <c r="C74" t="inlineStr">
        <is>
          <t>0                      LA 0216000G  47          1995</t>
        </is>
      </c>
      <c r="D74" t="inlineStr">
        <is>
          <t>German influences on education in the United States to 1917 / edited by Henry Geitz, Jürgen Heideking, Jurgen Herbst.</t>
        </is>
      </c>
      <c r="F74" t="inlineStr">
        <is>
          <t>No</t>
        </is>
      </c>
      <c r="G74" t="inlineStr">
        <is>
          <t>1</t>
        </is>
      </c>
      <c r="H74" t="inlineStr">
        <is>
          <t>No</t>
        </is>
      </c>
      <c r="I74" t="inlineStr">
        <is>
          <t>No</t>
        </is>
      </c>
      <c r="J74" t="inlineStr">
        <is>
          <t>0</t>
        </is>
      </c>
      <c r="L74" t="inlineStr">
        <is>
          <t>Washington, D.C. : German Historical Institute ; Cambridge ; New York : Cambridge University Press, 1995.</t>
        </is>
      </c>
      <c r="M74" t="inlineStr">
        <is>
          <t>1995</t>
        </is>
      </c>
      <c r="O74" t="inlineStr">
        <is>
          <t>eng</t>
        </is>
      </c>
      <c r="P74" t="inlineStr">
        <is>
          <t>dcu</t>
        </is>
      </c>
      <c r="Q74" t="inlineStr">
        <is>
          <t>Publications of the German Historical Institute</t>
        </is>
      </c>
      <c r="R74" t="inlineStr">
        <is>
          <t xml:space="preserve">LA </t>
        </is>
      </c>
      <c r="S74" t="n">
        <v>1</v>
      </c>
      <c r="T74" t="n">
        <v>1</v>
      </c>
      <c r="U74" t="inlineStr">
        <is>
          <t>2004-10-13</t>
        </is>
      </c>
      <c r="V74" t="inlineStr">
        <is>
          <t>2004-10-13</t>
        </is>
      </c>
      <c r="W74" t="inlineStr">
        <is>
          <t>2004-10-13</t>
        </is>
      </c>
      <c r="X74" t="inlineStr">
        <is>
          <t>2004-10-13</t>
        </is>
      </c>
      <c r="Y74" t="n">
        <v>246</v>
      </c>
      <c r="Z74" t="n">
        <v>209</v>
      </c>
      <c r="AA74" t="n">
        <v>219</v>
      </c>
      <c r="AB74" t="n">
        <v>3</v>
      </c>
      <c r="AC74" t="n">
        <v>3</v>
      </c>
      <c r="AD74" t="n">
        <v>16</v>
      </c>
      <c r="AE74" t="n">
        <v>16</v>
      </c>
      <c r="AF74" t="n">
        <v>6</v>
      </c>
      <c r="AG74" t="n">
        <v>6</v>
      </c>
      <c r="AH74" t="n">
        <v>3</v>
      </c>
      <c r="AI74" t="n">
        <v>3</v>
      </c>
      <c r="AJ74" t="n">
        <v>9</v>
      </c>
      <c r="AK74" t="n">
        <v>9</v>
      </c>
      <c r="AL74" t="n">
        <v>2</v>
      </c>
      <c r="AM74" t="n">
        <v>2</v>
      </c>
      <c r="AN74" t="n">
        <v>0</v>
      </c>
      <c r="AO74" t="n">
        <v>0</v>
      </c>
      <c r="AP74" t="inlineStr">
        <is>
          <t>No</t>
        </is>
      </c>
      <c r="AQ74" t="inlineStr">
        <is>
          <t>No</t>
        </is>
      </c>
      <c r="AS74">
        <f>HYPERLINK("https://creighton-primo.hosted.exlibrisgroup.com/primo-explore/search?tab=default_tab&amp;search_scope=EVERYTHING&amp;vid=01CRU&amp;lang=en_US&amp;offset=0&amp;query=any,contains,991004348819702656","Catalog Record")</f>
        <v/>
      </c>
      <c r="AT74">
        <f>HYPERLINK("http://www.worldcat.org/oclc/30518412","WorldCat Record")</f>
        <v/>
      </c>
      <c r="AU74" t="inlineStr">
        <is>
          <t>365793203:eng</t>
        </is>
      </c>
      <c r="AV74" t="inlineStr">
        <is>
          <t>30518412</t>
        </is>
      </c>
      <c r="AW74" t="inlineStr">
        <is>
          <t>991004348819702656</t>
        </is>
      </c>
      <c r="AX74" t="inlineStr">
        <is>
          <t>991004348819702656</t>
        </is>
      </c>
      <c r="AY74" t="inlineStr">
        <is>
          <t>2267439660002656</t>
        </is>
      </c>
      <c r="AZ74" t="inlineStr">
        <is>
          <t>BOOK</t>
        </is>
      </c>
      <c r="BB74" t="inlineStr">
        <is>
          <t>9780521470834</t>
        </is>
      </c>
      <c r="BC74" t="inlineStr">
        <is>
          <t>32285005003701</t>
        </is>
      </c>
      <c r="BD74" t="inlineStr">
        <is>
          <t>893800879</t>
        </is>
      </c>
    </row>
    <row r="75">
      <c r="A75" t="inlineStr">
        <is>
          <t>No</t>
        </is>
      </c>
      <c r="B75" t="inlineStr">
        <is>
          <t>LA216 .P46 1985</t>
        </is>
      </c>
      <c r="C75" t="inlineStr">
        <is>
          <t>0                      LA 0216000P  46          1985</t>
        </is>
      </c>
      <c r="D75" t="inlineStr">
        <is>
          <t>The politics of school reform, 1870-1940 / Paul E. Peterson.</t>
        </is>
      </c>
      <c r="F75" t="inlineStr">
        <is>
          <t>No</t>
        </is>
      </c>
      <c r="G75" t="inlineStr">
        <is>
          <t>1</t>
        </is>
      </c>
      <c r="H75" t="inlineStr">
        <is>
          <t>No</t>
        </is>
      </c>
      <c r="I75" t="inlineStr">
        <is>
          <t>No</t>
        </is>
      </c>
      <c r="J75" t="inlineStr">
        <is>
          <t>0</t>
        </is>
      </c>
      <c r="K75" t="inlineStr">
        <is>
          <t>Peterson, Paul E.</t>
        </is>
      </c>
      <c r="L75" t="inlineStr">
        <is>
          <t>Chicago : University of Chicago Press, 1985.</t>
        </is>
      </c>
      <c r="M75" t="inlineStr">
        <is>
          <t>1985</t>
        </is>
      </c>
      <c r="O75" t="inlineStr">
        <is>
          <t>eng</t>
        </is>
      </c>
      <c r="P75" t="inlineStr">
        <is>
          <t>ilu</t>
        </is>
      </c>
      <c r="R75" t="inlineStr">
        <is>
          <t xml:space="preserve">LA </t>
        </is>
      </c>
      <c r="S75" t="n">
        <v>2</v>
      </c>
      <c r="T75" t="n">
        <v>2</v>
      </c>
      <c r="U75" t="inlineStr">
        <is>
          <t>1994-02-27</t>
        </is>
      </c>
      <c r="V75" t="inlineStr">
        <is>
          <t>1994-02-27</t>
        </is>
      </c>
      <c r="W75" t="inlineStr">
        <is>
          <t>1992-08-05</t>
        </is>
      </c>
      <c r="X75" t="inlineStr">
        <is>
          <t>1992-08-05</t>
        </is>
      </c>
      <c r="Y75" t="n">
        <v>549</v>
      </c>
      <c r="Z75" t="n">
        <v>483</v>
      </c>
      <c r="AA75" t="n">
        <v>488</v>
      </c>
      <c r="AB75" t="n">
        <v>3</v>
      </c>
      <c r="AC75" t="n">
        <v>3</v>
      </c>
      <c r="AD75" t="n">
        <v>24</v>
      </c>
      <c r="AE75" t="n">
        <v>24</v>
      </c>
      <c r="AF75" t="n">
        <v>9</v>
      </c>
      <c r="AG75" t="n">
        <v>9</v>
      </c>
      <c r="AH75" t="n">
        <v>5</v>
      </c>
      <c r="AI75" t="n">
        <v>5</v>
      </c>
      <c r="AJ75" t="n">
        <v>14</v>
      </c>
      <c r="AK75" t="n">
        <v>14</v>
      </c>
      <c r="AL75" t="n">
        <v>2</v>
      </c>
      <c r="AM75" t="n">
        <v>2</v>
      </c>
      <c r="AN75" t="n">
        <v>1</v>
      </c>
      <c r="AO75" t="n">
        <v>1</v>
      </c>
      <c r="AP75" t="inlineStr">
        <is>
          <t>No</t>
        </is>
      </c>
      <c r="AQ75" t="inlineStr">
        <is>
          <t>No</t>
        </is>
      </c>
      <c r="AS75">
        <f>HYPERLINK("https://creighton-primo.hosted.exlibrisgroup.com/primo-explore/search?tab=default_tab&amp;search_scope=EVERYTHING&amp;vid=01CRU&amp;lang=en_US&amp;offset=0&amp;query=any,contains,991000583399702656","Catalog Record")</f>
        <v/>
      </c>
      <c r="AT75">
        <f>HYPERLINK("http://www.worldcat.org/oclc/11754952","WorldCat Record")</f>
        <v/>
      </c>
      <c r="AU75" t="inlineStr">
        <is>
          <t>4294872:eng</t>
        </is>
      </c>
      <c r="AV75" t="inlineStr">
        <is>
          <t>11754952</t>
        </is>
      </c>
      <c r="AW75" t="inlineStr">
        <is>
          <t>991000583399702656</t>
        </is>
      </c>
      <c r="AX75" t="inlineStr">
        <is>
          <t>991000583399702656</t>
        </is>
      </c>
      <c r="AY75" t="inlineStr">
        <is>
          <t>2270275030002656</t>
        </is>
      </c>
      <c r="AZ75" t="inlineStr">
        <is>
          <t>BOOK</t>
        </is>
      </c>
      <c r="BB75" t="inlineStr">
        <is>
          <t>9780226662954</t>
        </is>
      </c>
      <c r="BC75" t="inlineStr">
        <is>
          <t>32285001233294</t>
        </is>
      </c>
      <c r="BD75" t="inlineStr">
        <is>
          <t>893802905</t>
        </is>
      </c>
    </row>
    <row r="76">
      <c r="A76" t="inlineStr">
        <is>
          <t>No</t>
        </is>
      </c>
      <c r="B76" t="inlineStr">
        <is>
          <t>LA216 .R28 2000</t>
        </is>
      </c>
      <c r="C76" t="inlineStr">
        <is>
          <t>0                      LA 0216000R  28          2000</t>
        </is>
      </c>
      <c r="D76" t="inlineStr">
        <is>
          <t>Left back : a century of failed school reforms / Diane Ravitch.</t>
        </is>
      </c>
      <c r="F76" t="inlineStr">
        <is>
          <t>No</t>
        </is>
      </c>
      <c r="G76" t="inlineStr">
        <is>
          <t>1</t>
        </is>
      </c>
      <c r="H76" t="inlineStr">
        <is>
          <t>No</t>
        </is>
      </c>
      <c r="I76" t="inlineStr">
        <is>
          <t>No</t>
        </is>
      </c>
      <c r="J76" t="inlineStr">
        <is>
          <t>0</t>
        </is>
      </c>
      <c r="K76" t="inlineStr">
        <is>
          <t>Ravitch, Diane.</t>
        </is>
      </c>
      <c r="L76" t="inlineStr">
        <is>
          <t>New York : Simon &amp; Schuster, c2000.</t>
        </is>
      </c>
      <c r="M76" t="inlineStr">
        <is>
          <t>2000</t>
        </is>
      </c>
      <c r="O76" t="inlineStr">
        <is>
          <t>eng</t>
        </is>
      </c>
      <c r="P76" t="inlineStr">
        <is>
          <t>nyu</t>
        </is>
      </c>
      <c r="R76" t="inlineStr">
        <is>
          <t xml:space="preserve">LA </t>
        </is>
      </c>
      <c r="S76" t="n">
        <v>5</v>
      </c>
      <c r="T76" t="n">
        <v>5</v>
      </c>
      <c r="U76" t="inlineStr">
        <is>
          <t>2010-07-28</t>
        </is>
      </c>
      <c r="V76" t="inlineStr">
        <is>
          <t>2010-07-28</t>
        </is>
      </c>
      <c r="W76" t="inlineStr">
        <is>
          <t>2000-08-28</t>
        </is>
      </c>
      <c r="X76" t="inlineStr">
        <is>
          <t>2000-08-28</t>
        </is>
      </c>
      <c r="Y76" t="n">
        <v>1470</v>
      </c>
      <c r="Z76" t="n">
        <v>1407</v>
      </c>
      <c r="AA76" t="n">
        <v>1508</v>
      </c>
      <c r="AB76" t="n">
        <v>9</v>
      </c>
      <c r="AC76" t="n">
        <v>10</v>
      </c>
      <c r="AD76" t="n">
        <v>47</v>
      </c>
      <c r="AE76" t="n">
        <v>48</v>
      </c>
      <c r="AF76" t="n">
        <v>23</v>
      </c>
      <c r="AG76" t="n">
        <v>23</v>
      </c>
      <c r="AH76" t="n">
        <v>7</v>
      </c>
      <c r="AI76" t="n">
        <v>7</v>
      </c>
      <c r="AJ76" t="n">
        <v>19</v>
      </c>
      <c r="AK76" t="n">
        <v>19</v>
      </c>
      <c r="AL76" t="n">
        <v>8</v>
      </c>
      <c r="AM76" t="n">
        <v>9</v>
      </c>
      <c r="AN76" t="n">
        <v>0</v>
      </c>
      <c r="AO76" t="n">
        <v>0</v>
      </c>
      <c r="AP76" t="inlineStr">
        <is>
          <t>No</t>
        </is>
      </c>
      <c r="AQ76" t="inlineStr">
        <is>
          <t>Yes</t>
        </is>
      </c>
      <c r="AR76">
        <f>HYPERLINK("http://catalog.hathitrust.org/Record/004118196","HathiTrust Record")</f>
        <v/>
      </c>
      <c r="AS76">
        <f>HYPERLINK("https://creighton-primo.hosted.exlibrisgroup.com/primo-explore/search?tab=default_tab&amp;search_scope=EVERYTHING&amp;vid=01CRU&amp;lang=en_US&amp;offset=0&amp;query=any,contains,991003263889702656","Catalog Record")</f>
        <v/>
      </c>
      <c r="AT76">
        <f>HYPERLINK("http://www.worldcat.org/oclc/43790988","WorldCat Record")</f>
        <v/>
      </c>
      <c r="AU76" t="inlineStr">
        <is>
          <t>37527026:eng</t>
        </is>
      </c>
      <c r="AV76" t="inlineStr">
        <is>
          <t>43790988</t>
        </is>
      </c>
      <c r="AW76" t="inlineStr">
        <is>
          <t>991003263889702656</t>
        </is>
      </c>
      <c r="AX76" t="inlineStr">
        <is>
          <t>991003263889702656</t>
        </is>
      </c>
      <c r="AY76" t="inlineStr">
        <is>
          <t>2262980390002656</t>
        </is>
      </c>
      <c r="AZ76" t="inlineStr">
        <is>
          <t>BOOK</t>
        </is>
      </c>
      <c r="BB76" t="inlineStr">
        <is>
          <t>9780684844176</t>
        </is>
      </c>
      <c r="BC76" t="inlineStr">
        <is>
          <t>32285003759726</t>
        </is>
      </c>
      <c r="BD76" t="inlineStr">
        <is>
          <t>893252210</t>
        </is>
      </c>
    </row>
    <row r="77">
      <c r="A77" t="inlineStr">
        <is>
          <t>No</t>
        </is>
      </c>
      <c r="B77" t="inlineStr">
        <is>
          <t>LA217 .A55</t>
        </is>
      </c>
      <c r="C77" t="inlineStr">
        <is>
          <t>0                      LA 0217000A  55</t>
        </is>
      </c>
      <c r="D77" t="inlineStr">
        <is>
          <t>Reforming schools : problems in program implementation and evaluation / Wendy Peter Abt and Jay Magidson ; with the assistance of David Hoaglin and David Napoir ; foreword by Launor F. Carter.</t>
        </is>
      </c>
      <c r="F77" t="inlineStr">
        <is>
          <t>No</t>
        </is>
      </c>
      <c r="G77" t="inlineStr">
        <is>
          <t>1</t>
        </is>
      </c>
      <c r="H77" t="inlineStr">
        <is>
          <t>No</t>
        </is>
      </c>
      <c r="I77" t="inlineStr">
        <is>
          <t>No</t>
        </is>
      </c>
      <c r="J77" t="inlineStr">
        <is>
          <t>0</t>
        </is>
      </c>
      <c r="K77" t="inlineStr">
        <is>
          <t>Abt, Wendy Peter, 1946-</t>
        </is>
      </c>
      <c r="L77" t="inlineStr">
        <is>
          <t>Beverly Hills : Sage Publications, c1980.</t>
        </is>
      </c>
      <c r="M77" t="inlineStr">
        <is>
          <t>1980</t>
        </is>
      </c>
      <c r="O77" t="inlineStr">
        <is>
          <t>eng</t>
        </is>
      </c>
      <c r="P77" t="inlineStr">
        <is>
          <t>cau</t>
        </is>
      </c>
      <c r="Q77" t="inlineStr">
        <is>
          <t>Contemporary evaluation research ; v. 4</t>
        </is>
      </c>
      <c r="R77" t="inlineStr">
        <is>
          <t xml:space="preserve">LA </t>
        </is>
      </c>
      <c r="S77" t="n">
        <v>6</v>
      </c>
      <c r="T77" t="n">
        <v>6</v>
      </c>
      <c r="U77" t="inlineStr">
        <is>
          <t>2009-09-20</t>
        </is>
      </c>
      <c r="V77" t="inlineStr">
        <is>
          <t>2009-09-20</t>
        </is>
      </c>
      <c r="W77" t="inlineStr">
        <is>
          <t>1992-08-05</t>
        </is>
      </c>
      <c r="X77" t="inlineStr">
        <is>
          <t>1992-08-05</t>
        </is>
      </c>
      <c r="Y77" t="n">
        <v>229</v>
      </c>
      <c r="Z77" t="n">
        <v>181</v>
      </c>
      <c r="AA77" t="n">
        <v>186</v>
      </c>
      <c r="AB77" t="n">
        <v>3</v>
      </c>
      <c r="AC77" t="n">
        <v>3</v>
      </c>
      <c r="AD77" t="n">
        <v>8</v>
      </c>
      <c r="AE77" t="n">
        <v>8</v>
      </c>
      <c r="AF77" t="n">
        <v>2</v>
      </c>
      <c r="AG77" t="n">
        <v>2</v>
      </c>
      <c r="AH77" t="n">
        <v>3</v>
      </c>
      <c r="AI77" t="n">
        <v>3</v>
      </c>
      <c r="AJ77" t="n">
        <v>5</v>
      </c>
      <c r="AK77" t="n">
        <v>5</v>
      </c>
      <c r="AL77" t="n">
        <v>1</v>
      </c>
      <c r="AM77" t="n">
        <v>1</v>
      </c>
      <c r="AN77" t="n">
        <v>0</v>
      </c>
      <c r="AO77" t="n">
        <v>0</v>
      </c>
      <c r="AP77" t="inlineStr">
        <is>
          <t>No</t>
        </is>
      </c>
      <c r="AQ77" t="inlineStr">
        <is>
          <t>No</t>
        </is>
      </c>
      <c r="AS77">
        <f>HYPERLINK("https://creighton-primo.hosted.exlibrisgroup.com/primo-explore/search?tab=default_tab&amp;search_scope=EVERYTHING&amp;vid=01CRU&amp;lang=en_US&amp;offset=0&amp;query=any,contains,991005029419702656","Catalog Record")</f>
        <v/>
      </c>
      <c r="AT77">
        <f>HYPERLINK("http://www.worldcat.org/oclc/6708854","WorldCat Record")</f>
        <v/>
      </c>
      <c r="AU77" t="inlineStr">
        <is>
          <t>23715021:eng</t>
        </is>
      </c>
      <c r="AV77" t="inlineStr">
        <is>
          <t>6708854</t>
        </is>
      </c>
      <c r="AW77" t="inlineStr">
        <is>
          <t>991005029419702656</t>
        </is>
      </c>
      <c r="AX77" t="inlineStr">
        <is>
          <t>991005029419702656</t>
        </is>
      </c>
      <c r="AY77" t="inlineStr">
        <is>
          <t>2254754990002656</t>
        </is>
      </c>
      <c r="AZ77" t="inlineStr">
        <is>
          <t>BOOK</t>
        </is>
      </c>
      <c r="BB77" t="inlineStr">
        <is>
          <t>9780803914599</t>
        </is>
      </c>
      <c r="BC77" t="inlineStr">
        <is>
          <t>32285001233310</t>
        </is>
      </c>
      <c r="BD77" t="inlineStr">
        <is>
          <t>893412213</t>
        </is>
      </c>
    </row>
    <row r="78">
      <c r="A78" t="inlineStr">
        <is>
          <t>No</t>
        </is>
      </c>
      <c r="B78" t="inlineStr">
        <is>
          <t>LA217 .B68 1987</t>
        </is>
      </c>
      <c r="C78" t="inlineStr">
        <is>
          <t>0                      LA 0217000B  68          1987</t>
        </is>
      </c>
      <c r="D78" t="inlineStr">
        <is>
          <t>Elements of a post-liberal theory of education / C.A. Bowers.</t>
        </is>
      </c>
      <c r="F78" t="inlineStr">
        <is>
          <t>No</t>
        </is>
      </c>
      <c r="G78" t="inlineStr">
        <is>
          <t>1</t>
        </is>
      </c>
      <c r="H78" t="inlineStr">
        <is>
          <t>No</t>
        </is>
      </c>
      <c r="I78" t="inlineStr">
        <is>
          <t>No</t>
        </is>
      </c>
      <c r="J78" t="inlineStr">
        <is>
          <t>0</t>
        </is>
      </c>
      <c r="K78" t="inlineStr">
        <is>
          <t>Bowers, C. A.</t>
        </is>
      </c>
      <c r="L78" t="inlineStr">
        <is>
          <t>New York : Teachers College Press, Columbia University, c1987.</t>
        </is>
      </c>
      <c r="M78" t="inlineStr">
        <is>
          <t>1987</t>
        </is>
      </c>
      <c r="O78" t="inlineStr">
        <is>
          <t>eng</t>
        </is>
      </c>
      <c r="P78" t="inlineStr">
        <is>
          <t>nyu</t>
        </is>
      </c>
      <c r="R78" t="inlineStr">
        <is>
          <t xml:space="preserve">LA </t>
        </is>
      </c>
      <c r="S78" t="n">
        <v>2</v>
      </c>
      <c r="T78" t="n">
        <v>2</v>
      </c>
      <c r="U78" t="inlineStr">
        <is>
          <t>1998-04-16</t>
        </is>
      </c>
      <c r="V78" t="inlineStr">
        <is>
          <t>1998-04-16</t>
        </is>
      </c>
      <c r="W78" t="inlineStr">
        <is>
          <t>1992-08-05</t>
        </is>
      </c>
      <c r="X78" t="inlineStr">
        <is>
          <t>1992-08-05</t>
        </is>
      </c>
      <c r="Y78" t="n">
        <v>526</v>
      </c>
      <c r="Z78" t="n">
        <v>446</v>
      </c>
      <c r="AA78" t="n">
        <v>447</v>
      </c>
      <c r="AB78" t="n">
        <v>4</v>
      </c>
      <c r="AC78" t="n">
        <v>4</v>
      </c>
      <c r="AD78" t="n">
        <v>26</v>
      </c>
      <c r="AE78" t="n">
        <v>26</v>
      </c>
      <c r="AF78" t="n">
        <v>9</v>
      </c>
      <c r="AG78" t="n">
        <v>9</v>
      </c>
      <c r="AH78" t="n">
        <v>4</v>
      </c>
      <c r="AI78" t="n">
        <v>4</v>
      </c>
      <c r="AJ78" t="n">
        <v>15</v>
      </c>
      <c r="AK78" t="n">
        <v>15</v>
      </c>
      <c r="AL78" t="n">
        <v>3</v>
      </c>
      <c r="AM78" t="n">
        <v>3</v>
      </c>
      <c r="AN78" t="n">
        <v>0</v>
      </c>
      <c r="AO78" t="n">
        <v>0</v>
      </c>
      <c r="AP78" t="inlineStr">
        <is>
          <t>No</t>
        </is>
      </c>
      <c r="AQ78" t="inlineStr">
        <is>
          <t>No</t>
        </is>
      </c>
      <c r="AS78">
        <f>HYPERLINK("https://creighton-primo.hosted.exlibrisgroup.com/primo-explore/search?tab=default_tab&amp;search_scope=EVERYTHING&amp;vid=01CRU&amp;lang=en_US&amp;offset=0&amp;query=any,contains,991000975929702656","Catalog Record")</f>
        <v/>
      </c>
      <c r="AT78">
        <f>HYPERLINK("http://www.worldcat.org/oclc/15015929","WorldCat Record")</f>
        <v/>
      </c>
      <c r="AU78" t="inlineStr">
        <is>
          <t>8525414:eng</t>
        </is>
      </c>
      <c r="AV78" t="inlineStr">
        <is>
          <t>15015929</t>
        </is>
      </c>
      <c r="AW78" t="inlineStr">
        <is>
          <t>991000975929702656</t>
        </is>
      </c>
      <c r="AX78" t="inlineStr">
        <is>
          <t>991000975929702656</t>
        </is>
      </c>
      <c r="AY78" t="inlineStr">
        <is>
          <t>2266411490002656</t>
        </is>
      </c>
      <c r="AZ78" t="inlineStr">
        <is>
          <t>BOOK</t>
        </is>
      </c>
      <c r="BB78" t="inlineStr">
        <is>
          <t>9780807728499</t>
        </is>
      </c>
      <c r="BC78" t="inlineStr">
        <is>
          <t>32285001233369</t>
        </is>
      </c>
      <c r="BD78" t="inlineStr">
        <is>
          <t>893696352</t>
        </is>
      </c>
    </row>
    <row r="79">
      <c r="A79" t="inlineStr">
        <is>
          <t>No</t>
        </is>
      </c>
      <c r="B79" t="inlineStr">
        <is>
          <t>LA217 .E3656 1989</t>
        </is>
      </c>
      <c r="C79" t="inlineStr">
        <is>
          <t>0                      LA 0217000E  3656        1989</t>
        </is>
      </c>
      <c r="D79" t="inlineStr">
        <is>
          <t>Education &amp; the American dream : conservatives, liberals &amp; radicals debate the future of education / edited by Harvey Holtz ... [et al.] ; introduction by Henry A. Giroux and Paulo Freire.</t>
        </is>
      </c>
      <c r="F79" t="inlineStr">
        <is>
          <t>No</t>
        </is>
      </c>
      <c r="G79" t="inlineStr">
        <is>
          <t>1</t>
        </is>
      </c>
      <c r="H79" t="inlineStr">
        <is>
          <t>No</t>
        </is>
      </c>
      <c r="I79" t="inlineStr">
        <is>
          <t>No</t>
        </is>
      </c>
      <c r="J79" t="inlineStr">
        <is>
          <t>0</t>
        </is>
      </c>
      <c r="L79" t="inlineStr">
        <is>
          <t>Granby, Mass. : Bergin &amp; Garvey, 1989.</t>
        </is>
      </c>
      <c r="M79" t="inlineStr">
        <is>
          <t>1989</t>
        </is>
      </c>
      <c r="O79" t="inlineStr">
        <is>
          <t>eng</t>
        </is>
      </c>
      <c r="P79" t="inlineStr">
        <is>
          <t>mau</t>
        </is>
      </c>
      <c r="Q79" t="inlineStr">
        <is>
          <t>Critical studies in education series</t>
        </is>
      </c>
      <c r="R79" t="inlineStr">
        <is>
          <t xml:space="preserve">LA </t>
        </is>
      </c>
      <c r="S79" t="n">
        <v>3</v>
      </c>
      <c r="T79" t="n">
        <v>3</v>
      </c>
      <c r="U79" t="inlineStr">
        <is>
          <t>2009-10-28</t>
        </is>
      </c>
      <c r="V79" t="inlineStr">
        <is>
          <t>2009-10-28</t>
        </is>
      </c>
      <c r="W79" t="inlineStr">
        <is>
          <t>1990-02-26</t>
        </is>
      </c>
      <c r="X79" t="inlineStr">
        <is>
          <t>1990-02-26</t>
        </is>
      </c>
      <c r="Y79" t="n">
        <v>641</v>
      </c>
      <c r="Z79" t="n">
        <v>564</v>
      </c>
      <c r="AA79" t="n">
        <v>571</v>
      </c>
      <c r="AB79" t="n">
        <v>5</v>
      </c>
      <c r="AC79" t="n">
        <v>5</v>
      </c>
      <c r="AD79" t="n">
        <v>32</v>
      </c>
      <c r="AE79" t="n">
        <v>32</v>
      </c>
      <c r="AF79" t="n">
        <v>12</v>
      </c>
      <c r="AG79" t="n">
        <v>12</v>
      </c>
      <c r="AH79" t="n">
        <v>5</v>
      </c>
      <c r="AI79" t="n">
        <v>5</v>
      </c>
      <c r="AJ79" t="n">
        <v>19</v>
      </c>
      <c r="AK79" t="n">
        <v>19</v>
      </c>
      <c r="AL79" t="n">
        <v>4</v>
      </c>
      <c r="AM79" t="n">
        <v>4</v>
      </c>
      <c r="AN79" t="n">
        <v>0</v>
      </c>
      <c r="AO79" t="n">
        <v>0</v>
      </c>
      <c r="AP79" t="inlineStr">
        <is>
          <t>No</t>
        </is>
      </c>
      <c r="AQ79" t="inlineStr">
        <is>
          <t>Yes</t>
        </is>
      </c>
      <c r="AR79">
        <f>HYPERLINK("http://catalog.hathitrust.org/Record/001090159","HathiTrust Record")</f>
        <v/>
      </c>
      <c r="AS79">
        <f>HYPERLINK("https://creighton-primo.hosted.exlibrisgroup.com/primo-explore/search?tab=default_tab&amp;search_scope=EVERYTHING&amp;vid=01CRU&amp;lang=en_US&amp;offset=0&amp;query=any,contains,991001363719702656","Catalog Record")</f>
        <v/>
      </c>
      <c r="AT79">
        <f>HYPERLINK("http://www.worldcat.org/oclc/18557014","WorldCat Record")</f>
        <v/>
      </c>
      <c r="AU79" t="inlineStr">
        <is>
          <t>2888652:eng</t>
        </is>
      </c>
      <c r="AV79" t="inlineStr">
        <is>
          <t>18557014</t>
        </is>
      </c>
      <c r="AW79" t="inlineStr">
        <is>
          <t>991001363719702656</t>
        </is>
      </c>
      <c r="AX79" t="inlineStr">
        <is>
          <t>991001363719702656</t>
        </is>
      </c>
      <c r="AY79" t="inlineStr">
        <is>
          <t>2263978680002656</t>
        </is>
      </c>
      <c r="AZ79" t="inlineStr">
        <is>
          <t>BOOK</t>
        </is>
      </c>
      <c r="BB79" t="inlineStr">
        <is>
          <t>9780897891776</t>
        </is>
      </c>
      <c r="BC79" t="inlineStr">
        <is>
          <t>32285000059765</t>
        </is>
      </c>
      <c r="BD79" t="inlineStr">
        <is>
          <t>893702963</t>
        </is>
      </c>
    </row>
    <row r="80">
      <c r="A80" t="inlineStr">
        <is>
          <t>No</t>
        </is>
      </c>
      <c r="B80" t="inlineStr">
        <is>
          <t>LA217 .E36638 1990</t>
        </is>
      </c>
      <c r="C80" t="inlineStr">
        <is>
          <t>0                      LA 0217000E  36638       1990</t>
        </is>
      </c>
      <c r="D80" t="inlineStr">
        <is>
          <t>Education reform : making sense of it all / edited by Samuel B. Bacharach.</t>
        </is>
      </c>
      <c r="F80" t="inlineStr">
        <is>
          <t>No</t>
        </is>
      </c>
      <c r="G80" t="inlineStr">
        <is>
          <t>1</t>
        </is>
      </c>
      <c r="H80" t="inlineStr">
        <is>
          <t>No</t>
        </is>
      </c>
      <c r="I80" t="inlineStr">
        <is>
          <t>No</t>
        </is>
      </c>
      <c r="J80" t="inlineStr">
        <is>
          <t>0</t>
        </is>
      </c>
      <c r="L80" t="inlineStr">
        <is>
          <t>Boston : Allyn and Bacon, c1990.</t>
        </is>
      </c>
      <c r="M80" t="inlineStr">
        <is>
          <t>1990</t>
        </is>
      </c>
      <c r="O80" t="inlineStr">
        <is>
          <t>eng</t>
        </is>
      </c>
      <c r="P80" t="inlineStr">
        <is>
          <t>mau</t>
        </is>
      </c>
      <c r="R80" t="inlineStr">
        <is>
          <t xml:space="preserve">LA </t>
        </is>
      </c>
      <c r="S80" t="n">
        <v>20</v>
      </c>
      <c r="T80" t="n">
        <v>20</v>
      </c>
      <c r="U80" t="inlineStr">
        <is>
          <t>2008-02-21</t>
        </is>
      </c>
      <c r="V80" t="inlineStr">
        <is>
          <t>2008-02-21</t>
        </is>
      </c>
      <c r="W80" t="inlineStr">
        <is>
          <t>1990-12-07</t>
        </is>
      </c>
      <c r="X80" t="inlineStr">
        <is>
          <t>1990-12-07</t>
        </is>
      </c>
      <c r="Y80" t="n">
        <v>413</v>
      </c>
      <c r="Z80" t="n">
        <v>352</v>
      </c>
      <c r="AA80" t="n">
        <v>354</v>
      </c>
      <c r="AB80" t="n">
        <v>5</v>
      </c>
      <c r="AC80" t="n">
        <v>5</v>
      </c>
      <c r="AD80" t="n">
        <v>15</v>
      </c>
      <c r="AE80" t="n">
        <v>15</v>
      </c>
      <c r="AF80" t="n">
        <v>6</v>
      </c>
      <c r="AG80" t="n">
        <v>6</v>
      </c>
      <c r="AH80" t="n">
        <v>1</v>
      </c>
      <c r="AI80" t="n">
        <v>1</v>
      </c>
      <c r="AJ80" t="n">
        <v>7</v>
      </c>
      <c r="AK80" t="n">
        <v>7</v>
      </c>
      <c r="AL80" t="n">
        <v>3</v>
      </c>
      <c r="AM80" t="n">
        <v>3</v>
      </c>
      <c r="AN80" t="n">
        <v>0</v>
      </c>
      <c r="AO80" t="n">
        <v>0</v>
      </c>
      <c r="AP80" t="inlineStr">
        <is>
          <t>No</t>
        </is>
      </c>
      <c r="AQ80" t="inlineStr">
        <is>
          <t>Yes</t>
        </is>
      </c>
      <c r="AR80">
        <f>HYPERLINK("http://catalog.hathitrust.org/Record/001948588","HathiTrust Record")</f>
        <v/>
      </c>
      <c r="AS80">
        <f>HYPERLINK("https://creighton-primo.hosted.exlibrisgroup.com/primo-explore/search?tab=default_tab&amp;search_scope=EVERYTHING&amp;vid=01CRU&amp;lang=en_US&amp;offset=0&amp;query=any,contains,991001563309702656","Catalog Record")</f>
        <v/>
      </c>
      <c r="AT80">
        <f>HYPERLINK("http://www.worldcat.org/oclc/20318981","WorldCat Record")</f>
        <v/>
      </c>
      <c r="AU80" t="inlineStr">
        <is>
          <t>22247455:eng</t>
        </is>
      </c>
      <c r="AV80" t="inlineStr">
        <is>
          <t>20318981</t>
        </is>
      </c>
      <c r="AW80" t="inlineStr">
        <is>
          <t>991001563309702656</t>
        </is>
      </c>
      <c r="AX80" t="inlineStr">
        <is>
          <t>991001563309702656</t>
        </is>
      </c>
      <c r="AY80" t="inlineStr">
        <is>
          <t>2257967560002656</t>
        </is>
      </c>
      <c r="AZ80" t="inlineStr">
        <is>
          <t>BOOK</t>
        </is>
      </c>
      <c r="BB80" t="inlineStr">
        <is>
          <t>9780205119578</t>
        </is>
      </c>
      <c r="BC80" t="inlineStr">
        <is>
          <t>32285000359223</t>
        </is>
      </c>
      <c r="BD80" t="inlineStr">
        <is>
          <t>893897867</t>
        </is>
      </c>
    </row>
    <row r="81">
      <c r="A81" t="inlineStr">
        <is>
          <t>No</t>
        </is>
      </c>
      <c r="B81" t="inlineStr">
        <is>
          <t>LA217 .G37 1989</t>
        </is>
      </c>
      <c r="C81" t="inlineStr">
        <is>
          <t>0                      LA 0217000G  37          1989</t>
        </is>
      </c>
      <c r="D81" t="inlineStr">
        <is>
          <t>To open minds : Chinese clues to the dilemma of contemporary education / Howard Gardner.</t>
        </is>
      </c>
      <c r="F81" t="inlineStr">
        <is>
          <t>No</t>
        </is>
      </c>
      <c r="G81" t="inlineStr">
        <is>
          <t>1</t>
        </is>
      </c>
      <c r="H81" t="inlineStr">
        <is>
          <t>No</t>
        </is>
      </c>
      <c r="I81" t="inlineStr">
        <is>
          <t>No</t>
        </is>
      </c>
      <c r="J81" t="inlineStr">
        <is>
          <t>0</t>
        </is>
      </c>
      <c r="K81" t="inlineStr">
        <is>
          <t>Gardner, Howard, 1943-</t>
        </is>
      </c>
      <c r="L81" t="inlineStr">
        <is>
          <t>New York : Basic Books, c1989.</t>
        </is>
      </c>
      <c r="M81" t="inlineStr">
        <is>
          <t>1989</t>
        </is>
      </c>
      <c r="O81" t="inlineStr">
        <is>
          <t>eng</t>
        </is>
      </c>
      <c r="P81" t="inlineStr">
        <is>
          <t>nyu</t>
        </is>
      </c>
      <c r="R81" t="inlineStr">
        <is>
          <t xml:space="preserve">LA </t>
        </is>
      </c>
      <c r="S81" t="n">
        <v>8</v>
      </c>
      <c r="T81" t="n">
        <v>8</v>
      </c>
      <c r="U81" t="inlineStr">
        <is>
          <t>1999-09-09</t>
        </is>
      </c>
      <c r="V81" t="inlineStr">
        <is>
          <t>1999-09-09</t>
        </is>
      </c>
      <c r="W81" t="inlineStr">
        <is>
          <t>1991-08-01</t>
        </is>
      </c>
      <c r="X81" t="inlineStr">
        <is>
          <t>1991-08-01</t>
        </is>
      </c>
      <c r="Y81" t="n">
        <v>844</v>
      </c>
      <c r="Z81" t="n">
        <v>751</v>
      </c>
      <c r="AA81" t="n">
        <v>938</v>
      </c>
      <c r="AB81" t="n">
        <v>5</v>
      </c>
      <c r="AC81" t="n">
        <v>6</v>
      </c>
      <c r="AD81" t="n">
        <v>27</v>
      </c>
      <c r="AE81" t="n">
        <v>36</v>
      </c>
      <c r="AF81" t="n">
        <v>9</v>
      </c>
      <c r="AG81" t="n">
        <v>14</v>
      </c>
      <c r="AH81" t="n">
        <v>8</v>
      </c>
      <c r="AI81" t="n">
        <v>9</v>
      </c>
      <c r="AJ81" t="n">
        <v>15</v>
      </c>
      <c r="AK81" t="n">
        <v>20</v>
      </c>
      <c r="AL81" t="n">
        <v>3</v>
      </c>
      <c r="AM81" t="n">
        <v>4</v>
      </c>
      <c r="AN81" t="n">
        <v>0</v>
      </c>
      <c r="AO81" t="n">
        <v>0</v>
      </c>
      <c r="AP81" t="inlineStr">
        <is>
          <t>No</t>
        </is>
      </c>
      <c r="AQ81" t="inlineStr">
        <is>
          <t>Yes</t>
        </is>
      </c>
      <c r="AR81">
        <f>HYPERLINK("http://catalog.hathitrust.org/Record/001537258","HathiTrust Record")</f>
        <v/>
      </c>
      <c r="AS81">
        <f>HYPERLINK("https://creighton-primo.hosted.exlibrisgroup.com/primo-explore/search?tab=default_tab&amp;search_scope=EVERYTHING&amp;vid=01CRU&amp;lang=en_US&amp;offset=0&amp;query=any,contains,991001467959702656","Catalog Record")</f>
        <v/>
      </c>
      <c r="AT81">
        <f>HYPERLINK("http://www.worldcat.org/oclc/19515781","WorldCat Record")</f>
        <v/>
      </c>
      <c r="AU81" t="inlineStr">
        <is>
          <t>21375284:eng</t>
        </is>
      </c>
      <c r="AV81" t="inlineStr">
        <is>
          <t>19515781</t>
        </is>
      </c>
      <c r="AW81" t="inlineStr">
        <is>
          <t>991001467959702656</t>
        </is>
      </c>
      <c r="AX81" t="inlineStr">
        <is>
          <t>991001467959702656</t>
        </is>
      </c>
      <c r="AY81" t="inlineStr">
        <is>
          <t>2261423500002656</t>
        </is>
      </c>
      <c r="AZ81" t="inlineStr">
        <is>
          <t>BOOK</t>
        </is>
      </c>
      <c r="BB81" t="inlineStr">
        <is>
          <t>9780465086306</t>
        </is>
      </c>
      <c r="BC81" t="inlineStr">
        <is>
          <t>32285000663400</t>
        </is>
      </c>
      <c r="BD81" t="inlineStr">
        <is>
          <t>893444698</t>
        </is>
      </c>
    </row>
    <row r="82">
      <c r="A82" t="inlineStr">
        <is>
          <t>No</t>
        </is>
      </c>
      <c r="B82" t="inlineStr">
        <is>
          <t>LA217 .G57 1988</t>
        </is>
      </c>
      <c r="C82" t="inlineStr">
        <is>
          <t>0                      LA 0217000G  57          1988</t>
        </is>
      </c>
      <c r="D82" t="inlineStr">
        <is>
          <t>Teachers as intellectuals : toward a critical pedagogy of learning / Henry A. Giroux ; introduction by Paulo Freire ; foreword by Peter McLaren.</t>
        </is>
      </c>
      <c r="F82" t="inlineStr">
        <is>
          <t>No</t>
        </is>
      </c>
      <c r="G82" t="inlineStr">
        <is>
          <t>1</t>
        </is>
      </c>
      <c r="H82" t="inlineStr">
        <is>
          <t>No</t>
        </is>
      </c>
      <c r="I82" t="inlineStr">
        <is>
          <t>No</t>
        </is>
      </c>
      <c r="J82" t="inlineStr">
        <is>
          <t>0</t>
        </is>
      </c>
      <c r="K82" t="inlineStr">
        <is>
          <t>Giroux, Henry A.</t>
        </is>
      </c>
      <c r="L82" t="inlineStr">
        <is>
          <t>South Hadley, Mass. : Bergin &amp; Garvey, 1988.</t>
        </is>
      </c>
      <c r="M82" t="inlineStr">
        <is>
          <t>1988</t>
        </is>
      </c>
      <c r="O82" t="inlineStr">
        <is>
          <t>eng</t>
        </is>
      </c>
      <c r="P82" t="inlineStr">
        <is>
          <t>mau</t>
        </is>
      </c>
      <c r="Q82" t="inlineStr">
        <is>
          <t>Critical studies in education series</t>
        </is>
      </c>
      <c r="R82" t="inlineStr">
        <is>
          <t xml:space="preserve">LA </t>
        </is>
      </c>
      <c r="S82" t="n">
        <v>11</v>
      </c>
      <c r="T82" t="n">
        <v>11</v>
      </c>
      <c r="U82" t="inlineStr">
        <is>
          <t>2008-05-07</t>
        </is>
      </c>
      <c r="V82" t="inlineStr">
        <is>
          <t>2008-05-07</t>
        </is>
      </c>
      <c r="W82" t="inlineStr">
        <is>
          <t>1992-08-05</t>
        </is>
      </c>
      <c r="X82" t="inlineStr">
        <is>
          <t>1992-08-05</t>
        </is>
      </c>
      <c r="Y82" t="n">
        <v>894</v>
      </c>
      <c r="Z82" t="n">
        <v>728</v>
      </c>
      <c r="AA82" t="n">
        <v>729</v>
      </c>
      <c r="AB82" t="n">
        <v>6</v>
      </c>
      <c r="AC82" t="n">
        <v>6</v>
      </c>
      <c r="AD82" t="n">
        <v>40</v>
      </c>
      <c r="AE82" t="n">
        <v>40</v>
      </c>
      <c r="AF82" t="n">
        <v>16</v>
      </c>
      <c r="AG82" t="n">
        <v>16</v>
      </c>
      <c r="AH82" t="n">
        <v>7</v>
      </c>
      <c r="AI82" t="n">
        <v>7</v>
      </c>
      <c r="AJ82" t="n">
        <v>20</v>
      </c>
      <c r="AK82" t="n">
        <v>20</v>
      </c>
      <c r="AL82" t="n">
        <v>5</v>
      </c>
      <c r="AM82" t="n">
        <v>5</v>
      </c>
      <c r="AN82" t="n">
        <v>0</v>
      </c>
      <c r="AO82" t="n">
        <v>0</v>
      </c>
      <c r="AP82" t="inlineStr">
        <is>
          <t>No</t>
        </is>
      </c>
      <c r="AQ82" t="inlineStr">
        <is>
          <t>No</t>
        </is>
      </c>
      <c r="AS82">
        <f>HYPERLINK("https://creighton-primo.hosted.exlibrisgroup.com/primo-explore/search?tab=default_tab&amp;search_scope=EVERYTHING&amp;vid=01CRU&amp;lang=en_US&amp;offset=0&amp;query=any,contains,991001260439702656","Catalog Record")</f>
        <v/>
      </c>
      <c r="AT82">
        <f>HYPERLINK("http://www.worldcat.org/oclc/17766375","WorldCat Record")</f>
        <v/>
      </c>
      <c r="AU82" t="inlineStr">
        <is>
          <t>42202128:eng</t>
        </is>
      </c>
      <c r="AV82" t="inlineStr">
        <is>
          <t>17766375</t>
        </is>
      </c>
      <c r="AW82" t="inlineStr">
        <is>
          <t>991001260439702656</t>
        </is>
      </c>
      <c r="AX82" t="inlineStr">
        <is>
          <t>991001260439702656</t>
        </is>
      </c>
      <c r="AY82" t="inlineStr">
        <is>
          <t>2256071530002656</t>
        </is>
      </c>
      <c r="AZ82" t="inlineStr">
        <is>
          <t>BOOK</t>
        </is>
      </c>
      <c r="BB82" t="inlineStr">
        <is>
          <t>9780897891561</t>
        </is>
      </c>
      <c r="BC82" t="inlineStr">
        <is>
          <t>32285001233518</t>
        </is>
      </c>
      <c r="BD82" t="inlineStr">
        <is>
          <t>893250100</t>
        </is>
      </c>
    </row>
    <row r="83">
      <c r="A83" t="inlineStr">
        <is>
          <t>No</t>
        </is>
      </c>
      <c r="B83" t="inlineStr">
        <is>
          <t>LA217 .G654 1984</t>
        </is>
      </c>
      <c r="C83" t="inlineStr">
        <is>
          <t>0                      LA 0217000G  654         1984</t>
        </is>
      </c>
      <c r="D83" t="inlineStr">
        <is>
          <t>A place called school : prospects for the future / John I. Goodlad.</t>
        </is>
      </c>
      <c r="F83" t="inlineStr">
        <is>
          <t>No</t>
        </is>
      </c>
      <c r="G83" t="inlineStr">
        <is>
          <t>2</t>
        </is>
      </c>
      <c r="H83" t="inlineStr">
        <is>
          <t>No</t>
        </is>
      </c>
      <c r="I83" t="inlineStr">
        <is>
          <t>No</t>
        </is>
      </c>
      <c r="J83" t="inlineStr">
        <is>
          <t>0</t>
        </is>
      </c>
      <c r="K83" t="inlineStr">
        <is>
          <t>Goodlad, John I.</t>
        </is>
      </c>
      <c r="L83" t="inlineStr">
        <is>
          <t>New York : McGraw-Hill Book Co., c1984.</t>
        </is>
      </c>
      <c r="M83" t="inlineStr">
        <is>
          <t>1984</t>
        </is>
      </c>
      <c r="O83" t="inlineStr">
        <is>
          <t>eng</t>
        </is>
      </c>
      <c r="P83" t="inlineStr">
        <is>
          <t>nyu</t>
        </is>
      </c>
      <c r="Q83" t="inlineStr">
        <is>
          <t>A Study of schooling in the United States</t>
        </is>
      </c>
      <c r="R83" t="inlineStr">
        <is>
          <t xml:space="preserve">LA </t>
        </is>
      </c>
      <c r="S83" t="n">
        <v>3</v>
      </c>
      <c r="T83" t="n">
        <v>3</v>
      </c>
      <c r="U83" t="inlineStr">
        <is>
          <t>1998-10-19</t>
        </is>
      </c>
      <c r="V83" t="inlineStr">
        <is>
          <t>1998-10-19</t>
        </is>
      </c>
      <c r="W83" t="inlineStr">
        <is>
          <t>1995-03-23</t>
        </is>
      </c>
      <c r="X83" t="inlineStr">
        <is>
          <t>1995-03-23</t>
        </is>
      </c>
      <c r="Y83" t="n">
        <v>1833</v>
      </c>
      <c r="Z83" t="n">
        <v>1623</v>
      </c>
      <c r="AA83" t="n">
        <v>1742</v>
      </c>
      <c r="AB83" t="n">
        <v>11</v>
      </c>
      <c r="AC83" t="n">
        <v>12</v>
      </c>
      <c r="AD83" t="n">
        <v>54</v>
      </c>
      <c r="AE83" t="n">
        <v>57</v>
      </c>
      <c r="AF83" t="n">
        <v>24</v>
      </c>
      <c r="AG83" t="n">
        <v>25</v>
      </c>
      <c r="AH83" t="n">
        <v>8</v>
      </c>
      <c r="AI83" t="n">
        <v>9</v>
      </c>
      <c r="AJ83" t="n">
        <v>25</v>
      </c>
      <c r="AK83" t="n">
        <v>25</v>
      </c>
      <c r="AL83" t="n">
        <v>10</v>
      </c>
      <c r="AM83" t="n">
        <v>11</v>
      </c>
      <c r="AN83" t="n">
        <v>0</v>
      </c>
      <c r="AO83" t="n">
        <v>0</v>
      </c>
      <c r="AP83" t="inlineStr">
        <is>
          <t>No</t>
        </is>
      </c>
      <c r="AQ83" t="inlineStr">
        <is>
          <t>Yes</t>
        </is>
      </c>
      <c r="AR83">
        <f>HYPERLINK("http://catalog.hathitrust.org/Record/000317923","HathiTrust Record")</f>
        <v/>
      </c>
      <c r="AS83">
        <f>HYPERLINK("https://creighton-primo.hosted.exlibrisgroup.com/primo-explore/search?tab=default_tab&amp;search_scope=EVERYTHING&amp;vid=01CRU&amp;lang=en_US&amp;offset=0&amp;query=any,contains,991000210069702656","Catalog Record")</f>
        <v/>
      </c>
      <c r="AT83">
        <f>HYPERLINK("http://www.worldcat.org/oclc/9533443","WorldCat Record")</f>
        <v/>
      </c>
      <c r="AU83" t="inlineStr">
        <is>
          <t>139702326:eng</t>
        </is>
      </c>
      <c r="AV83" t="inlineStr">
        <is>
          <t>9533443</t>
        </is>
      </c>
      <c r="AW83" t="inlineStr">
        <is>
          <t>991000210069702656</t>
        </is>
      </c>
      <c r="AX83" t="inlineStr">
        <is>
          <t>991000210069702656</t>
        </is>
      </c>
      <c r="AY83" t="inlineStr">
        <is>
          <t>2263102970002656</t>
        </is>
      </c>
      <c r="AZ83" t="inlineStr">
        <is>
          <t>BOOK</t>
        </is>
      </c>
      <c r="BB83" t="inlineStr">
        <is>
          <t>9780070236264</t>
        </is>
      </c>
      <c r="BC83" t="inlineStr">
        <is>
          <t>32285002013711</t>
        </is>
      </c>
      <c r="BD83" t="inlineStr">
        <is>
          <t>893689528</t>
        </is>
      </c>
    </row>
    <row r="84">
      <c r="A84" t="inlineStr">
        <is>
          <t>No</t>
        </is>
      </c>
      <c r="B84" t="inlineStr">
        <is>
          <t>LA217 .G74 1985</t>
        </is>
      </c>
      <c r="C84" t="inlineStr">
        <is>
          <t>0                      LA 0217000G  74          1985</t>
        </is>
      </c>
      <c r="D84" t="inlineStr">
        <is>
          <t>The Great school debate : which way for American education? / edited by Beatrice and Ronald Gross.</t>
        </is>
      </c>
      <c r="F84" t="inlineStr">
        <is>
          <t>No</t>
        </is>
      </c>
      <c r="G84" t="inlineStr">
        <is>
          <t>1</t>
        </is>
      </c>
      <c r="H84" t="inlineStr">
        <is>
          <t>No</t>
        </is>
      </c>
      <c r="I84" t="inlineStr">
        <is>
          <t>No</t>
        </is>
      </c>
      <c r="J84" t="inlineStr">
        <is>
          <t>0</t>
        </is>
      </c>
      <c r="L84" t="inlineStr">
        <is>
          <t>New York : Simon &amp; Schuster, c1985.</t>
        </is>
      </c>
      <c r="M84" t="inlineStr">
        <is>
          <t>1985</t>
        </is>
      </c>
      <c r="O84" t="inlineStr">
        <is>
          <t>eng</t>
        </is>
      </c>
      <c r="P84" t="inlineStr">
        <is>
          <t>nyu</t>
        </is>
      </c>
      <c r="R84" t="inlineStr">
        <is>
          <t xml:space="preserve">LA </t>
        </is>
      </c>
      <c r="S84" t="n">
        <v>4</v>
      </c>
      <c r="T84" t="n">
        <v>4</v>
      </c>
      <c r="U84" t="inlineStr">
        <is>
          <t>2008-05-07</t>
        </is>
      </c>
      <c r="V84" t="inlineStr">
        <is>
          <t>2008-05-07</t>
        </is>
      </c>
      <c r="W84" t="inlineStr">
        <is>
          <t>1992-08-05</t>
        </is>
      </c>
      <c r="X84" t="inlineStr">
        <is>
          <t>1992-08-05</t>
        </is>
      </c>
      <c r="Y84" t="n">
        <v>965</v>
      </c>
      <c r="Z84" t="n">
        <v>904</v>
      </c>
      <c r="AA84" t="n">
        <v>910</v>
      </c>
      <c r="AB84" t="n">
        <v>8</v>
      </c>
      <c r="AC84" t="n">
        <v>8</v>
      </c>
      <c r="AD84" t="n">
        <v>28</v>
      </c>
      <c r="AE84" t="n">
        <v>28</v>
      </c>
      <c r="AF84" t="n">
        <v>13</v>
      </c>
      <c r="AG84" t="n">
        <v>13</v>
      </c>
      <c r="AH84" t="n">
        <v>6</v>
      </c>
      <c r="AI84" t="n">
        <v>6</v>
      </c>
      <c r="AJ84" t="n">
        <v>13</v>
      </c>
      <c r="AK84" t="n">
        <v>13</v>
      </c>
      <c r="AL84" t="n">
        <v>5</v>
      </c>
      <c r="AM84" t="n">
        <v>5</v>
      </c>
      <c r="AN84" t="n">
        <v>0</v>
      </c>
      <c r="AO84" t="n">
        <v>0</v>
      </c>
      <c r="AP84" t="inlineStr">
        <is>
          <t>No</t>
        </is>
      </c>
      <c r="AQ84" t="inlineStr">
        <is>
          <t>Yes</t>
        </is>
      </c>
      <c r="AR84">
        <f>HYPERLINK("http://catalog.hathitrust.org/Record/000917112","HathiTrust Record")</f>
        <v/>
      </c>
      <c r="AS84">
        <f>HYPERLINK("https://creighton-primo.hosted.exlibrisgroup.com/primo-explore/search?tab=default_tab&amp;search_scope=EVERYTHING&amp;vid=01CRU&amp;lang=en_US&amp;offset=0&amp;query=any,contains,991000548409702656","Catalog Record")</f>
        <v/>
      </c>
      <c r="AT84">
        <f>HYPERLINK("http://www.worldcat.org/oclc/11523532","WorldCat Record")</f>
        <v/>
      </c>
      <c r="AU84" t="inlineStr">
        <is>
          <t>889557409:eng</t>
        </is>
      </c>
      <c r="AV84" t="inlineStr">
        <is>
          <t>11523532</t>
        </is>
      </c>
      <c r="AW84" t="inlineStr">
        <is>
          <t>991000548409702656</t>
        </is>
      </c>
      <c r="AX84" t="inlineStr">
        <is>
          <t>991000548409702656</t>
        </is>
      </c>
      <c r="AY84" t="inlineStr">
        <is>
          <t>2265293960002656</t>
        </is>
      </c>
      <c r="AZ84" t="inlineStr">
        <is>
          <t>BOOK</t>
        </is>
      </c>
      <c r="BB84" t="inlineStr">
        <is>
          <t>9780671541361</t>
        </is>
      </c>
      <c r="BC84" t="inlineStr">
        <is>
          <t>32285001233526</t>
        </is>
      </c>
      <c r="BD84" t="inlineStr">
        <is>
          <t>893508886</t>
        </is>
      </c>
    </row>
    <row r="85">
      <c r="A85" t="inlineStr">
        <is>
          <t>No</t>
        </is>
      </c>
      <c r="B85" t="inlineStr">
        <is>
          <t>LA217 .K57 1984</t>
        </is>
      </c>
      <c r="C85" t="inlineStr">
        <is>
          <t>0                      LA 0217000K  57          1984</t>
        </is>
      </c>
      <c r="D85" t="inlineStr">
        <is>
          <t>Who controls our schools? : American values in conflict / Michael W. Kirst.</t>
        </is>
      </c>
      <c r="F85" t="inlineStr">
        <is>
          <t>No</t>
        </is>
      </c>
      <c r="G85" t="inlineStr">
        <is>
          <t>1</t>
        </is>
      </c>
      <c r="H85" t="inlineStr">
        <is>
          <t>No</t>
        </is>
      </c>
      <c r="I85" t="inlineStr">
        <is>
          <t>No</t>
        </is>
      </c>
      <c r="J85" t="inlineStr">
        <is>
          <t>0</t>
        </is>
      </c>
      <c r="K85" t="inlineStr">
        <is>
          <t>Kirst, Michael W.</t>
        </is>
      </c>
      <c r="L85" t="inlineStr">
        <is>
          <t>New York : Freeman, c1984.</t>
        </is>
      </c>
      <c r="M85" t="inlineStr">
        <is>
          <t>1984</t>
        </is>
      </c>
      <c r="O85" t="inlineStr">
        <is>
          <t>eng</t>
        </is>
      </c>
      <c r="P85" t="inlineStr">
        <is>
          <t>nyu</t>
        </is>
      </c>
      <c r="R85" t="inlineStr">
        <is>
          <t xml:space="preserve">LA </t>
        </is>
      </c>
      <c r="S85" t="n">
        <v>3</v>
      </c>
      <c r="T85" t="n">
        <v>3</v>
      </c>
      <c r="U85" t="inlineStr">
        <is>
          <t>2008-01-17</t>
        </is>
      </c>
      <c r="V85" t="inlineStr">
        <is>
          <t>2008-01-17</t>
        </is>
      </c>
      <c r="W85" t="inlineStr">
        <is>
          <t>1992-08-05</t>
        </is>
      </c>
      <c r="X85" t="inlineStr">
        <is>
          <t>1992-08-05</t>
        </is>
      </c>
      <c r="Y85" t="n">
        <v>458</v>
      </c>
      <c r="Z85" t="n">
        <v>404</v>
      </c>
      <c r="AA85" t="n">
        <v>437</v>
      </c>
      <c r="AB85" t="n">
        <v>5</v>
      </c>
      <c r="AC85" t="n">
        <v>5</v>
      </c>
      <c r="AD85" t="n">
        <v>16</v>
      </c>
      <c r="AE85" t="n">
        <v>17</v>
      </c>
      <c r="AF85" t="n">
        <v>7</v>
      </c>
      <c r="AG85" t="n">
        <v>7</v>
      </c>
      <c r="AH85" t="n">
        <v>2</v>
      </c>
      <c r="AI85" t="n">
        <v>2</v>
      </c>
      <c r="AJ85" t="n">
        <v>10</v>
      </c>
      <c r="AK85" t="n">
        <v>11</v>
      </c>
      <c r="AL85" t="n">
        <v>3</v>
      </c>
      <c r="AM85" t="n">
        <v>3</v>
      </c>
      <c r="AN85" t="n">
        <v>0</v>
      </c>
      <c r="AO85" t="n">
        <v>0</v>
      </c>
      <c r="AP85" t="inlineStr">
        <is>
          <t>No</t>
        </is>
      </c>
      <c r="AQ85" t="inlineStr">
        <is>
          <t>No</t>
        </is>
      </c>
      <c r="AS85">
        <f>HYPERLINK("https://creighton-primo.hosted.exlibrisgroup.com/primo-explore/search?tab=default_tab&amp;search_scope=EVERYTHING&amp;vid=01CRU&amp;lang=en_US&amp;offset=0&amp;query=any,contains,991000534419702656","Catalog Record")</f>
        <v/>
      </c>
      <c r="AT85">
        <f>HYPERLINK("http://www.worldcat.org/oclc/11443056","WorldCat Record")</f>
        <v/>
      </c>
      <c r="AU85" t="inlineStr">
        <is>
          <t>895188332:eng</t>
        </is>
      </c>
      <c r="AV85" t="inlineStr">
        <is>
          <t>11443056</t>
        </is>
      </c>
      <c r="AW85" t="inlineStr">
        <is>
          <t>991000534419702656</t>
        </is>
      </c>
      <c r="AX85" t="inlineStr">
        <is>
          <t>991000534419702656</t>
        </is>
      </c>
      <c r="AY85" t="inlineStr">
        <is>
          <t>2265207490002656</t>
        </is>
      </c>
      <c r="AZ85" t="inlineStr">
        <is>
          <t>BOOK</t>
        </is>
      </c>
      <c r="BB85" t="inlineStr">
        <is>
          <t>9780716717201</t>
        </is>
      </c>
      <c r="BC85" t="inlineStr">
        <is>
          <t>32285001233609</t>
        </is>
      </c>
      <c r="BD85" t="inlineStr">
        <is>
          <t>893790609</t>
        </is>
      </c>
    </row>
    <row r="86">
      <c r="A86" t="inlineStr">
        <is>
          <t>No</t>
        </is>
      </c>
      <c r="B86" t="inlineStr">
        <is>
          <t>LA217 .K688</t>
        </is>
      </c>
      <c r="C86" t="inlineStr">
        <is>
          <t>0                      LA 0217000K  688</t>
        </is>
      </c>
      <c r="D86" t="inlineStr">
        <is>
          <t>On being a teacher / Jonathan Kozol.</t>
        </is>
      </c>
      <c r="F86" t="inlineStr">
        <is>
          <t>No</t>
        </is>
      </c>
      <c r="G86" t="inlineStr">
        <is>
          <t>1</t>
        </is>
      </c>
      <c r="H86" t="inlineStr">
        <is>
          <t>No</t>
        </is>
      </c>
      <c r="I86" t="inlineStr">
        <is>
          <t>No</t>
        </is>
      </c>
      <c r="J86" t="inlineStr">
        <is>
          <t>0</t>
        </is>
      </c>
      <c r="K86" t="inlineStr">
        <is>
          <t>Kozol, Jonathan.</t>
        </is>
      </c>
      <c r="L86" t="inlineStr">
        <is>
          <t>New York : Continuum, 1981.</t>
        </is>
      </c>
      <c r="M86" t="inlineStr">
        <is>
          <t>1981</t>
        </is>
      </c>
      <c r="O86" t="inlineStr">
        <is>
          <t>eng</t>
        </is>
      </c>
      <c r="P86" t="inlineStr">
        <is>
          <t>nyu</t>
        </is>
      </c>
      <c r="R86" t="inlineStr">
        <is>
          <t xml:space="preserve">LA </t>
        </is>
      </c>
      <c r="S86" t="n">
        <v>16</v>
      </c>
      <c r="T86" t="n">
        <v>16</v>
      </c>
      <c r="U86" t="inlineStr">
        <is>
          <t>2009-06-03</t>
        </is>
      </c>
      <c r="V86" t="inlineStr">
        <is>
          <t>2009-06-03</t>
        </is>
      </c>
      <c r="W86" t="inlineStr">
        <is>
          <t>1992-07-03</t>
        </is>
      </c>
      <c r="X86" t="inlineStr">
        <is>
          <t>1992-07-03</t>
        </is>
      </c>
      <c r="Y86" t="n">
        <v>1056</v>
      </c>
      <c r="Z86" t="n">
        <v>992</v>
      </c>
      <c r="AA86" t="n">
        <v>1256</v>
      </c>
      <c r="AB86" t="n">
        <v>11</v>
      </c>
      <c r="AC86" t="n">
        <v>13</v>
      </c>
      <c r="AD86" t="n">
        <v>35</v>
      </c>
      <c r="AE86" t="n">
        <v>40</v>
      </c>
      <c r="AF86" t="n">
        <v>14</v>
      </c>
      <c r="AG86" t="n">
        <v>16</v>
      </c>
      <c r="AH86" t="n">
        <v>6</v>
      </c>
      <c r="AI86" t="n">
        <v>6</v>
      </c>
      <c r="AJ86" t="n">
        <v>15</v>
      </c>
      <c r="AK86" t="n">
        <v>17</v>
      </c>
      <c r="AL86" t="n">
        <v>9</v>
      </c>
      <c r="AM86" t="n">
        <v>11</v>
      </c>
      <c r="AN86" t="n">
        <v>0</v>
      </c>
      <c r="AO86" t="n">
        <v>0</v>
      </c>
      <c r="AP86" t="inlineStr">
        <is>
          <t>No</t>
        </is>
      </c>
      <c r="AQ86" t="inlineStr">
        <is>
          <t>Yes</t>
        </is>
      </c>
      <c r="AR86">
        <f>HYPERLINK("http://catalog.hathitrust.org/Record/000307664","HathiTrust Record")</f>
        <v/>
      </c>
      <c r="AS86">
        <f>HYPERLINK("https://creighton-primo.hosted.exlibrisgroup.com/primo-explore/search?tab=default_tab&amp;search_scope=EVERYTHING&amp;vid=01CRU&amp;lang=en_US&amp;offset=0&amp;query=any,contains,991005059739702656","Catalog Record")</f>
        <v/>
      </c>
      <c r="AT86">
        <f>HYPERLINK("http://www.worldcat.org/oclc/6916271","WorldCat Record")</f>
        <v/>
      </c>
      <c r="AU86" t="inlineStr">
        <is>
          <t>390781:eng</t>
        </is>
      </c>
      <c r="AV86" t="inlineStr">
        <is>
          <t>6916271</t>
        </is>
      </c>
      <c r="AW86" t="inlineStr">
        <is>
          <t>991005059739702656</t>
        </is>
      </c>
      <c r="AX86" t="inlineStr">
        <is>
          <t>991005059739702656</t>
        </is>
      </c>
      <c r="AY86" t="inlineStr">
        <is>
          <t>2266279250002656</t>
        </is>
      </c>
      <c r="AZ86" t="inlineStr">
        <is>
          <t>BOOK</t>
        </is>
      </c>
      <c r="BB86" t="inlineStr">
        <is>
          <t>9780826400352</t>
        </is>
      </c>
      <c r="BC86" t="inlineStr">
        <is>
          <t>32285001158434</t>
        </is>
      </c>
      <c r="BD86" t="inlineStr">
        <is>
          <t>893594396</t>
        </is>
      </c>
    </row>
    <row r="87">
      <c r="A87" t="inlineStr">
        <is>
          <t>No</t>
        </is>
      </c>
      <c r="B87" t="inlineStr">
        <is>
          <t>LA217 .L48 1986</t>
        </is>
      </c>
      <c r="C87" t="inlineStr">
        <is>
          <t>0                      LA 0217000L  48          1986</t>
        </is>
      </c>
      <c r="D87" t="inlineStr">
        <is>
          <t>Achieving excellence in our schools-- by taking lessons from America's best-run companies / James Lewis, Jr.</t>
        </is>
      </c>
      <c r="F87" t="inlineStr">
        <is>
          <t>No</t>
        </is>
      </c>
      <c r="G87" t="inlineStr">
        <is>
          <t>1</t>
        </is>
      </c>
      <c r="H87" t="inlineStr">
        <is>
          <t>No</t>
        </is>
      </c>
      <c r="I87" t="inlineStr">
        <is>
          <t>No</t>
        </is>
      </c>
      <c r="J87" t="inlineStr">
        <is>
          <t>0</t>
        </is>
      </c>
      <c r="K87" t="inlineStr">
        <is>
          <t>Lewis, James, 1930-</t>
        </is>
      </c>
      <c r="L87" t="inlineStr">
        <is>
          <t>Westbury, N.Y. : J.L. Wilkerson Pub. Co., c1986.</t>
        </is>
      </c>
      <c r="M87" t="inlineStr">
        <is>
          <t>1986</t>
        </is>
      </c>
      <c r="N87" t="inlineStr">
        <is>
          <t>1st ed.</t>
        </is>
      </c>
      <c r="O87" t="inlineStr">
        <is>
          <t>eng</t>
        </is>
      </c>
      <c r="P87" t="inlineStr">
        <is>
          <t>nyu</t>
        </is>
      </c>
      <c r="R87" t="inlineStr">
        <is>
          <t xml:space="preserve">LA </t>
        </is>
      </c>
      <c r="S87" t="n">
        <v>3</v>
      </c>
      <c r="T87" t="n">
        <v>3</v>
      </c>
      <c r="U87" t="inlineStr">
        <is>
          <t>2000-10-30</t>
        </is>
      </c>
      <c r="V87" t="inlineStr">
        <is>
          <t>2000-10-30</t>
        </is>
      </c>
      <c r="W87" t="inlineStr">
        <is>
          <t>1992-08-05</t>
        </is>
      </c>
      <c r="X87" t="inlineStr">
        <is>
          <t>1992-08-05</t>
        </is>
      </c>
      <c r="Y87" t="n">
        <v>645</v>
      </c>
      <c r="Z87" t="n">
        <v>618</v>
      </c>
      <c r="AA87" t="n">
        <v>624</v>
      </c>
      <c r="AB87" t="n">
        <v>6</v>
      </c>
      <c r="AC87" t="n">
        <v>6</v>
      </c>
      <c r="AD87" t="n">
        <v>27</v>
      </c>
      <c r="AE87" t="n">
        <v>27</v>
      </c>
      <c r="AF87" t="n">
        <v>13</v>
      </c>
      <c r="AG87" t="n">
        <v>13</v>
      </c>
      <c r="AH87" t="n">
        <v>4</v>
      </c>
      <c r="AI87" t="n">
        <v>4</v>
      </c>
      <c r="AJ87" t="n">
        <v>12</v>
      </c>
      <c r="AK87" t="n">
        <v>12</v>
      </c>
      <c r="AL87" t="n">
        <v>5</v>
      </c>
      <c r="AM87" t="n">
        <v>5</v>
      </c>
      <c r="AN87" t="n">
        <v>0</v>
      </c>
      <c r="AO87" t="n">
        <v>0</v>
      </c>
      <c r="AP87" t="inlineStr">
        <is>
          <t>No</t>
        </is>
      </c>
      <c r="AQ87" t="inlineStr">
        <is>
          <t>No</t>
        </is>
      </c>
      <c r="AS87">
        <f>HYPERLINK("https://creighton-primo.hosted.exlibrisgroup.com/primo-explore/search?tab=default_tab&amp;search_scope=EVERYTHING&amp;vid=01CRU&amp;lang=en_US&amp;offset=0&amp;query=any,contains,991000746919702656","Catalog Record")</f>
        <v/>
      </c>
      <c r="AT87">
        <f>HYPERLINK("http://www.worldcat.org/oclc/12865264","WorldCat Record")</f>
        <v/>
      </c>
      <c r="AU87" t="inlineStr">
        <is>
          <t>5497446:eng</t>
        </is>
      </c>
      <c r="AV87" t="inlineStr">
        <is>
          <t>12865264</t>
        </is>
      </c>
      <c r="AW87" t="inlineStr">
        <is>
          <t>991000746919702656</t>
        </is>
      </c>
      <c r="AX87" t="inlineStr">
        <is>
          <t>991000746919702656</t>
        </is>
      </c>
      <c r="AY87" t="inlineStr">
        <is>
          <t>2258104000002656</t>
        </is>
      </c>
      <c r="AZ87" t="inlineStr">
        <is>
          <t>BOOK</t>
        </is>
      </c>
      <c r="BB87" t="inlineStr">
        <is>
          <t>9780915253036</t>
        </is>
      </c>
      <c r="BC87" t="inlineStr">
        <is>
          <t>32285001233617</t>
        </is>
      </c>
      <c r="BD87" t="inlineStr">
        <is>
          <t>893878327</t>
        </is>
      </c>
    </row>
    <row r="88">
      <c r="A88" t="inlineStr">
        <is>
          <t>No</t>
        </is>
      </c>
      <c r="B88" t="inlineStr">
        <is>
          <t>LA217 .N439 1990</t>
        </is>
      </c>
      <c r="C88" t="inlineStr">
        <is>
          <t>0                      LA 0217000N  439         1990</t>
        </is>
      </c>
      <c r="D88" t="inlineStr">
        <is>
          <t>Critical issues in education / Jack L. Nelson, Stuart B. Palonsky, Kenneth Carlson.</t>
        </is>
      </c>
      <c r="F88" t="inlineStr">
        <is>
          <t>No</t>
        </is>
      </c>
      <c r="G88" t="inlineStr">
        <is>
          <t>1</t>
        </is>
      </c>
      <c r="H88" t="inlineStr">
        <is>
          <t>No</t>
        </is>
      </c>
      <c r="I88" t="inlineStr">
        <is>
          <t>Yes</t>
        </is>
      </c>
      <c r="J88" t="inlineStr">
        <is>
          <t>0</t>
        </is>
      </c>
      <c r="K88" t="inlineStr">
        <is>
          <t>Nelson, Jack L.</t>
        </is>
      </c>
      <c r="L88" t="inlineStr">
        <is>
          <t>New York : McGraw-Hill Pub. Co., c1990.</t>
        </is>
      </c>
      <c r="M88" t="inlineStr">
        <is>
          <t>1990</t>
        </is>
      </c>
      <c r="O88" t="inlineStr">
        <is>
          <t>eng</t>
        </is>
      </c>
      <c r="P88" t="inlineStr">
        <is>
          <t>nyu</t>
        </is>
      </c>
      <c r="R88" t="inlineStr">
        <is>
          <t xml:space="preserve">LA </t>
        </is>
      </c>
      <c r="S88" t="n">
        <v>24</v>
      </c>
      <c r="T88" t="n">
        <v>24</v>
      </c>
      <c r="U88" t="inlineStr">
        <is>
          <t>2008-01-17</t>
        </is>
      </c>
      <c r="V88" t="inlineStr">
        <is>
          <t>2008-01-17</t>
        </is>
      </c>
      <c r="W88" t="inlineStr">
        <is>
          <t>1992-04-22</t>
        </is>
      </c>
      <c r="X88" t="inlineStr">
        <is>
          <t>1992-04-22</t>
        </is>
      </c>
      <c r="Y88" t="n">
        <v>250</v>
      </c>
      <c r="Z88" t="n">
        <v>186</v>
      </c>
      <c r="AA88" t="n">
        <v>374</v>
      </c>
      <c r="AB88" t="n">
        <v>3</v>
      </c>
      <c r="AC88" t="n">
        <v>6</v>
      </c>
      <c r="AD88" t="n">
        <v>7</v>
      </c>
      <c r="AE88" t="n">
        <v>17</v>
      </c>
      <c r="AF88" t="n">
        <v>2</v>
      </c>
      <c r="AG88" t="n">
        <v>6</v>
      </c>
      <c r="AH88" t="n">
        <v>1</v>
      </c>
      <c r="AI88" t="n">
        <v>3</v>
      </c>
      <c r="AJ88" t="n">
        <v>4</v>
      </c>
      <c r="AK88" t="n">
        <v>6</v>
      </c>
      <c r="AL88" t="n">
        <v>2</v>
      </c>
      <c r="AM88" t="n">
        <v>5</v>
      </c>
      <c r="AN88" t="n">
        <v>0</v>
      </c>
      <c r="AO88" t="n">
        <v>0</v>
      </c>
      <c r="AP88" t="inlineStr">
        <is>
          <t>No</t>
        </is>
      </c>
      <c r="AQ88" t="inlineStr">
        <is>
          <t>No</t>
        </is>
      </c>
      <c r="AS88">
        <f>HYPERLINK("https://creighton-primo.hosted.exlibrisgroup.com/primo-explore/search?tab=default_tab&amp;search_scope=EVERYTHING&amp;vid=01CRU&amp;lang=en_US&amp;offset=0&amp;query=any,contains,991001560699702656","Catalog Record")</f>
        <v/>
      </c>
      <c r="AT88">
        <f>HYPERLINK("http://www.worldcat.org/oclc/20296727","WorldCat Record")</f>
        <v/>
      </c>
      <c r="AU88" t="inlineStr">
        <is>
          <t>4926770365:eng</t>
        </is>
      </c>
      <c r="AV88" t="inlineStr">
        <is>
          <t>20296727</t>
        </is>
      </c>
      <c r="AW88" t="inlineStr">
        <is>
          <t>991001560699702656</t>
        </is>
      </c>
      <c r="AX88" t="inlineStr">
        <is>
          <t>991001560699702656</t>
        </is>
      </c>
      <c r="AY88" t="inlineStr">
        <is>
          <t>2260252220002656</t>
        </is>
      </c>
      <c r="AZ88" t="inlineStr">
        <is>
          <t>BOOK</t>
        </is>
      </c>
      <c r="BB88" t="inlineStr">
        <is>
          <t>9780075572350</t>
        </is>
      </c>
      <c r="BC88" t="inlineStr">
        <is>
          <t>32285001036515</t>
        </is>
      </c>
      <c r="BD88" t="inlineStr">
        <is>
          <t>893897866</t>
        </is>
      </c>
    </row>
    <row r="89">
      <c r="A89" t="inlineStr">
        <is>
          <t>No</t>
        </is>
      </c>
      <c r="B89" t="inlineStr">
        <is>
          <t>LA217 .N47 1989</t>
        </is>
      </c>
      <c r="C89" t="inlineStr">
        <is>
          <t>0                      LA 0217000N  47          1989</t>
        </is>
      </c>
      <c r="D89" t="inlineStr">
        <is>
          <t>The New servants of power : a critique of the 1980s school reform movement / edited by Christine M. Shea, Ernest Kahane and Peter Sola ; foreword by Maxine Greene.</t>
        </is>
      </c>
      <c r="F89" t="inlineStr">
        <is>
          <t>No</t>
        </is>
      </c>
      <c r="G89" t="inlineStr">
        <is>
          <t>1</t>
        </is>
      </c>
      <c r="H89" t="inlineStr">
        <is>
          <t>No</t>
        </is>
      </c>
      <c r="I89" t="inlineStr">
        <is>
          <t>No</t>
        </is>
      </c>
      <c r="J89" t="inlineStr">
        <is>
          <t>0</t>
        </is>
      </c>
      <c r="L89" t="inlineStr">
        <is>
          <t>New York : Greenwood Press, 1989.</t>
        </is>
      </c>
      <c r="M89" t="inlineStr">
        <is>
          <t>1989</t>
        </is>
      </c>
      <c r="O89" t="inlineStr">
        <is>
          <t>eng</t>
        </is>
      </c>
      <c r="P89" t="inlineStr">
        <is>
          <t>nyu</t>
        </is>
      </c>
      <c r="Q89" t="inlineStr">
        <is>
          <t>Contributions to the study of education, 0196-707X ; no. 28</t>
        </is>
      </c>
      <c r="R89" t="inlineStr">
        <is>
          <t xml:space="preserve">LA </t>
        </is>
      </c>
      <c r="S89" t="n">
        <v>2</v>
      </c>
      <c r="T89" t="n">
        <v>2</v>
      </c>
      <c r="U89" t="inlineStr">
        <is>
          <t>1993-01-28</t>
        </is>
      </c>
      <c r="V89" t="inlineStr">
        <is>
          <t>1993-01-28</t>
        </is>
      </c>
      <c r="W89" t="inlineStr">
        <is>
          <t>1989-10-20</t>
        </is>
      </c>
      <c r="X89" t="inlineStr">
        <is>
          <t>1989-10-20</t>
        </is>
      </c>
      <c r="Y89" t="n">
        <v>588</v>
      </c>
      <c r="Z89" t="n">
        <v>534</v>
      </c>
      <c r="AA89" t="n">
        <v>600</v>
      </c>
      <c r="AB89" t="n">
        <v>3</v>
      </c>
      <c r="AC89" t="n">
        <v>3</v>
      </c>
      <c r="AD89" t="n">
        <v>26</v>
      </c>
      <c r="AE89" t="n">
        <v>30</v>
      </c>
      <c r="AF89" t="n">
        <v>9</v>
      </c>
      <c r="AG89" t="n">
        <v>10</v>
      </c>
      <c r="AH89" t="n">
        <v>6</v>
      </c>
      <c r="AI89" t="n">
        <v>7</v>
      </c>
      <c r="AJ89" t="n">
        <v>13</v>
      </c>
      <c r="AK89" t="n">
        <v>17</v>
      </c>
      <c r="AL89" t="n">
        <v>2</v>
      </c>
      <c r="AM89" t="n">
        <v>2</v>
      </c>
      <c r="AN89" t="n">
        <v>0</v>
      </c>
      <c r="AO89" t="n">
        <v>0</v>
      </c>
      <c r="AP89" t="inlineStr">
        <is>
          <t>No</t>
        </is>
      </c>
      <c r="AQ89" t="inlineStr">
        <is>
          <t>Yes</t>
        </is>
      </c>
      <c r="AR89">
        <f>HYPERLINK("http://catalog.hathitrust.org/Record/001086623","HathiTrust Record")</f>
        <v/>
      </c>
      <c r="AS89">
        <f>HYPERLINK("https://creighton-primo.hosted.exlibrisgroup.com/primo-explore/search?tab=default_tab&amp;search_scope=EVERYTHING&amp;vid=01CRU&amp;lang=en_US&amp;offset=0&amp;query=any,contains,991001289539702656","Catalog Record")</f>
        <v/>
      </c>
      <c r="AT89">
        <f>HYPERLINK("http://www.worldcat.org/oclc/17982675","WorldCat Record")</f>
        <v/>
      </c>
      <c r="AU89" t="inlineStr">
        <is>
          <t>836887248:eng</t>
        </is>
      </c>
      <c r="AV89" t="inlineStr">
        <is>
          <t>17982675</t>
        </is>
      </c>
      <c r="AW89" t="inlineStr">
        <is>
          <t>991001289539702656</t>
        </is>
      </c>
      <c r="AX89" t="inlineStr">
        <is>
          <t>991001289539702656</t>
        </is>
      </c>
      <c r="AY89" t="inlineStr">
        <is>
          <t>2259416030002656</t>
        </is>
      </c>
      <c r="AZ89" t="inlineStr">
        <is>
          <t>BOOK</t>
        </is>
      </c>
      <c r="BB89" t="inlineStr">
        <is>
          <t>9780313254758</t>
        </is>
      </c>
      <c r="BC89" t="inlineStr">
        <is>
          <t>32285000002690</t>
        </is>
      </c>
      <c r="BD89" t="inlineStr">
        <is>
          <t>893528852</t>
        </is>
      </c>
    </row>
    <row r="90">
      <c r="A90" t="inlineStr">
        <is>
          <t>No</t>
        </is>
      </c>
      <c r="B90" t="inlineStr">
        <is>
          <t>LA217 .N49 1990</t>
        </is>
      </c>
      <c r="C90" t="inlineStr">
        <is>
          <t>0                      LA 0217000N  49          1990</t>
        </is>
      </c>
      <c r="D90" t="inlineStr">
        <is>
          <t>America's teachers : an introduction to education / Joseph W. Newman.</t>
        </is>
      </c>
      <c r="F90" t="inlineStr">
        <is>
          <t>No</t>
        </is>
      </c>
      <c r="G90" t="inlineStr">
        <is>
          <t>1</t>
        </is>
      </c>
      <c r="H90" t="inlineStr">
        <is>
          <t>No</t>
        </is>
      </c>
      <c r="I90" t="inlineStr">
        <is>
          <t>No</t>
        </is>
      </c>
      <c r="J90" t="inlineStr">
        <is>
          <t>0</t>
        </is>
      </c>
      <c r="K90" t="inlineStr">
        <is>
          <t>Newman, Joseph W.</t>
        </is>
      </c>
      <c r="L90" t="inlineStr">
        <is>
          <t>New York : Longman, c1990.</t>
        </is>
      </c>
      <c r="M90" t="inlineStr">
        <is>
          <t>1990</t>
        </is>
      </c>
      <c r="O90" t="inlineStr">
        <is>
          <t>eng</t>
        </is>
      </c>
      <c r="P90" t="inlineStr">
        <is>
          <t>nyu</t>
        </is>
      </c>
      <c r="R90" t="inlineStr">
        <is>
          <t xml:space="preserve">LA </t>
        </is>
      </c>
      <c r="S90" t="n">
        <v>12</v>
      </c>
      <c r="T90" t="n">
        <v>12</v>
      </c>
      <c r="U90" t="inlineStr">
        <is>
          <t>2006-02-09</t>
        </is>
      </c>
      <c r="V90" t="inlineStr">
        <is>
          <t>2006-02-09</t>
        </is>
      </c>
      <c r="W90" t="inlineStr">
        <is>
          <t>2000-01-05</t>
        </is>
      </c>
      <c r="X90" t="inlineStr">
        <is>
          <t>2000-01-05</t>
        </is>
      </c>
      <c r="Y90" t="n">
        <v>233</v>
      </c>
      <c r="Z90" t="n">
        <v>218</v>
      </c>
      <c r="AA90" t="n">
        <v>509</v>
      </c>
      <c r="AB90" t="n">
        <v>3</v>
      </c>
      <c r="AC90" t="n">
        <v>6</v>
      </c>
      <c r="AD90" t="n">
        <v>7</v>
      </c>
      <c r="AE90" t="n">
        <v>22</v>
      </c>
      <c r="AF90" t="n">
        <v>1</v>
      </c>
      <c r="AG90" t="n">
        <v>11</v>
      </c>
      <c r="AH90" t="n">
        <v>1</v>
      </c>
      <c r="AI90" t="n">
        <v>1</v>
      </c>
      <c r="AJ90" t="n">
        <v>4</v>
      </c>
      <c r="AK90" t="n">
        <v>10</v>
      </c>
      <c r="AL90" t="n">
        <v>2</v>
      </c>
      <c r="AM90" t="n">
        <v>5</v>
      </c>
      <c r="AN90" t="n">
        <v>0</v>
      </c>
      <c r="AO90" t="n">
        <v>0</v>
      </c>
      <c r="AP90" t="inlineStr">
        <is>
          <t>No</t>
        </is>
      </c>
      <c r="AQ90" t="inlineStr">
        <is>
          <t>Yes</t>
        </is>
      </c>
      <c r="AR90">
        <f>HYPERLINK("http://catalog.hathitrust.org/Record/007067602","HathiTrust Record")</f>
        <v/>
      </c>
      <c r="AS90">
        <f>HYPERLINK("https://creighton-primo.hosted.exlibrisgroup.com/primo-explore/search?tab=default_tab&amp;search_scope=EVERYTHING&amp;vid=01CRU&amp;lang=en_US&amp;offset=0&amp;query=any,contains,991001492459702656","Catalog Record")</f>
        <v/>
      </c>
      <c r="AT90">
        <f>HYPERLINK("http://www.worldcat.org/oclc/19739352","WorldCat Record")</f>
        <v/>
      </c>
      <c r="AU90" t="inlineStr">
        <is>
          <t>37301:eng</t>
        </is>
      </c>
      <c r="AV90" t="inlineStr">
        <is>
          <t>19739352</t>
        </is>
      </c>
      <c r="AW90" t="inlineStr">
        <is>
          <t>991001492459702656</t>
        </is>
      </c>
      <c r="AX90" t="inlineStr">
        <is>
          <t>991001492459702656</t>
        </is>
      </c>
      <c r="AY90" t="inlineStr">
        <is>
          <t>2259310210002656</t>
        </is>
      </c>
      <c r="AZ90" t="inlineStr">
        <is>
          <t>BOOK</t>
        </is>
      </c>
      <c r="BB90" t="inlineStr">
        <is>
          <t>9785822866829</t>
        </is>
      </c>
      <c r="BC90" t="inlineStr">
        <is>
          <t>32285003637625</t>
        </is>
      </c>
      <c r="BD90" t="inlineStr">
        <is>
          <t>893721036</t>
        </is>
      </c>
    </row>
    <row r="91">
      <c r="A91" t="inlineStr">
        <is>
          <t>No</t>
        </is>
      </c>
      <c r="B91" t="inlineStr">
        <is>
          <t>LA217 .N63 2007</t>
        </is>
      </c>
      <c r="C91" t="inlineStr">
        <is>
          <t>0                      LA 0217000N  63          2007</t>
        </is>
      </c>
      <c r="D91" t="inlineStr">
        <is>
          <t>When school reform goes wrong / Nel Noddings.</t>
        </is>
      </c>
      <c r="F91" t="inlineStr">
        <is>
          <t>No</t>
        </is>
      </c>
      <c r="G91" t="inlineStr">
        <is>
          <t>1</t>
        </is>
      </c>
      <c r="H91" t="inlineStr">
        <is>
          <t>No</t>
        </is>
      </c>
      <c r="I91" t="inlineStr">
        <is>
          <t>No</t>
        </is>
      </c>
      <c r="J91" t="inlineStr">
        <is>
          <t>0</t>
        </is>
      </c>
      <c r="K91" t="inlineStr">
        <is>
          <t>Noddings, Nel.</t>
        </is>
      </c>
      <c r="L91" t="inlineStr">
        <is>
          <t>New York : Teachers College Press, c2007.</t>
        </is>
      </c>
      <c r="M91" t="inlineStr">
        <is>
          <t>2007</t>
        </is>
      </c>
      <c r="O91" t="inlineStr">
        <is>
          <t>eng</t>
        </is>
      </c>
      <c r="P91" t="inlineStr">
        <is>
          <t>nyu</t>
        </is>
      </c>
      <c r="R91" t="inlineStr">
        <is>
          <t xml:space="preserve">LA </t>
        </is>
      </c>
      <c r="S91" t="n">
        <v>3</v>
      </c>
      <c r="T91" t="n">
        <v>3</v>
      </c>
      <c r="U91" t="inlineStr">
        <is>
          <t>2009-09-27</t>
        </is>
      </c>
      <c r="V91" t="inlineStr">
        <is>
          <t>2009-09-27</t>
        </is>
      </c>
      <c r="W91" t="inlineStr">
        <is>
          <t>2007-10-24</t>
        </is>
      </c>
      <c r="X91" t="inlineStr">
        <is>
          <t>2007-10-24</t>
        </is>
      </c>
      <c r="Y91" t="n">
        <v>584</v>
      </c>
      <c r="Z91" t="n">
        <v>530</v>
      </c>
      <c r="AA91" t="n">
        <v>549</v>
      </c>
      <c r="AB91" t="n">
        <v>4</v>
      </c>
      <c r="AC91" t="n">
        <v>4</v>
      </c>
      <c r="AD91" t="n">
        <v>30</v>
      </c>
      <c r="AE91" t="n">
        <v>30</v>
      </c>
      <c r="AF91" t="n">
        <v>16</v>
      </c>
      <c r="AG91" t="n">
        <v>16</v>
      </c>
      <c r="AH91" t="n">
        <v>4</v>
      </c>
      <c r="AI91" t="n">
        <v>4</v>
      </c>
      <c r="AJ91" t="n">
        <v>12</v>
      </c>
      <c r="AK91" t="n">
        <v>12</v>
      </c>
      <c r="AL91" t="n">
        <v>3</v>
      </c>
      <c r="AM91" t="n">
        <v>3</v>
      </c>
      <c r="AN91" t="n">
        <v>0</v>
      </c>
      <c r="AO91" t="n">
        <v>0</v>
      </c>
      <c r="AP91" t="inlineStr">
        <is>
          <t>No</t>
        </is>
      </c>
      <c r="AQ91" t="inlineStr">
        <is>
          <t>Yes</t>
        </is>
      </c>
      <c r="AR91">
        <f>HYPERLINK("http://catalog.hathitrust.org/Record/005600092","HathiTrust Record")</f>
        <v/>
      </c>
      <c r="AS91">
        <f>HYPERLINK("https://creighton-primo.hosted.exlibrisgroup.com/primo-explore/search?tab=default_tab&amp;search_scope=EVERYTHING&amp;vid=01CRU&amp;lang=en_US&amp;offset=0&amp;query=any,contains,991005129769702656","Catalog Record")</f>
        <v/>
      </c>
      <c r="AT91">
        <f>HYPERLINK("http://www.worldcat.org/oclc/86172879","WorldCat Record")</f>
        <v/>
      </c>
      <c r="AU91" t="inlineStr">
        <is>
          <t>70006349:eng</t>
        </is>
      </c>
      <c r="AV91" t="inlineStr">
        <is>
          <t>86172879</t>
        </is>
      </c>
      <c r="AW91" t="inlineStr">
        <is>
          <t>991005129769702656</t>
        </is>
      </c>
      <c r="AX91" t="inlineStr">
        <is>
          <t>991005129769702656</t>
        </is>
      </c>
      <c r="AY91" t="inlineStr">
        <is>
          <t>2260668200002656</t>
        </is>
      </c>
      <c r="AZ91" t="inlineStr">
        <is>
          <t>BOOK</t>
        </is>
      </c>
      <c r="BB91" t="inlineStr">
        <is>
          <t>9780807748107</t>
        </is>
      </c>
      <c r="BC91" t="inlineStr">
        <is>
          <t>32285005360671</t>
        </is>
      </c>
      <c r="BD91" t="inlineStr">
        <is>
          <t>893338562</t>
        </is>
      </c>
    </row>
    <row r="92">
      <c r="A92" t="inlineStr">
        <is>
          <t>No</t>
        </is>
      </c>
      <c r="B92" t="inlineStr">
        <is>
          <t>LA217 .S297 1990</t>
        </is>
      </c>
      <c r="C92" t="inlineStr">
        <is>
          <t>0                      LA 0217000S  297         1990</t>
        </is>
      </c>
      <c r="D92" t="inlineStr">
        <is>
          <t>Schools as collaborative cultures : creating the future now / edited by Ann Lieberman.</t>
        </is>
      </c>
      <c r="F92" t="inlineStr">
        <is>
          <t>No</t>
        </is>
      </c>
      <c r="G92" t="inlineStr">
        <is>
          <t>1</t>
        </is>
      </c>
      <c r="H92" t="inlineStr">
        <is>
          <t>No</t>
        </is>
      </c>
      <c r="I92" t="inlineStr">
        <is>
          <t>No</t>
        </is>
      </c>
      <c r="J92" t="inlineStr">
        <is>
          <t>0</t>
        </is>
      </c>
      <c r="L92" t="inlineStr">
        <is>
          <t>New York : Falmer Press, 1990.</t>
        </is>
      </c>
      <c r="M92" t="inlineStr">
        <is>
          <t>1990</t>
        </is>
      </c>
      <c r="O92" t="inlineStr">
        <is>
          <t>eng</t>
        </is>
      </c>
      <c r="P92" t="inlineStr">
        <is>
          <t>nyu</t>
        </is>
      </c>
      <c r="Q92" t="inlineStr">
        <is>
          <t>School development and the management of change series ; 3</t>
        </is>
      </c>
      <c r="R92" t="inlineStr">
        <is>
          <t xml:space="preserve">LA </t>
        </is>
      </c>
      <c r="S92" t="n">
        <v>3</v>
      </c>
      <c r="T92" t="n">
        <v>3</v>
      </c>
      <c r="U92" t="inlineStr">
        <is>
          <t>1999-04-08</t>
        </is>
      </c>
      <c r="V92" t="inlineStr">
        <is>
          <t>1999-04-08</t>
        </is>
      </c>
      <c r="W92" t="inlineStr">
        <is>
          <t>1991-01-24</t>
        </is>
      </c>
      <c r="X92" t="inlineStr">
        <is>
          <t>1991-01-24</t>
        </is>
      </c>
      <c r="Y92" t="n">
        <v>299</v>
      </c>
      <c r="Z92" t="n">
        <v>193</v>
      </c>
      <c r="AA92" t="n">
        <v>201</v>
      </c>
      <c r="AB92" t="n">
        <v>4</v>
      </c>
      <c r="AC92" t="n">
        <v>4</v>
      </c>
      <c r="AD92" t="n">
        <v>12</v>
      </c>
      <c r="AE92" t="n">
        <v>12</v>
      </c>
      <c r="AF92" t="n">
        <v>4</v>
      </c>
      <c r="AG92" t="n">
        <v>4</v>
      </c>
      <c r="AH92" t="n">
        <v>1</v>
      </c>
      <c r="AI92" t="n">
        <v>1</v>
      </c>
      <c r="AJ92" t="n">
        <v>5</v>
      </c>
      <c r="AK92" t="n">
        <v>5</v>
      </c>
      <c r="AL92" t="n">
        <v>3</v>
      </c>
      <c r="AM92" t="n">
        <v>3</v>
      </c>
      <c r="AN92" t="n">
        <v>0</v>
      </c>
      <c r="AO92" t="n">
        <v>0</v>
      </c>
      <c r="AP92" t="inlineStr">
        <is>
          <t>No</t>
        </is>
      </c>
      <c r="AQ92" t="inlineStr">
        <is>
          <t>Yes</t>
        </is>
      </c>
      <c r="AR92">
        <f>HYPERLINK("http://catalog.hathitrust.org/Record/002165175","HathiTrust Record")</f>
        <v/>
      </c>
      <c r="AS92">
        <f>HYPERLINK("https://creighton-primo.hosted.exlibrisgroup.com/primo-explore/search?tab=default_tab&amp;search_scope=EVERYTHING&amp;vid=01CRU&amp;lang=en_US&amp;offset=0&amp;query=any,contains,991001755589702656","Catalog Record")</f>
        <v/>
      </c>
      <c r="AT92">
        <f>HYPERLINK("http://www.worldcat.org/oclc/22208923","WorldCat Record")</f>
        <v/>
      </c>
      <c r="AU92" t="inlineStr">
        <is>
          <t>836726383:eng</t>
        </is>
      </c>
      <c r="AV92" t="inlineStr">
        <is>
          <t>22208923</t>
        </is>
      </c>
      <c r="AW92" t="inlineStr">
        <is>
          <t>991001755589702656</t>
        </is>
      </c>
      <c r="AX92" t="inlineStr">
        <is>
          <t>991001755589702656</t>
        </is>
      </c>
      <c r="AY92" t="inlineStr">
        <is>
          <t>2255308930002656</t>
        </is>
      </c>
      <c r="AZ92" t="inlineStr">
        <is>
          <t>BOOK</t>
        </is>
      </c>
      <c r="BB92" t="inlineStr">
        <is>
          <t>9781850006732</t>
        </is>
      </c>
      <c r="BC92" t="inlineStr">
        <is>
          <t>32285000460385</t>
        </is>
      </c>
      <c r="BD92" t="inlineStr">
        <is>
          <t>893534666</t>
        </is>
      </c>
    </row>
    <row r="93">
      <c r="A93" t="inlineStr">
        <is>
          <t>No</t>
        </is>
      </c>
      <c r="B93" t="inlineStr">
        <is>
          <t>LA217 .S52 1988</t>
        </is>
      </c>
      <c r="C93" t="inlineStr">
        <is>
          <t>0                      LA 0217000S  52          1988</t>
        </is>
      </c>
      <c r="D93" t="inlineStr">
        <is>
          <t>Educating reason : rationality, critical thinking, and education / Harvey Siegel.</t>
        </is>
      </c>
      <c r="F93" t="inlineStr">
        <is>
          <t>No</t>
        </is>
      </c>
      <c r="G93" t="inlineStr">
        <is>
          <t>1</t>
        </is>
      </c>
      <c r="H93" t="inlineStr">
        <is>
          <t>No</t>
        </is>
      </c>
      <c r="I93" t="inlineStr">
        <is>
          <t>No</t>
        </is>
      </c>
      <c r="J93" t="inlineStr">
        <is>
          <t>0</t>
        </is>
      </c>
      <c r="K93" t="inlineStr">
        <is>
          <t>Siegel, Harvey, 1952-</t>
        </is>
      </c>
      <c r="L93" t="inlineStr">
        <is>
          <t>New York : Published by Routledge in association with Metheun, 1988.</t>
        </is>
      </c>
      <c r="M93" t="inlineStr">
        <is>
          <t>1988</t>
        </is>
      </c>
      <c r="O93" t="inlineStr">
        <is>
          <t>eng</t>
        </is>
      </c>
      <c r="P93" t="inlineStr">
        <is>
          <t>nyu</t>
        </is>
      </c>
      <c r="Q93" t="inlineStr">
        <is>
          <t>Philosophy of education research library</t>
        </is>
      </c>
      <c r="R93" t="inlineStr">
        <is>
          <t xml:space="preserve">LA </t>
        </is>
      </c>
      <c r="S93" t="n">
        <v>1</v>
      </c>
      <c r="T93" t="n">
        <v>1</v>
      </c>
      <c r="U93" t="inlineStr">
        <is>
          <t>2000-10-30</t>
        </is>
      </c>
      <c r="V93" t="inlineStr">
        <is>
          <t>2000-10-30</t>
        </is>
      </c>
      <c r="W93" t="inlineStr">
        <is>
          <t>1990-05-04</t>
        </is>
      </c>
      <c r="X93" t="inlineStr">
        <is>
          <t>1990-05-04</t>
        </is>
      </c>
      <c r="Y93" t="n">
        <v>559</v>
      </c>
      <c r="Z93" t="n">
        <v>414</v>
      </c>
      <c r="AA93" t="n">
        <v>457</v>
      </c>
      <c r="AB93" t="n">
        <v>4</v>
      </c>
      <c r="AC93" t="n">
        <v>6</v>
      </c>
      <c r="AD93" t="n">
        <v>24</v>
      </c>
      <c r="AE93" t="n">
        <v>26</v>
      </c>
      <c r="AF93" t="n">
        <v>7</v>
      </c>
      <c r="AG93" t="n">
        <v>7</v>
      </c>
      <c r="AH93" t="n">
        <v>8</v>
      </c>
      <c r="AI93" t="n">
        <v>8</v>
      </c>
      <c r="AJ93" t="n">
        <v>15</v>
      </c>
      <c r="AK93" t="n">
        <v>15</v>
      </c>
      <c r="AL93" t="n">
        <v>3</v>
      </c>
      <c r="AM93" t="n">
        <v>5</v>
      </c>
      <c r="AN93" t="n">
        <v>0</v>
      </c>
      <c r="AO93" t="n">
        <v>0</v>
      </c>
      <c r="AP93" t="inlineStr">
        <is>
          <t>No</t>
        </is>
      </c>
      <c r="AQ93" t="inlineStr">
        <is>
          <t>Yes</t>
        </is>
      </c>
      <c r="AR93">
        <f>HYPERLINK("http://catalog.hathitrust.org/Record/000919525","HathiTrust Record")</f>
        <v/>
      </c>
      <c r="AS93">
        <f>HYPERLINK("https://creighton-primo.hosted.exlibrisgroup.com/primo-explore/search?tab=default_tab&amp;search_scope=EVERYTHING&amp;vid=01CRU&amp;lang=en_US&amp;offset=0&amp;query=any,contains,991001097469702656","Catalog Record")</f>
        <v/>
      </c>
      <c r="AT93">
        <f>HYPERLINK("http://www.worldcat.org/oclc/16277058","WorldCat Record")</f>
        <v/>
      </c>
      <c r="AU93" t="inlineStr">
        <is>
          <t>12347828:eng</t>
        </is>
      </c>
      <c r="AV93" t="inlineStr">
        <is>
          <t>16277058</t>
        </is>
      </c>
      <c r="AW93" t="inlineStr">
        <is>
          <t>991001097469702656</t>
        </is>
      </c>
      <c r="AX93" t="inlineStr">
        <is>
          <t>991001097469702656</t>
        </is>
      </c>
      <c r="AY93" t="inlineStr">
        <is>
          <t>2260914360002656</t>
        </is>
      </c>
      <c r="AZ93" t="inlineStr">
        <is>
          <t>BOOK</t>
        </is>
      </c>
      <c r="BB93" t="inlineStr">
        <is>
          <t>9780710208088</t>
        </is>
      </c>
      <c r="BC93" t="inlineStr">
        <is>
          <t>32285000119585</t>
        </is>
      </c>
      <c r="BD93" t="inlineStr">
        <is>
          <t>893791167</t>
        </is>
      </c>
    </row>
    <row r="94">
      <c r="A94" t="inlineStr">
        <is>
          <t>No</t>
        </is>
      </c>
      <c r="B94" t="inlineStr">
        <is>
          <t>LA217 .U49 1984</t>
        </is>
      </c>
      <c r="C94" t="inlineStr">
        <is>
          <t>0                      LA 0217000U  49          1984</t>
        </is>
      </c>
      <c r="D94" t="inlineStr">
        <is>
          <t>A nation at risk : the full account / the National Commission on Excellence in Education ; edited and published by USA Research.</t>
        </is>
      </c>
      <c r="F94" t="inlineStr">
        <is>
          <t>No</t>
        </is>
      </c>
      <c r="G94" t="inlineStr">
        <is>
          <t>1</t>
        </is>
      </c>
      <c r="H94" t="inlineStr">
        <is>
          <t>No</t>
        </is>
      </c>
      <c r="I94" t="inlineStr">
        <is>
          <t>No</t>
        </is>
      </c>
      <c r="J94" t="inlineStr">
        <is>
          <t>0</t>
        </is>
      </c>
      <c r="K94" t="inlineStr">
        <is>
          <t>United States. National Commission on Excellence in Education.</t>
        </is>
      </c>
      <c r="L94" t="inlineStr">
        <is>
          <t>Cambridge, Mass. : USA Research, 1984.</t>
        </is>
      </c>
      <c r="M94" t="inlineStr">
        <is>
          <t>1984</t>
        </is>
      </c>
      <c r="O94" t="inlineStr">
        <is>
          <t>eng</t>
        </is>
      </c>
      <c r="P94" t="inlineStr">
        <is>
          <t>mau</t>
        </is>
      </c>
      <c r="R94" t="inlineStr">
        <is>
          <t xml:space="preserve">LA </t>
        </is>
      </c>
      <c r="S94" t="n">
        <v>6</v>
      </c>
      <c r="T94" t="n">
        <v>6</v>
      </c>
      <c r="U94" t="inlineStr">
        <is>
          <t>1995-08-31</t>
        </is>
      </c>
      <c r="V94" t="inlineStr">
        <is>
          <t>1995-08-31</t>
        </is>
      </c>
      <c r="W94" t="inlineStr">
        <is>
          <t>1990-06-29</t>
        </is>
      </c>
      <c r="X94" t="inlineStr">
        <is>
          <t>1990-06-29</t>
        </is>
      </c>
      <c r="Y94" t="n">
        <v>394</v>
      </c>
      <c r="Z94" t="n">
        <v>355</v>
      </c>
      <c r="AA94" t="n">
        <v>370</v>
      </c>
      <c r="AB94" t="n">
        <v>3</v>
      </c>
      <c r="AC94" t="n">
        <v>3</v>
      </c>
      <c r="AD94" t="n">
        <v>13</v>
      </c>
      <c r="AE94" t="n">
        <v>14</v>
      </c>
      <c r="AF94" t="n">
        <v>6</v>
      </c>
      <c r="AG94" t="n">
        <v>7</v>
      </c>
      <c r="AH94" t="n">
        <v>3</v>
      </c>
      <c r="AI94" t="n">
        <v>3</v>
      </c>
      <c r="AJ94" t="n">
        <v>6</v>
      </c>
      <c r="AK94" t="n">
        <v>6</v>
      </c>
      <c r="AL94" t="n">
        <v>2</v>
      </c>
      <c r="AM94" t="n">
        <v>2</v>
      </c>
      <c r="AN94" t="n">
        <v>0</v>
      </c>
      <c r="AO94" t="n">
        <v>0</v>
      </c>
      <c r="AP94" t="inlineStr">
        <is>
          <t>No</t>
        </is>
      </c>
      <c r="AQ94" t="inlineStr">
        <is>
          <t>No</t>
        </is>
      </c>
      <c r="AS94">
        <f>HYPERLINK("https://creighton-primo.hosted.exlibrisgroup.com/primo-explore/search?tab=default_tab&amp;search_scope=EVERYTHING&amp;vid=01CRU&amp;lang=en_US&amp;offset=0&amp;query=any,contains,991000473769702656","Catalog Record")</f>
        <v/>
      </c>
      <c r="AT94">
        <f>HYPERLINK("http://www.worldcat.org/oclc/11000050","WorldCat Record")</f>
        <v/>
      </c>
      <c r="AU94" t="inlineStr">
        <is>
          <t>767999576:eng</t>
        </is>
      </c>
      <c r="AV94" t="inlineStr">
        <is>
          <t>11000050</t>
        </is>
      </c>
      <c r="AW94" t="inlineStr">
        <is>
          <t>991000473769702656</t>
        </is>
      </c>
      <c r="AX94" t="inlineStr">
        <is>
          <t>991000473769702656</t>
        </is>
      </c>
      <c r="AY94" t="inlineStr">
        <is>
          <t>2264116010002656</t>
        </is>
      </c>
      <c r="AZ94" t="inlineStr">
        <is>
          <t>BOOK</t>
        </is>
      </c>
      <c r="BB94" t="inlineStr">
        <is>
          <t>9780917191015</t>
        </is>
      </c>
      <c r="BC94" t="inlineStr">
        <is>
          <t>32285000217280</t>
        </is>
      </c>
      <c r="BD94" t="inlineStr">
        <is>
          <t>893521698</t>
        </is>
      </c>
    </row>
    <row r="95">
      <c r="A95" t="inlineStr">
        <is>
          <t>No</t>
        </is>
      </c>
      <c r="B95" t="inlineStr">
        <is>
          <t>LA217 .W4</t>
        </is>
      </c>
      <c r="C95" t="inlineStr">
        <is>
          <t>0                      LA 0217000W  4</t>
        </is>
      </c>
      <c r="D95" t="inlineStr">
        <is>
          <t>Conflicts in our schools [by] Lynn L. Weldon.</t>
        </is>
      </c>
      <c r="F95" t="inlineStr">
        <is>
          <t>No</t>
        </is>
      </c>
      <c r="G95" t="inlineStr">
        <is>
          <t>1</t>
        </is>
      </c>
      <c r="H95" t="inlineStr">
        <is>
          <t>No</t>
        </is>
      </c>
      <c r="I95" t="inlineStr">
        <is>
          <t>No</t>
        </is>
      </c>
      <c r="J95" t="inlineStr">
        <is>
          <t>0</t>
        </is>
      </c>
      <c r="K95" t="inlineStr">
        <is>
          <t>Weldon, Lynn L.</t>
        </is>
      </c>
      <c r="L95" t="inlineStr">
        <is>
          <t>Columbus, Ohio, Merrill [1971]</t>
        </is>
      </c>
      <c r="M95" t="inlineStr">
        <is>
          <t>1971</t>
        </is>
      </c>
      <c r="O95" t="inlineStr">
        <is>
          <t>eng</t>
        </is>
      </c>
      <c r="P95" t="inlineStr">
        <is>
          <t>ohu</t>
        </is>
      </c>
      <c r="Q95" t="inlineStr">
        <is>
          <t>The Coordinated teacher preparation series</t>
        </is>
      </c>
      <c r="R95" t="inlineStr">
        <is>
          <t xml:space="preserve">LA </t>
        </is>
      </c>
      <c r="S95" t="n">
        <v>3</v>
      </c>
      <c r="T95" t="n">
        <v>3</v>
      </c>
      <c r="U95" t="inlineStr">
        <is>
          <t>2000-04-26</t>
        </is>
      </c>
      <c r="V95" t="inlineStr">
        <is>
          <t>2000-04-26</t>
        </is>
      </c>
      <c r="W95" t="inlineStr">
        <is>
          <t>1997-04-23</t>
        </is>
      </c>
      <c r="X95" t="inlineStr">
        <is>
          <t>1997-04-23</t>
        </is>
      </c>
      <c r="Y95" t="n">
        <v>219</v>
      </c>
      <c r="Z95" t="n">
        <v>195</v>
      </c>
      <c r="AA95" t="n">
        <v>201</v>
      </c>
      <c r="AB95" t="n">
        <v>2</v>
      </c>
      <c r="AC95" t="n">
        <v>2</v>
      </c>
      <c r="AD95" t="n">
        <v>4</v>
      </c>
      <c r="AE95" t="n">
        <v>4</v>
      </c>
      <c r="AF95" t="n">
        <v>0</v>
      </c>
      <c r="AG95" t="n">
        <v>0</v>
      </c>
      <c r="AH95" t="n">
        <v>1</v>
      </c>
      <c r="AI95" t="n">
        <v>1</v>
      </c>
      <c r="AJ95" t="n">
        <v>2</v>
      </c>
      <c r="AK95" t="n">
        <v>2</v>
      </c>
      <c r="AL95" t="n">
        <v>1</v>
      </c>
      <c r="AM95" t="n">
        <v>1</v>
      </c>
      <c r="AN95" t="n">
        <v>0</v>
      </c>
      <c r="AO95" t="n">
        <v>0</v>
      </c>
      <c r="AP95" t="inlineStr">
        <is>
          <t>No</t>
        </is>
      </c>
      <c r="AQ95" t="inlineStr">
        <is>
          <t>Yes</t>
        </is>
      </c>
      <c r="AR95">
        <f>HYPERLINK("http://catalog.hathitrust.org/Record/001064636","HathiTrust Record")</f>
        <v/>
      </c>
      <c r="AS95">
        <f>HYPERLINK("https://creighton-primo.hosted.exlibrisgroup.com/primo-explore/search?tab=default_tab&amp;search_scope=EVERYTHING&amp;vid=01CRU&amp;lang=en_US&amp;offset=0&amp;query=any,contains,991000779379702656","Catalog Record")</f>
        <v/>
      </c>
      <c r="AT95">
        <f>HYPERLINK("http://www.worldcat.org/oclc/134285","WorldCat Record")</f>
        <v/>
      </c>
      <c r="AU95" t="inlineStr">
        <is>
          <t>1278798:eng</t>
        </is>
      </c>
      <c r="AV95" t="inlineStr">
        <is>
          <t>134285</t>
        </is>
      </c>
      <c r="AW95" t="inlineStr">
        <is>
          <t>991000779379702656</t>
        </is>
      </c>
      <c r="AX95" t="inlineStr">
        <is>
          <t>991000779379702656</t>
        </is>
      </c>
      <c r="AY95" t="inlineStr">
        <is>
          <t>2260838550002656</t>
        </is>
      </c>
      <c r="AZ95" t="inlineStr">
        <is>
          <t>BOOK</t>
        </is>
      </c>
      <c r="BB95" t="inlineStr">
        <is>
          <t>9780675092265</t>
        </is>
      </c>
      <c r="BC95" t="inlineStr">
        <is>
          <t>32285002596251</t>
        </is>
      </c>
      <c r="BD95" t="inlineStr">
        <is>
          <t>893515598</t>
        </is>
      </c>
    </row>
    <row r="96">
      <c r="A96" t="inlineStr">
        <is>
          <t>No</t>
        </is>
      </c>
      <c r="B96" t="inlineStr">
        <is>
          <t>LA217 .W55 1987</t>
        </is>
      </c>
      <c r="C96" t="inlineStr">
        <is>
          <t>0                      LA 0217000W  55          1987</t>
        </is>
      </c>
      <c r="D96" t="inlineStr">
        <is>
          <t>Effective education : a minority policy perspective / Charles Vert Willie.</t>
        </is>
      </c>
      <c r="F96" t="inlineStr">
        <is>
          <t>No</t>
        </is>
      </c>
      <c r="G96" t="inlineStr">
        <is>
          <t>1</t>
        </is>
      </c>
      <c r="H96" t="inlineStr">
        <is>
          <t>No</t>
        </is>
      </c>
      <c r="I96" t="inlineStr">
        <is>
          <t>No</t>
        </is>
      </c>
      <c r="J96" t="inlineStr">
        <is>
          <t>0</t>
        </is>
      </c>
      <c r="K96" t="inlineStr">
        <is>
          <t>Willie, Charles Vert, 1927-</t>
        </is>
      </c>
      <c r="L96" t="inlineStr">
        <is>
          <t>New York : Greenwood Press, 1987.</t>
        </is>
      </c>
      <c r="M96" t="inlineStr">
        <is>
          <t>1987</t>
        </is>
      </c>
      <c r="O96" t="inlineStr">
        <is>
          <t>eng</t>
        </is>
      </c>
      <c r="P96" t="inlineStr">
        <is>
          <t>nyu</t>
        </is>
      </c>
      <c r="Q96" t="inlineStr">
        <is>
          <t>Contributions to the study of education, 0196-707X ; no. 20</t>
        </is>
      </c>
      <c r="R96" t="inlineStr">
        <is>
          <t xml:space="preserve">LA </t>
        </is>
      </c>
      <c r="S96" t="n">
        <v>7</v>
      </c>
      <c r="T96" t="n">
        <v>7</v>
      </c>
      <c r="U96" t="inlineStr">
        <is>
          <t>2001-03-29</t>
        </is>
      </c>
      <c r="V96" t="inlineStr">
        <is>
          <t>2001-03-29</t>
        </is>
      </c>
      <c r="W96" t="inlineStr">
        <is>
          <t>1992-03-26</t>
        </is>
      </c>
      <c r="X96" t="inlineStr">
        <is>
          <t>1992-03-26</t>
        </is>
      </c>
      <c r="Y96" t="n">
        <v>402</v>
      </c>
      <c r="Z96" t="n">
        <v>370</v>
      </c>
      <c r="AA96" t="n">
        <v>387</v>
      </c>
      <c r="AB96" t="n">
        <v>3</v>
      </c>
      <c r="AC96" t="n">
        <v>3</v>
      </c>
      <c r="AD96" t="n">
        <v>16</v>
      </c>
      <c r="AE96" t="n">
        <v>17</v>
      </c>
      <c r="AF96" t="n">
        <v>4</v>
      </c>
      <c r="AG96" t="n">
        <v>5</v>
      </c>
      <c r="AH96" t="n">
        <v>3</v>
      </c>
      <c r="AI96" t="n">
        <v>3</v>
      </c>
      <c r="AJ96" t="n">
        <v>9</v>
      </c>
      <c r="AK96" t="n">
        <v>9</v>
      </c>
      <c r="AL96" t="n">
        <v>2</v>
      </c>
      <c r="AM96" t="n">
        <v>2</v>
      </c>
      <c r="AN96" t="n">
        <v>0</v>
      </c>
      <c r="AO96" t="n">
        <v>0</v>
      </c>
      <c r="AP96" t="inlineStr">
        <is>
          <t>No</t>
        </is>
      </c>
      <c r="AQ96" t="inlineStr">
        <is>
          <t>Yes</t>
        </is>
      </c>
      <c r="AR96">
        <f>HYPERLINK("http://catalog.hathitrust.org/Record/000819753","HathiTrust Record")</f>
        <v/>
      </c>
      <c r="AS96">
        <f>HYPERLINK("https://creighton-primo.hosted.exlibrisgroup.com/primo-explore/search?tab=default_tab&amp;search_scope=EVERYTHING&amp;vid=01CRU&amp;lang=en_US&amp;offset=0&amp;query=any,contains,991000884539702656","Catalog Record")</f>
        <v/>
      </c>
      <c r="AT96">
        <f>HYPERLINK("http://www.worldcat.org/oclc/13860411","WorldCat Record")</f>
        <v/>
      </c>
      <c r="AU96" t="inlineStr">
        <is>
          <t>235280805:eng</t>
        </is>
      </c>
      <c r="AV96" t="inlineStr">
        <is>
          <t>13860411</t>
        </is>
      </c>
      <c r="AW96" t="inlineStr">
        <is>
          <t>991000884539702656</t>
        </is>
      </c>
      <c r="AX96" t="inlineStr">
        <is>
          <t>991000884539702656</t>
        </is>
      </c>
      <c r="AY96" t="inlineStr">
        <is>
          <t>2264129250002656</t>
        </is>
      </c>
      <c r="AZ96" t="inlineStr">
        <is>
          <t>BOOK</t>
        </is>
      </c>
      <c r="BB96" t="inlineStr">
        <is>
          <t>9780313254147</t>
        </is>
      </c>
      <c r="BC96" t="inlineStr">
        <is>
          <t>32285001040830</t>
        </is>
      </c>
      <c r="BD96" t="inlineStr">
        <is>
          <t>893696256</t>
        </is>
      </c>
    </row>
    <row r="97">
      <c r="A97" t="inlineStr">
        <is>
          <t>No</t>
        </is>
      </c>
      <c r="B97" t="inlineStr">
        <is>
          <t>LA217.2 .B37 1992</t>
        </is>
      </c>
      <c r="C97" t="inlineStr">
        <is>
          <t>0                      LA 0217200B  37          1992</t>
        </is>
      </c>
      <c r="D97" t="inlineStr">
        <is>
          <t>An aristocracy of everyone : the politics of education and the future of America / Benjamin R. Barber.</t>
        </is>
      </c>
      <c r="F97" t="inlineStr">
        <is>
          <t>No</t>
        </is>
      </c>
      <c r="G97" t="inlineStr">
        <is>
          <t>1</t>
        </is>
      </c>
      <c r="H97" t="inlineStr">
        <is>
          <t>No</t>
        </is>
      </c>
      <c r="I97" t="inlineStr">
        <is>
          <t>No</t>
        </is>
      </c>
      <c r="J97" t="inlineStr">
        <is>
          <t>0</t>
        </is>
      </c>
      <c r="K97" t="inlineStr">
        <is>
          <t>Barber, Benjamin R., 1939-2017.</t>
        </is>
      </c>
      <c r="L97" t="inlineStr">
        <is>
          <t>New York : Ballantine Books, 1992.</t>
        </is>
      </c>
      <c r="M97" t="inlineStr">
        <is>
          <t>1992</t>
        </is>
      </c>
      <c r="N97" t="inlineStr">
        <is>
          <t>1st ed.</t>
        </is>
      </c>
      <c r="O97" t="inlineStr">
        <is>
          <t>eng</t>
        </is>
      </c>
      <c r="P97" t="inlineStr">
        <is>
          <t>nyu</t>
        </is>
      </c>
      <c r="R97" t="inlineStr">
        <is>
          <t xml:space="preserve">LA </t>
        </is>
      </c>
      <c r="S97" t="n">
        <v>2</v>
      </c>
      <c r="T97" t="n">
        <v>2</v>
      </c>
      <c r="U97" t="inlineStr">
        <is>
          <t>1994-06-15</t>
        </is>
      </c>
      <c r="V97" t="inlineStr">
        <is>
          <t>1994-06-15</t>
        </is>
      </c>
      <c r="W97" t="inlineStr">
        <is>
          <t>1994-05-19</t>
        </is>
      </c>
      <c r="X97" t="inlineStr">
        <is>
          <t>1994-05-19</t>
        </is>
      </c>
      <c r="Y97" t="n">
        <v>994</v>
      </c>
      <c r="Z97" t="n">
        <v>922</v>
      </c>
      <c r="AA97" t="n">
        <v>997</v>
      </c>
      <c r="AB97" t="n">
        <v>6</v>
      </c>
      <c r="AC97" t="n">
        <v>7</v>
      </c>
      <c r="AD97" t="n">
        <v>31</v>
      </c>
      <c r="AE97" t="n">
        <v>35</v>
      </c>
      <c r="AF97" t="n">
        <v>11</v>
      </c>
      <c r="AG97" t="n">
        <v>11</v>
      </c>
      <c r="AH97" t="n">
        <v>9</v>
      </c>
      <c r="AI97" t="n">
        <v>11</v>
      </c>
      <c r="AJ97" t="n">
        <v>14</v>
      </c>
      <c r="AK97" t="n">
        <v>16</v>
      </c>
      <c r="AL97" t="n">
        <v>4</v>
      </c>
      <c r="AM97" t="n">
        <v>5</v>
      </c>
      <c r="AN97" t="n">
        <v>0</v>
      </c>
      <c r="AO97" t="n">
        <v>0</v>
      </c>
      <c r="AP97" t="inlineStr">
        <is>
          <t>No</t>
        </is>
      </c>
      <c r="AQ97" t="inlineStr">
        <is>
          <t>Yes</t>
        </is>
      </c>
      <c r="AR97">
        <f>HYPERLINK("http://catalog.hathitrust.org/Record/002574063","HathiTrust Record")</f>
        <v/>
      </c>
      <c r="AS97">
        <f>HYPERLINK("https://creighton-primo.hosted.exlibrisgroup.com/primo-explore/search?tab=default_tab&amp;search_scope=EVERYTHING&amp;vid=01CRU&amp;lang=en_US&amp;offset=0&amp;query=any,contains,991002049069702656","Catalog Record")</f>
        <v/>
      </c>
      <c r="AT97">
        <f>HYPERLINK("http://www.worldcat.org/oclc/26158813","WorldCat Record")</f>
        <v/>
      </c>
      <c r="AU97" t="inlineStr">
        <is>
          <t>196919078:eng</t>
        </is>
      </c>
      <c r="AV97" t="inlineStr">
        <is>
          <t>26158813</t>
        </is>
      </c>
      <c r="AW97" t="inlineStr">
        <is>
          <t>991002049069702656</t>
        </is>
      </c>
      <c r="AX97" t="inlineStr">
        <is>
          <t>991002049069702656</t>
        </is>
      </c>
      <c r="AY97" t="inlineStr">
        <is>
          <t>2257214390002656</t>
        </is>
      </c>
      <c r="AZ97" t="inlineStr">
        <is>
          <t>BOOK</t>
        </is>
      </c>
      <c r="BB97" t="inlineStr">
        <is>
          <t>9780345370402</t>
        </is>
      </c>
      <c r="BC97" t="inlineStr">
        <is>
          <t>32285001897650</t>
        </is>
      </c>
      <c r="BD97" t="inlineStr">
        <is>
          <t>893534820</t>
        </is>
      </c>
    </row>
    <row r="98">
      <c r="A98" t="inlineStr">
        <is>
          <t>No</t>
        </is>
      </c>
      <c r="B98" t="inlineStr">
        <is>
          <t>LA217.2 .B69 1992</t>
        </is>
      </c>
      <c r="C98" t="inlineStr">
        <is>
          <t>0                      LA 0217200B  69          1992</t>
        </is>
      </c>
      <c r="D98" t="inlineStr">
        <is>
          <t>Cornerstones for a new century : teacher preparation, early childhood education, a national education index / Ernest L. Boyer.</t>
        </is>
      </c>
      <c r="F98" t="inlineStr">
        <is>
          <t>No</t>
        </is>
      </c>
      <c r="G98" t="inlineStr">
        <is>
          <t>1</t>
        </is>
      </c>
      <c r="H98" t="inlineStr">
        <is>
          <t>No</t>
        </is>
      </c>
      <c r="I98" t="inlineStr">
        <is>
          <t>No</t>
        </is>
      </c>
      <c r="J98" t="inlineStr">
        <is>
          <t>0</t>
        </is>
      </c>
      <c r="K98" t="inlineStr">
        <is>
          <t>Boyer, Ernest L.</t>
        </is>
      </c>
      <c r="L98" t="inlineStr">
        <is>
          <t>Washington, D.C. : NEA Professional Library, National Education Association, c1992.</t>
        </is>
      </c>
      <c r="M98" t="inlineStr">
        <is>
          <t>1992</t>
        </is>
      </c>
      <c r="O98" t="inlineStr">
        <is>
          <t>eng</t>
        </is>
      </c>
      <c r="P98" t="inlineStr">
        <is>
          <t>dcu</t>
        </is>
      </c>
      <c r="Q98" t="inlineStr">
        <is>
          <t>NEA school restructuring series</t>
        </is>
      </c>
      <c r="R98" t="inlineStr">
        <is>
          <t xml:space="preserve">LA </t>
        </is>
      </c>
      <c r="S98" t="n">
        <v>3</v>
      </c>
      <c r="T98" t="n">
        <v>3</v>
      </c>
      <c r="U98" t="inlineStr">
        <is>
          <t>1996-05-06</t>
        </is>
      </c>
      <c r="V98" t="inlineStr">
        <is>
          <t>1996-05-06</t>
        </is>
      </c>
      <c r="W98" t="inlineStr">
        <is>
          <t>1992-05-29</t>
        </is>
      </c>
      <c r="X98" t="inlineStr">
        <is>
          <t>1992-05-29</t>
        </is>
      </c>
      <c r="Y98" t="n">
        <v>335</v>
      </c>
      <c r="Z98" t="n">
        <v>325</v>
      </c>
      <c r="AA98" t="n">
        <v>331</v>
      </c>
      <c r="AB98" t="n">
        <v>7</v>
      </c>
      <c r="AC98" t="n">
        <v>7</v>
      </c>
      <c r="AD98" t="n">
        <v>16</v>
      </c>
      <c r="AE98" t="n">
        <v>16</v>
      </c>
      <c r="AF98" t="n">
        <v>7</v>
      </c>
      <c r="AG98" t="n">
        <v>7</v>
      </c>
      <c r="AH98" t="n">
        <v>1</v>
      </c>
      <c r="AI98" t="n">
        <v>1</v>
      </c>
      <c r="AJ98" t="n">
        <v>6</v>
      </c>
      <c r="AK98" t="n">
        <v>6</v>
      </c>
      <c r="AL98" t="n">
        <v>6</v>
      </c>
      <c r="AM98" t="n">
        <v>6</v>
      </c>
      <c r="AN98" t="n">
        <v>0</v>
      </c>
      <c r="AO98" t="n">
        <v>0</v>
      </c>
      <c r="AP98" t="inlineStr">
        <is>
          <t>No</t>
        </is>
      </c>
      <c r="AQ98" t="inlineStr">
        <is>
          <t>Yes</t>
        </is>
      </c>
      <c r="AR98">
        <f>HYPERLINK("http://catalog.hathitrust.org/Record/002905187","HathiTrust Record")</f>
        <v/>
      </c>
      <c r="AS98">
        <f>HYPERLINK("https://creighton-primo.hosted.exlibrisgroup.com/primo-explore/search?tab=default_tab&amp;search_scope=EVERYTHING&amp;vid=01CRU&amp;lang=en_US&amp;offset=0&amp;query=any,contains,991001950459702656","Catalog Record")</f>
        <v/>
      </c>
      <c r="AT98">
        <f>HYPERLINK("http://www.worldcat.org/oclc/24666722","WorldCat Record")</f>
        <v/>
      </c>
      <c r="AU98" t="inlineStr">
        <is>
          <t>197145918:eng</t>
        </is>
      </c>
      <c r="AV98" t="inlineStr">
        <is>
          <t>24666722</t>
        </is>
      </c>
      <c r="AW98" t="inlineStr">
        <is>
          <t>991001950459702656</t>
        </is>
      </c>
      <c r="AX98" t="inlineStr">
        <is>
          <t>991001950459702656</t>
        </is>
      </c>
      <c r="AY98" t="inlineStr">
        <is>
          <t>2254707960002656</t>
        </is>
      </c>
      <c r="AZ98" t="inlineStr">
        <is>
          <t>BOOK</t>
        </is>
      </c>
      <c r="BB98" t="inlineStr">
        <is>
          <t>9780810618466</t>
        </is>
      </c>
      <c r="BC98" t="inlineStr">
        <is>
          <t>32285001124329</t>
        </is>
      </c>
      <c r="BD98" t="inlineStr">
        <is>
          <t>893609290</t>
        </is>
      </c>
    </row>
    <row r="99">
      <c r="A99" t="inlineStr">
        <is>
          <t>No</t>
        </is>
      </c>
      <c r="B99" t="inlineStr">
        <is>
          <t>LA217.2 .D45 1995</t>
        </is>
      </c>
      <c r="C99" t="inlineStr">
        <is>
          <t>0                      LA 0217200D  45          1995</t>
        </is>
      </c>
      <c r="D99" t="inlineStr">
        <is>
          <t>Democratic schools / edited by Michael W. Apple and James A. Beane.</t>
        </is>
      </c>
      <c r="F99" t="inlineStr">
        <is>
          <t>No</t>
        </is>
      </c>
      <c r="G99" t="inlineStr">
        <is>
          <t>1</t>
        </is>
      </c>
      <c r="H99" t="inlineStr">
        <is>
          <t>No</t>
        </is>
      </c>
      <c r="I99" t="inlineStr">
        <is>
          <t>No</t>
        </is>
      </c>
      <c r="J99" t="inlineStr">
        <is>
          <t>0</t>
        </is>
      </c>
      <c r="L99" t="inlineStr">
        <is>
          <t>Alexandria, Va. : Association for Supervision and Curriculum Development, c1995.</t>
        </is>
      </c>
      <c r="M99" t="inlineStr">
        <is>
          <t>1995</t>
        </is>
      </c>
      <c r="O99" t="inlineStr">
        <is>
          <t>eng</t>
        </is>
      </c>
      <c r="P99" t="inlineStr">
        <is>
          <t>vau</t>
        </is>
      </c>
      <c r="R99" t="inlineStr">
        <is>
          <t xml:space="preserve">LA </t>
        </is>
      </c>
      <c r="S99" t="n">
        <v>2</v>
      </c>
      <c r="T99" t="n">
        <v>2</v>
      </c>
      <c r="U99" t="inlineStr">
        <is>
          <t>2000-08-02</t>
        </is>
      </c>
      <c r="V99" t="inlineStr">
        <is>
          <t>2000-08-02</t>
        </is>
      </c>
      <c r="W99" t="inlineStr">
        <is>
          <t>1995-04-24</t>
        </is>
      </c>
      <c r="X99" t="inlineStr">
        <is>
          <t>1995-04-24</t>
        </is>
      </c>
      <c r="Y99" t="n">
        <v>832</v>
      </c>
      <c r="Z99" t="n">
        <v>727</v>
      </c>
      <c r="AA99" t="n">
        <v>749</v>
      </c>
      <c r="AB99" t="n">
        <v>9</v>
      </c>
      <c r="AC99" t="n">
        <v>9</v>
      </c>
      <c r="AD99" t="n">
        <v>28</v>
      </c>
      <c r="AE99" t="n">
        <v>31</v>
      </c>
      <c r="AF99" t="n">
        <v>12</v>
      </c>
      <c r="AG99" t="n">
        <v>13</v>
      </c>
      <c r="AH99" t="n">
        <v>3</v>
      </c>
      <c r="AI99" t="n">
        <v>5</v>
      </c>
      <c r="AJ99" t="n">
        <v>14</v>
      </c>
      <c r="AK99" t="n">
        <v>15</v>
      </c>
      <c r="AL99" t="n">
        <v>5</v>
      </c>
      <c r="AM99" t="n">
        <v>5</v>
      </c>
      <c r="AN99" t="n">
        <v>0</v>
      </c>
      <c r="AO99" t="n">
        <v>0</v>
      </c>
      <c r="AP99" t="inlineStr">
        <is>
          <t>No</t>
        </is>
      </c>
      <c r="AQ99" t="inlineStr">
        <is>
          <t>Yes</t>
        </is>
      </c>
      <c r="AR99">
        <f>HYPERLINK("http://catalog.hathitrust.org/Record/002974600","HathiTrust Record")</f>
        <v/>
      </c>
      <c r="AS99">
        <f>HYPERLINK("https://creighton-primo.hosted.exlibrisgroup.com/primo-explore/search?tab=default_tab&amp;search_scope=EVERYTHING&amp;vid=01CRU&amp;lang=en_US&amp;offset=0&amp;query=any,contains,991002463259702656","Catalog Record")</f>
        <v/>
      </c>
      <c r="AT99">
        <f>HYPERLINK("http://www.worldcat.org/oclc/32091857","WorldCat Record")</f>
        <v/>
      </c>
      <c r="AU99" t="inlineStr">
        <is>
          <t>10076183098:eng</t>
        </is>
      </c>
      <c r="AV99" t="inlineStr">
        <is>
          <t>32091857</t>
        </is>
      </c>
      <c r="AW99" t="inlineStr">
        <is>
          <t>991002463259702656</t>
        </is>
      </c>
      <c r="AX99" t="inlineStr">
        <is>
          <t>991002463259702656</t>
        </is>
      </c>
      <c r="AY99" t="inlineStr">
        <is>
          <t>2266193280002656</t>
        </is>
      </c>
      <c r="AZ99" t="inlineStr">
        <is>
          <t>BOOK</t>
        </is>
      </c>
      <c r="BB99" t="inlineStr">
        <is>
          <t>9780871202413</t>
        </is>
      </c>
      <c r="BC99" t="inlineStr">
        <is>
          <t>32285002009578</t>
        </is>
      </c>
      <c r="BD99" t="inlineStr">
        <is>
          <t>893504412</t>
        </is>
      </c>
    </row>
    <row r="100">
      <c r="A100" t="inlineStr">
        <is>
          <t>No</t>
        </is>
      </c>
      <c r="B100" t="inlineStr">
        <is>
          <t>LA217.2 .D68 1991</t>
        </is>
      </c>
      <c r="C100" t="inlineStr">
        <is>
          <t>0                      LA 0217200D  68          1991</t>
        </is>
      </c>
      <c r="D100" t="inlineStr">
        <is>
          <t>Doubts &amp; certainties : working together to restructure schools / editor, Peter A. Barrett.</t>
        </is>
      </c>
      <c r="F100" t="inlineStr">
        <is>
          <t>No</t>
        </is>
      </c>
      <c r="G100" t="inlineStr">
        <is>
          <t>1</t>
        </is>
      </c>
      <c r="H100" t="inlineStr">
        <is>
          <t>No</t>
        </is>
      </c>
      <c r="I100" t="inlineStr">
        <is>
          <t>No</t>
        </is>
      </c>
      <c r="J100" t="inlineStr">
        <is>
          <t>0</t>
        </is>
      </c>
      <c r="L100" t="inlineStr">
        <is>
          <t>Washington, D.C. : NEA Professional Library, National Education Association, c1991.</t>
        </is>
      </c>
      <c r="M100" t="inlineStr">
        <is>
          <t>1991</t>
        </is>
      </c>
      <c r="O100" t="inlineStr">
        <is>
          <t>eng</t>
        </is>
      </c>
      <c r="P100" t="inlineStr">
        <is>
          <t>dcu</t>
        </is>
      </c>
      <c r="Q100" t="inlineStr">
        <is>
          <t>NEA school restructuring series</t>
        </is>
      </c>
      <c r="R100" t="inlineStr">
        <is>
          <t xml:space="preserve">LA </t>
        </is>
      </c>
      <c r="S100" t="n">
        <v>3</v>
      </c>
      <c r="T100" t="n">
        <v>3</v>
      </c>
      <c r="U100" t="inlineStr">
        <is>
          <t>2004-02-14</t>
        </is>
      </c>
      <c r="V100" t="inlineStr">
        <is>
          <t>2004-02-14</t>
        </is>
      </c>
      <c r="W100" t="inlineStr">
        <is>
          <t>1991-10-24</t>
        </is>
      </c>
      <c r="X100" t="inlineStr">
        <is>
          <t>1991-10-24</t>
        </is>
      </c>
      <c r="Y100" t="n">
        <v>270</v>
      </c>
      <c r="Z100" t="n">
        <v>259</v>
      </c>
      <c r="AA100" t="n">
        <v>268</v>
      </c>
      <c r="AB100" t="n">
        <v>6</v>
      </c>
      <c r="AC100" t="n">
        <v>6</v>
      </c>
      <c r="AD100" t="n">
        <v>12</v>
      </c>
      <c r="AE100" t="n">
        <v>12</v>
      </c>
      <c r="AF100" t="n">
        <v>3</v>
      </c>
      <c r="AG100" t="n">
        <v>3</v>
      </c>
      <c r="AH100" t="n">
        <v>1</v>
      </c>
      <c r="AI100" t="n">
        <v>1</v>
      </c>
      <c r="AJ100" t="n">
        <v>5</v>
      </c>
      <c r="AK100" t="n">
        <v>5</v>
      </c>
      <c r="AL100" t="n">
        <v>5</v>
      </c>
      <c r="AM100" t="n">
        <v>5</v>
      </c>
      <c r="AN100" t="n">
        <v>0</v>
      </c>
      <c r="AO100" t="n">
        <v>0</v>
      </c>
      <c r="AP100" t="inlineStr">
        <is>
          <t>No</t>
        </is>
      </c>
      <c r="AQ100" t="inlineStr">
        <is>
          <t>Yes</t>
        </is>
      </c>
      <c r="AR100">
        <f>HYPERLINK("http://catalog.hathitrust.org/Record/002494978","HathiTrust Record")</f>
        <v/>
      </c>
      <c r="AS100">
        <f>HYPERLINK("https://creighton-primo.hosted.exlibrisgroup.com/primo-explore/search?tab=default_tab&amp;search_scope=EVERYTHING&amp;vid=01CRU&amp;lang=en_US&amp;offset=0&amp;query=any,contains,991001829289702656","Catalog Record")</f>
        <v/>
      </c>
      <c r="AT100">
        <f>HYPERLINK("http://www.worldcat.org/oclc/22983114","WorldCat Record")</f>
        <v/>
      </c>
      <c r="AU100" t="inlineStr">
        <is>
          <t>422891388:eng</t>
        </is>
      </c>
      <c r="AV100" t="inlineStr">
        <is>
          <t>22983114</t>
        </is>
      </c>
      <c r="AW100" t="inlineStr">
        <is>
          <t>991001829289702656</t>
        </is>
      </c>
      <c r="AX100" t="inlineStr">
        <is>
          <t>991001829289702656</t>
        </is>
      </c>
      <c r="AY100" t="inlineStr">
        <is>
          <t>2255878640002656</t>
        </is>
      </c>
      <c r="AZ100" t="inlineStr">
        <is>
          <t>BOOK</t>
        </is>
      </c>
      <c r="BB100" t="inlineStr">
        <is>
          <t>9780810618435</t>
        </is>
      </c>
      <c r="BC100" t="inlineStr">
        <is>
          <t>32285000788793</t>
        </is>
      </c>
      <c r="BD100" t="inlineStr">
        <is>
          <t>893444820</t>
        </is>
      </c>
    </row>
    <row r="101">
      <c r="A101" t="inlineStr">
        <is>
          <t>No</t>
        </is>
      </c>
      <c r="B101" t="inlineStr">
        <is>
          <t>LA217.2 .F5 1994</t>
        </is>
      </c>
      <c r="C101" t="inlineStr">
        <is>
          <t>0                      LA 0217200F  5           1994</t>
        </is>
      </c>
      <c r="D101" t="inlineStr">
        <is>
          <t>Field guide to educational renewal : the Vermont restructuring collaborative / [William J. Mathis ... [et al.]</t>
        </is>
      </c>
      <c r="F101" t="inlineStr">
        <is>
          <t>No</t>
        </is>
      </c>
      <c r="G101" t="inlineStr">
        <is>
          <t>1</t>
        </is>
      </c>
      <c r="H101" t="inlineStr">
        <is>
          <t>No</t>
        </is>
      </c>
      <c r="I101" t="inlineStr">
        <is>
          <t>No</t>
        </is>
      </c>
      <c r="J101" t="inlineStr">
        <is>
          <t>0</t>
        </is>
      </c>
      <c r="L101" t="inlineStr">
        <is>
          <t>Brandon, Vermont : Holistic Education Press, c1994.</t>
        </is>
      </c>
      <c r="M101" t="inlineStr">
        <is>
          <t>1994</t>
        </is>
      </c>
      <c r="O101" t="inlineStr">
        <is>
          <t>eng</t>
        </is>
      </c>
      <c r="P101" t="inlineStr">
        <is>
          <t>vtu</t>
        </is>
      </c>
      <c r="R101" t="inlineStr">
        <is>
          <t xml:space="preserve">LA </t>
        </is>
      </c>
      <c r="S101" t="n">
        <v>4</v>
      </c>
      <c r="T101" t="n">
        <v>4</v>
      </c>
      <c r="U101" t="inlineStr">
        <is>
          <t>2003-06-07</t>
        </is>
      </c>
      <c r="V101" t="inlineStr">
        <is>
          <t>2003-06-07</t>
        </is>
      </c>
      <c r="W101" t="inlineStr">
        <is>
          <t>1996-02-26</t>
        </is>
      </c>
      <c r="X101" t="inlineStr">
        <is>
          <t>1996-02-26</t>
        </is>
      </c>
      <c r="Y101" t="n">
        <v>62</v>
      </c>
      <c r="Z101" t="n">
        <v>61</v>
      </c>
      <c r="AA101" t="n">
        <v>61</v>
      </c>
      <c r="AB101" t="n">
        <v>1</v>
      </c>
      <c r="AC101" t="n">
        <v>1</v>
      </c>
      <c r="AD101" t="n">
        <v>2</v>
      </c>
      <c r="AE101" t="n">
        <v>2</v>
      </c>
      <c r="AF101" t="n">
        <v>1</v>
      </c>
      <c r="AG101" t="n">
        <v>1</v>
      </c>
      <c r="AH101" t="n">
        <v>1</v>
      </c>
      <c r="AI101" t="n">
        <v>1</v>
      </c>
      <c r="AJ101" t="n">
        <v>1</v>
      </c>
      <c r="AK101" t="n">
        <v>1</v>
      </c>
      <c r="AL101" t="n">
        <v>0</v>
      </c>
      <c r="AM101" t="n">
        <v>0</v>
      </c>
      <c r="AN101" t="n">
        <v>0</v>
      </c>
      <c r="AO101" t="n">
        <v>0</v>
      </c>
      <c r="AP101" t="inlineStr">
        <is>
          <t>No</t>
        </is>
      </c>
      <c r="AQ101" t="inlineStr">
        <is>
          <t>No</t>
        </is>
      </c>
      <c r="AS101">
        <f>HYPERLINK("https://creighton-primo.hosted.exlibrisgroup.com/primo-explore/search?tab=default_tab&amp;search_scope=EVERYTHING&amp;vid=01CRU&amp;lang=en_US&amp;offset=0&amp;query=any,contains,991002430379702656","Catalog Record")</f>
        <v/>
      </c>
      <c r="AT101">
        <f>HYPERLINK("http://www.worldcat.org/oclc/31701121","WorldCat Record")</f>
        <v/>
      </c>
      <c r="AU101" t="inlineStr">
        <is>
          <t>33498137:eng</t>
        </is>
      </c>
      <c r="AV101" t="inlineStr">
        <is>
          <t>31701121</t>
        </is>
      </c>
      <c r="AW101" t="inlineStr">
        <is>
          <t>991002430379702656</t>
        </is>
      </c>
      <c r="AX101" t="inlineStr">
        <is>
          <t>991002430379702656</t>
        </is>
      </c>
      <c r="AY101" t="inlineStr">
        <is>
          <t>2258879030002656</t>
        </is>
      </c>
      <c r="AZ101" t="inlineStr">
        <is>
          <t>BOOK</t>
        </is>
      </c>
      <c r="BB101" t="inlineStr">
        <is>
          <t>9780962723254</t>
        </is>
      </c>
      <c r="BC101" t="inlineStr">
        <is>
          <t>32285002138252</t>
        </is>
      </c>
      <c r="BD101" t="inlineStr">
        <is>
          <t>893352323</t>
        </is>
      </c>
    </row>
    <row r="102">
      <c r="A102" t="inlineStr">
        <is>
          <t>No</t>
        </is>
      </c>
      <c r="B102" t="inlineStr">
        <is>
          <t>LA217.2 .F57 1991</t>
        </is>
      </c>
      <c r="C102" t="inlineStr">
        <is>
          <t>0                      LA 0217200F  57          1991</t>
        </is>
      </c>
      <c r="D102" t="inlineStr">
        <is>
          <t>Smart schools, smart kids : why do some schools work? / Edward B. Fiske with Sally Reed and R. Craig Sautter.</t>
        </is>
      </c>
      <c r="F102" t="inlineStr">
        <is>
          <t>No</t>
        </is>
      </c>
      <c r="G102" t="inlineStr">
        <is>
          <t>1</t>
        </is>
      </c>
      <c r="H102" t="inlineStr">
        <is>
          <t>No</t>
        </is>
      </c>
      <c r="I102" t="inlineStr">
        <is>
          <t>No</t>
        </is>
      </c>
      <c r="J102" t="inlineStr">
        <is>
          <t>0</t>
        </is>
      </c>
      <c r="K102" t="inlineStr">
        <is>
          <t>Fiske, Edward B.</t>
        </is>
      </c>
      <c r="L102" t="inlineStr">
        <is>
          <t>New York : Simon &amp; Schuster, c1991.</t>
        </is>
      </c>
      <c r="M102" t="inlineStr">
        <is>
          <t>1991</t>
        </is>
      </c>
      <c r="O102" t="inlineStr">
        <is>
          <t>eng</t>
        </is>
      </c>
      <c r="P102" t="inlineStr">
        <is>
          <t>nyu</t>
        </is>
      </c>
      <c r="R102" t="inlineStr">
        <is>
          <t xml:space="preserve">LA </t>
        </is>
      </c>
      <c r="S102" t="n">
        <v>5</v>
      </c>
      <c r="T102" t="n">
        <v>5</v>
      </c>
      <c r="U102" t="inlineStr">
        <is>
          <t>1997-01-13</t>
        </is>
      </c>
      <c r="V102" t="inlineStr">
        <is>
          <t>1997-01-13</t>
        </is>
      </c>
      <c r="W102" t="inlineStr">
        <is>
          <t>1991-09-27</t>
        </is>
      </c>
      <c r="X102" t="inlineStr">
        <is>
          <t>1991-09-27</t>
        </is>
      </c>
      <c r="Y102" t="n">
        <v>1261</v>
      </c>
      <c r="Z102" t="n">
        <v>1200</v>
      </c>
      <c r="AA102" t="n">
        <v>1325</v>
      </c>
      <c r="AB102" t="n">
        <v>13</v>
      </c>
      <c r="AC102" t="n">
        <v>13</v>
      </c>
      <c r="AD102" t="n">
        <v>38</v>
      </c>
      <c r="AE102" t="n">
        <v>44</v>
      </c>
      <c r="AF102" t="n">
        <v>15</v>
      </c>
      <c r="AG102" t="n">
        <v>19</v>
      </c>
      <c r="AH102" t="n">
        <v>7</v>
      </c>
      <c r="AI102" t="n">
        <v>7</v>
      </c>
      <c r="AJ102" t="n">
        <v>16</v>
      </c>
      <c r="AK102" t="n">
        <v>19</v>
      </c>
      <c r="AL102" t="n">
        <v>10</v>
      </c>
      <c r="AM102" t="n">
        <v>10</v>
      </c>
      <c r="AN102" t="n">
        <v>0</v>
      </c>
      <c r="AO102" t="n">
        <v>0</v>
      </c>
      <c r="AP102" t="inlineStr">
        <is>
          <t>No</t>
        </is>
      </c>
      <c r="AQ102" t="inlineStr">
        <is>
          <t>Yes</t>
        </is>
      </c>
      <c r="AR102">
        <f>HYPERLINK("http://catalog.hathitrust.org/Record/002466761","HathiTrust Record")</f>
        <v/>
      </c>
      <c r="AS102">
        <f>HYPERLINK("https://creighton-primo.hosted.exlibrisgroup.com/primo-explore/search?tab=default_tab&amp;search_scope=EVERYTHING&amp;vid=01CRU&amp;lang=en_US&amp;offset=0&amp;query=any,contains,991001885439702656","Catalog Record")</f>
        <v/>
      </c>
      <c r="AT102">
        <f>HYPERLINK("http://www.worldcat.org/oclc/23766843","WorldCat Record")</f>
        <v/>
      </c>
      <c r="AU102" t="inlineStr">
        <is>
          <t>25046518:eng</t>
        </is>
      </c>
      <c r="AV102" t="inlineStr">
        <is>
          <t>23766843</t>
        </is>
      </c>
      <c r="AW102" t="inlineStr">
        <is>
          <t>991001885439702656</t>
        </is>
      </c>
      <c r="AX102" t="inlineStr">
        <is>
          <t>991001885439702656</t>
        </is>
      </c>
      <c r="AY102" t="inlineStr">
        <is>
          <t>2269688640002656</t>
        </is>
      </c>
      <c r="AZ102" t="inlineStr">
        <is>
          <t>BOOK</t>
        </is>
      </c>
      <c r="BB102" t="inlineStr">
        <is>
          <t>9780671690632</t>
        </is>
      </c>
      <c r="BC102" t="inlineStr">
        <is>
          <t>32285000725324</t>
        </is>
      </c>
      <c r="BD102" t="inlineStr">
        <is>
          <t>893891906</t>
        </is>
      </c>
    </row>
    <row r="103">
      <c r="A103" t="inlineStr">
        <is>
          <t>No</t>
        </is>
      </c>
      <c r="B103" t="inlineStr">
        <is>
          <t>LA217.2 .G57 1998</t>
        </is>
      </c>
      <c r="C103" t="inlineStr">
        <is>
          <t>0                      LA 0217200G  57          1998</t>
        </is>
      </c>
      <c r="D103" t="inlineStr">
        <is>
          <t>Revolutionizing America's schools / Carl D. Glickman.</t>
        </is>
      </c>
      <c r="F103" t="inlineStr">
        <is>
          <t>No</t>
        </is>
      </c>
      <c r="G103" t="inlineStr">
        <is>
          <t>1</t>
        </is>
      </c>
      <c r="H103" t="inlineStr">
        <is>
          <t>No</t>
        </is>
      </c>
      <c r="I103" t="inlineStr">
        <is>
          <t>No</t>
        </is>
      </c>
      <c r="J103" t="inlineStr">
        <is>
          <t>0</t>
        </is>
      </c>
      <c r="K103" t="inlineStr">
        <is>
          <t>Glickman, Carl D.</t>
        </is>
      </c>
      <c r="L103" t="inlineStr">
        <is>
          <t>San Francisco, CA : Jossey-Bass Publishers, c1998.</t>
        </is>
      </c>
      <c r="M103" t="inlineStr">
        <is>
          <t>1998</t>
        </is>
      </c>
      <c r="N103" t="inlineStr">
        <is>
          <t>1st ed.</t>
        </is>
      </c>
      <c r="O103" t="inlineStr">
        <is>
          <t>eng</t>
        </is>
      </c>
      <c r="P103" t="inlineStr">
        <is>
          <t>cau</t>
        </is>
      </c>
      <c r="Q103" t="inlineStr">
        <is>
          <t>The Jossey-Bass education series</t>
        </is>
      </c>
      <c r="R103" t="inlineStr">
        <is>
          <t xml:space="preserve">LA </t>
        </is>
      </c>
      <c r="S103" t="n">
        <v>6</v>
      </c>
      <c r="T103" t="n">
        <v>6</v>
      </c>
      <c r="U103" t="inlineStr">
        <is>
          <t>2010-06-02</t>
        </is>
      </c>
      <c r="V103" t="inlineStr">
        <is>
          <t>2010-06-02</t>
        </is>
      </c>
      <c r="W103" t="inlineStr">
        <is>
          <t>1999-04-08</t>
        </is>
      </c>
      <c r="X103" t="inlineStr">
        <is>
          <t>1999-04-08</t>
        </is>
      </c>
      <c r="Y103" t="n">
        <v>414</v>
      </c>
      <c r="Z103" t="n">
        <v>387</v>
      </c>
      <c r="AA103" t="n">
        <v>394</v>
      </c>
      <c r="AB103" t="n">
        <v>4</v>
      </c>
      <c r="AC103" t="n">
        <v>4</v>
      </c>
      <c r="AD103" t="n">
        <v>19</v>
      </c>
      <c r="AE103" t="n">
        <v>19</v>
      </c>
      <c r="AF103" t="n">
        <v>7</v>
      </c>
      <c r="AG103" t="n">
        <v>7</v>
      </c>
      <c r="AH103" t="n">
        <v>4</v>
      </c>
      <c r="AI103" t="n">
        <v>4</v>
      </c>
      <c r="AJ103" t="n">
        <v>9</v>
      </c>
      <c r="AK103" t="n">
        <v>9</v>
      </c>
      <c r="AL103" t="n">
        <v>3</v>
      </c>
      <c r="AM103" t="n">
        <v>3</v>
      </c>
      <c r="AN103" t="n">
        <v>0</v>
      </c>
      <c r="AO103" t="n">
        <v>0</v>
      </c>
      <c r="AP103" t="inlineStr">
        <is>
          <t>No</t>
        </is>
      </c>
      <c r="AQ103" t="inlineStr">
        <is>
          <t>Yes</t>
        </is>
      </c>
      <c r="AR103">
        <f>HYPERLINK("http://catalog.hathitrust.org/Record/003944497","HathiTrust Record")</f>
        <v/>
      </c>
      <c r="AS103">
        <f>HYPERLINK("https://creighton-primo.hosted.exlibrisgroup.com/primo-explore/search?tab=default_tab&amp;search_scope=EVERYTHING&amp;vid=01CRU&amp;lang=en_US&amp;offset=0&amp;query=any,contains,991002794849702656","Catalog Record")</f>
        <v/>
      </c>
      <c r="AT103">
        <f>HYPERLINK("http://www.worldcat.org/oclc/36713016","WorldCat Record")</f>
        <v/>
      </c>
      <c r="AU103" t="inlineStr">
        <is>
          <t>603449:eng</t>
        </is>
      </c>
      <c r="AV103" t="inlineStr">
        <is>
          <t>36713016</t>
        </is>
      </c>
      <c r="AW103" t="inlineStr">
        <is>
          <t>991002794849702656</t>
        </is>
      </c>
      <c r="AX103" t="inlineStr">
        <is>
          <t>991002794849702656</t>
        </is>
      </c>
      <c r="AY103" t="inlineStr">
        <is>
          <t>2262489030002656</t>
        </is>
      </c>
      <c r="AZ103" t="inlineStr">
        <is>
          <t>BOOK</t>
        </is>
      </c>
      <c r="BB103" t="inlineStr">
        <is>
          <t>9780787909444</t>
        </is>
      </c>
      <c r="BC103" t="inlineStr">
        <is>
          <t>32285003550711</t>
        </is>
      </c>
      <c r="BD103" t="inlineStr">
        <is>
          <t>893685789</t>
        </is>
      </c>
    </row>
    <row r="104">
      <c r="A104" t="inlineStr">
        <is>
          <t>No</t>
        </is>
      </c>
      <c r="B104" t="inlineStr">
        <is>
          <t>LA217.2 .G76 1999</t>
        </is>
      </c>
      <c r="C104" t="inlineStr">
        <is>
          <t>0                      LA 0217200G  76          1999</t>
        </is>
      </c>
      <c r="D104" t="inlineStr">
        <is>
          <t>The conspiracy of ignorance : the failure of American public schools / Martin L. Gross.</t>
        </is>
      </c>
      <c r="F104" t="inlineStr">
        <is>
          <t>No</t>
        </is>
      </c>
      <c r="G104" t="inlineStr">
        <is>
          <t>1</t>
        </is>
      </c>
      <c r="H104" t="inlineStr">
        <is>
          <t>No</t>
        </is>
      </c>
      <c r="I104" t="inlineStr">
        <is>
          <t>No</t>
        </is>
      </c>
      <c r="J104" t="inlineStr">
        <is>
          <t>0</t>
        </is>
      </c>
      <c r="K104" t="inlineStr">
        <is>
          <t>Gross, Martin L. (Martin Louis), 1925-2013.</t>
        </is>
      </c>
      <c r="L104" t="inlineStr">
        <is>
          <t>New York : HarperCollins, c1999.</t>
        </is>
      </c>
      <c r="M104" t="inlineStr">
        <is>
          <t>1999</t>
        </is>
      </c>
      <c r="O104" t="inlineStr">
        <is>
          <t>eng</t>
        </is>
      </c>
      <c r="P104" t="inlineStr">
        <is>
          <t>nyu</t>
        </is>
      </c>
      <c r="R104" t="inlineStr">
        <is>
          <t xml:space="preserve">LA </t>
        </is>
      </c>
      <c r="S104" t="n">
        <v>13</v>
      </c>
      <c r="T104" t="n">
        <v>13</v>
      </c>
      <c r="U104" t="inlineStr">
        <is>
          <t>2010-10-20</t>
        </is>
      </c>
      <c r="V104" t="inlineStr">
        <is>
          <t>2010-10-20</t>
        </is>
      </c>
      <c r="W104" t="inlineStr">
        <is>
          <t>2000-03-08</t>
        </is>
      </c>
      <c r="X104" t="inlineStr">
        <is>
          <t>2000-03-08</t>
        </is>
      </c>
      <c r="Y104" t="n">
        <v>956</v>
      </c>
      <c r="Z104" t="n">
        <v>927</v>
      </c>
      <c r="AA104" t="n">
        <v>1029</v>
      </c>
      <c r="AB104" t="n">
        <v>12</v>
      </c>
      <c r="AC104" t="n">
        <v>12</v>
      </c>
      <c r="AD104" t="n">
        <v>31</v>
      </c>
      <c r="AE104" t="n">
        <v>32</v>
      </c>
      <c r="AF104" t="n">
        <v>10</v>
      </c>
      <c r="AG104" t="n">
        <v>11</v>
      </c>
      <c r="AH104" t="n">
        <v>7</v>
      </c>
      <c r="AI104" t="n">
        <v>7</v>
      </c>
      <c r="AJ104" t="n">
        <v>14</v>
      </c>
      <c r="AK104" t="n">
        <v>14</v>
      </c>
      <c r="AL104" t="n">
        <v>8</v>
      </c>
      <c r="AM104" t="n">
        <v>8</v>
      </c>
      <c r="AN104" t="n">
        <v>0</v>
      </c>
      <c r="AO104" t="n">
        <v>0</v>
      </c>
      <c r="AP104" t="inlineStr">
        <is>
          <t>No</t>
        </is>
      </c>
      <c r="AQ104" t="inlineStr">
        <is>
          <t>No</t>
        </is>
      </c>
      <c r="AS104">
        <f>HYPERLINK("https://creighton-primo.hosted.exlibrisgroup.com/primo-explore/search?tab=default_tab&amp;search_scope=EVERYTHING&amp;vid=01CRU&amp;lang=en_US&amp;offset=0&amp;query=any,contains,991003029179702656","Catalog Record")</f>
        <v/>
      </c>
      <c r="AT104">
        <f>HYPERLINK("http://www.worldcat.org/oclc/41452741","WorldCat Record")</f>
        <v/>
      </c>
      <c r="AU104" t="inlineStr">
        <is>
          <t>906268084:eng</t>
        </is>
      </c>
      <c r="AV104" t="inlineStr">
        <is>
          <t>41452741</t>
        </is>
      </c>
      <c r="AW104" t="inlineStr">
        <is>
          <t>991003029179702656</t>
        </is>
      </c>
      <c r="AX104" t="inlineStr">
        <is>
          <t>991003029179702656</t>
        </is>
      </c>
      <c r="AY104" t="inlineStr">
        <is>
          <t>2265011730002656</t>
        </is>
      </c>
      <c r="AZ104" t="inlineStr">
        <is>
          <t>BOOK</t>
        </is>
      </c>
      <c r="BB104" t="inlineStr">
        <is>
          <t>9780060194581</t>
        </is>
      </c>
      <c r="BC104" t="inlineStr">
        <is>
          <t>32285003667879</t>
        </is>
      </c>
      <c r="BD104" t="inlineStr">
        <is>
          <t>893610641</t>
        </is>
      </c>
    </row>
    <row r="105">
      <c r="A105" t="inlineStr">
        <is>
          <t>No</t>
        </is>
      </c>
      <c r="B105" t="inlineStr">
        <is>
          <t>LA217.2 .K43 2000</t>
        </is>
      </c>
      <c r="C105" t="inlineStr">
        <is>
          <t>0                      LA 0217200K  43          2000</t>
        </is>
      </c>
      <c r="D105" t="inlineStr">
        <is>
          <t>A legacy of learning : your stake in standards and new kinds of public schools / David T. Kearns and James Harvey.</t>
        </is>
      </c>
      <c r="F105" t="inlineStr">
        <is>
          <t>No</t>
        </is>
      </c>
      <c r="G105" t="inlineStr">
        <is>
          <t>1</t>
        </is>
      </c>
      <c r="H105" t="inlineStr">
        <is>
          <t>No</t>
        </is>
      </c>
      <c r="I105" t="inlineStr">
        <is>
          <t>No</t>
        </is>
      </c>
      <c r="J105" t="inlineStr">
        <is>
          <t>0</t>
        </is>
      </c>
      <c r="K105" t="inlineStr">
        <is>
          <t>Kearns, David T.</t>
        </is>
      </c>
      <c r="L105" t="inlineStr">
        <is>
          <t>Washington, D.C. : Brookings Institution Press, c2000.</t>
        </is>
      </c>
      <c r="M105" t="inlineStr">
        <is>
          <t>2000</t>
        </is>
      </c>
      <c r="O105" t="inlineStr">
        <is>
          <t>eng</t>
        </is>
      </c>
      <c r="P105" t="inlineStr">
        <is>
          <t>dcu</t>
        </is>
      </c>
      <c r="R105" t="inlineStr">
        <is>
          <t xml:space="preserve">LA </t>
        </is>
      </c>
      <c r="S105" t="n">
        <v>7</v>
      </c>
      <c r="T105" t="n">
        <v>7</v>
      </c>
      <c r="U105" t="inlineStr">
        <is>
          <t>2003-10-06</t>
        </is>
      </c>
      <c r="V105" t="inlineStr">
        <is>
          <t>2003-10-06</t>
        </is>
      </c>
      <c r="W105" t="inlineStr">
        <is>
          <t>2000-06-29</t>
        </is>
      </c>
      <c r="X105" t="inlineStr">
        <is>
          <t>2000-06-29</t>
        </is>
      </c>
      <c r="Y105" t="n">
        <v>584</v>
      </c>
      <c r="Z105" t="n">
        <v>540</v>
      </c>
      <c r="AA105" t="n">
        <v>542</v>
      </c>
      <c r="AB105" t="n">
        <v>5</v>
      </c>
      <c r="AC105" t="n">
        <v>5</v>
      </c>
      <c r="AD105" t="n">
        <v>26</v>
      </c>
      <c r="AE105" t="n">
        <v>26</v>
      </c>
      <c r="AF105" t="n">
        <v>10</v>
      </c>
      <c r="AG105" t="n">
        <v>10</v>
      </c>
      <c r="AH105" t="n">
        <v>5</v>
      </c>
      <c r="AI105" t="n">
        <v>5</v>
      </c>
      <c r="AJ105" t="n">
        <v>14</v>
      </c>
      <c r="AK105" t="n">
        <v>14</v>
      </c>
      <c r="AL105" t="n">
        <v>4</v>
      </c>
      <c r="AM105" t="n">
        <v>4</v>
      </c>
      <c r="AN105" t="n">
        <v>1</v>
      </c>
      <c r="AO105" t="n">
        <v>1</v>
      </c>
      <c r="AP105" t="inlineStr">
        <is>
          <t>No</t>
        </is>
      </c>
      <c r="AQ105" t="inlineStr">
        <is>
          <t>Yes</t>
        </is>
      </c>
      <c r="AR105">
        <f>HYPERLINK("http://catalog.hathitrust.org/Record/004090396","HathiTrust Record")</f>
        <v/>
      </c>
      <c r="AS105">
        <f>HYPERLINK("https://creighton-primo.hosted.exlibrisgroup.com/primo-explore/search?tab=default_tab&amp;search_scope=EVERYTHING&amp;vid=01CRU&amp;lang=en_US&amp;offset=0&amp;query=any,contains,991003195809702656","Catalog Record")</f>
        <v/>
      </c>
      <c r="AT105">
        <f>HYPERLINK("http://www.worldcat.org/oclc/42590902","WorldCat Record")</f>
        <v/>
      </c>
      <c r="AU105" t="inlineStr">
        <is>
          <t>836979403:eng</t>
        </is>
      </c>
      <c r="AV105" t="inlineStr">
        <is>
          <t>42590902</t>
        </is>
      </c>
      <c r="AW105" t="inlineStr">
        <is>
          <t>991003195809702656</t>
        </is>
      </c>
      <c r="AX105" t="inlineStr">
        <is>
          <t>991003195809702656</t>
        </is>
      </c>
      <c r="AY105" t="inlineStr">
        <is>
          <t>2263183380002656</t>
        </is>
      </c>
      <c r="AZ105" t="inlineStr">
        <is>
          <t>BOOK</t>
        </is>
      </c>
      <c r="BB105" t="inlineStr">
        <is>
          <t>9780815748946</t>
        </is>
      </c>
      <c r="BC105" t="inlineStr">
        <is>
          <t>32285003713186</t>
        </is>
      </c>
      <c r="BD105" t="inlineStr">
        <is>
          <t>893604525</t>
        </is>
      </c>
    </row>
    <row r="106">
      <c r="A106" t="inlineStr">
        <is>
          <t>No</t>
        </is>
      </c>
      <c r="B106" t="inlineStr">
        <is>
          <t>LA217.2 .L54 1993</t>
        </is>
      </c>
      <c r="C106" t="inlineStr">
        <is>
          <t>0                      LA 0217200L  54          1993</t>
        </is>
      </c>
      <c r="D106" t="inlineStr">
        <is>
          <t>Public education : an autopsy / Myron Lieberman.</t>
        </is>
      </c>
      <c r="F106" t="inlineStr">
        <is>
          <t>No</t>
        </is>
      </c>
      <c r="G106" t="inlineStr">
        <is>
          <t>1</t>
        </is>
      </c>
      <c r="H106" t="inlineStr">
        <is>
          <t>No</t>
        </is>
      </c>
      <c r="I106" t="inlineStr">
        <is>
          <t>No</t>
        </is>
      </c>
      <c r="J106" t="inlineStr">
        <is>
          <t>0</t>
        </is>
      </c>
      <c r="K106" t="inlineStr">
        <is>
          <t>Lieberman, Myron, 1919-</t>
        </is>
      </c>
      <c r="L106" t="inlineStr">
        <is>
          <t>Cambridge, Mass. : Harvard University Press, 1993.</t>
        </is>
      </c>
      <c r="M106" t="inlineStr">
        <is>
          <t>1993</t>
        </is>
      </c>
      <c r="O106" t="inlineStr">
        <is>
          <t>eng</t>
        </is>
      </c>
      <c r="P106" t="inlineStr">
        <is>
          <t>mau</t>
        </is>
      </c>
      <c r="R106" t="inlineStr">
        <is>
          <t xml:space="preserve">LA </t>
        </is>
      </c>
      <c r="S106" t="n">
        <v>15</v>
      </c>
      <c r="T106" t="n">
        <v>15</v>
      </c>
      <c r="U106" t="inlineStr">
        <is>
          <t>2004-06-29</t>
        </is>
      </c>
      <c r="V106" t="inlineStr">
        <is>
          <t>2004-06-29</t>
        </is>
      </c>
      <c r="W106" t="inlineStr">
        <is>
          <t>1993-09-28</t>
        </is>
      </c>
      <c r="X106" t="inlineStr">
        <is>
          <t>1993-09-28</t>
        </is>
      </c>
      <c r="Y106" t="n">
        <v>1293</v>
      </c>
      <c r="Z106" t="n">
        <v>1199</v>
      </c>
      <c r="AA106" t="n">
        <v>1226</v>
      </c>
      <c r="AB106" t="n">
        <v>12</v>
      </c>
      <c r="AC106" t="n">
        <v>12</v>
      </c>
      <c r="AD106" t="n">
        <v>49</v>
      </c>
      <c r="AE106" t="n">
        <v>49</v>
      </c>
      <c r="AF106" t="n">
        <v>21</v>
      </c>
      <c r="AG106" t="n">
        <v>21</v>
      </c>
      <c r="AH106" t="n">
        <v>8</v>
      </c>
      <c r="AI106" t="n">
        <v>8</v>
      </c>
      <c r="AJ106" t="n">
        <v>23</v>
      </c>
      <c r="AK106" t="n">
        <v>23</v>
      </c>
      <c r="AL106" t="n">
        <v>8</v>
      </c>
      <c r="AM106" t="n">
        <v>8</v>
      </c>
      <c r="AN106" t="n">
        <v>1</v>
      </c>
      <c r="AO106" t="n">
        <v>1</v>
      </c>
      <c r="AP106" t="inlineStr">
        <is>
          <t>No</t>
        </is>
      </c>
      <c r="AQ106" t="inlineStr">
        <is>
          <t>Yes</t>
        </is>
      </c>
      <c r="AR106">
        <f>HYPERLINK("http://catalog.hathitrust.org/Record/002714456","HathiTrust Record")</f>
        <v/>
      </c>
      <c r="AS106">
        <f>HYPERLINK("https://creighton-primo.hosted.exlibrisgroup.com/primo-explore/search?tab=default_tab&amp;search_scope=EVERYTHING&amp;vid=01CRU&amp;lang=en_US&amp;offset=0&amp;query=any,contains,991002127619702656","Catalog Record")</f>
        <v/>
      </c>
      <c r="AT106">
        <f>HYPERLINK("http://www.worldcat.org/oclc/27264764","WorldCat Record")</f>
        <v/>
      </c>
      <c r="AU106" t="inlineStr">
        <is>
          <t>346497:eng</t>
        </is>
      </c>
      <c r="AV106" t="inlineStr">
        <is>
          <t>27264764</t>
        </is>
      </c>
      <c r="AW106" t="inlineStr">
        <is>
          <t>991002127619702656</t>
        </is>
      </c>
      <c r="AX106" t="inlineStr">
        <is>
          <t>991002127619702656</t>
        </is>
      </c>
      <c r="AY106" t="inlineStr">
        <is>
          <t>2271963910002656</t>
        </is>
      </c>
      <c r="AZ106" t="inlineStr">
        <is>
          <t>BOOK</t>
        </is>
      </c>
      <c r="BB106" t="inlineStr">
        <is>
          <t>9780674722323</t>
        </is>
      </c>
      <c r="BC106" t="inlineStr">
        <is>
          <t>32285001768943</t>
        </is>
      </c>
      <c r="BD106" t="inlineStr">
        <is>
          <t>893510324</t>
        </is>
      </c>
    </row>
    <row r="107">
      <c r="A107" t="inlineStr">
        <is>
          <t>No</t>
        </is>
      </c>
      <c r="B107" t="inlineStr">
        <is>
          <t>LA217.2 .N45 1996</t>
        </is>
      </c>
      <c r="C107" t="inlineStr">
        <is>
          <t>0                      LA 0217200N  45          1996</t>
        </is>
      </c>
      <c r="D107" t="inlineStr">
        <is>
          <t>Critical issues in education : a dialectic approach / Jack L. Nelson, Kenneth Carlson, Stuart B. Palonsky.</t>
        </is>
      </c>
      <c r="F107" t="inlineStr">
        <is>
          <t>No</t>
        </is>
      </c>
      <c r="G107" t="inlineStr">
        <is>
          <t>1</t>
        </is>
      </c>
      <c r="H107" t="inlineStr">
        <is>
          <t>No</t>
        </is>
      </c>
      <c r="I107" t="inlineStr">
        <is>
          <t>Yes</t>
        </is>
      </c>
      <c r="J107" t="inlineStr">
        <is>
          <t>0</t>
        </is>
      </c>
      <c r="K107" t="inlineStr">
        <is>
          <t>Nelson, Jack L.</t>
        </is>
      </c>
      <c r="L107" t="inlineStr">
        <is>
          <t>New York : McGraw-Hill, c1996.</t>
        </is>
      </c>
      <c r="M107" t="inlineStr">
        <is>
          <t>1996</t>
        </is>
      </c>
      <c r="N107" t="inlineStr">
        <is>
          <t>3rd ed.</t>
        </is>
      </c>
      <c r="O107" t="inlineStr">
        <is>
          <t>eng</t>
        </is>
      </c>
      <c r="P107" t="inlineStr">
        <is>
          <t>nyu</t>
        </is>
      </c>
      <c r="R107" t="inlineStr">
        <is>
          <t xml:space="preserve">LA </t>
        </is>
      </c>
      <c r="S107" t="n">
        <v>17</v>
      </c>
      <c r="T107" t="n">
        <v>17</v>
      </c>
      <c r="U107" t="inlineStr">
        <is>
          <t>2006-11-27</t>
        </is>
      </c>
      <c r="V107" t="inlineStr">
        <is>
          <t>2006-11-27</t>
        </is>
      </c>
      <c r="W107" t="inlineStr">
        <is>
          <t>1996-06-04</t>
        </is>
      </c>
      <c r="X107" t="inlineStr">
        <is>
          <t>1996-06-04</t>
        </is>
      </c>
      <c r="Y107" t="n">
        <v>163</v>
      </c>
      <c r="Z107" t="n">
        <v>123</v>
      </c>
      <c r="AA107" t="n">
        <v>374</v>
      </c>
      <c r="AB107" t="n">
        <v>3</v>
      </c>
      <c r="AC107" t="n">
        <v>6</v>
      </c>
      <c r="AD107" t="n">
        <v>8</v>
      </c>
      <c r="AE107" t="n">
        <v>17</v>
      </c>
      <c r="AF107" t="n">
        <v>3</v>
      </c>
      <c r="AG107" t="n">
        <v>6</v>
      </c>
      <c r="AH107" t="n">
        <v>1</v>
      </c>
      <c r="AI107" t="n">
        <v>3</v>
      </c>
      <c r="AJ107" t="n">
        <v>3</v>
      </c>
      <c r="AK107" t="n">
        <v>6</v>
      </c>
      <c r="AL107" t="n">
        <v>2</v>
      </c>
      <c r="AM107" t="n">
        <v>5</v>
      </c>
      <c r="AN107" t="n">
        <v>0</v>
      </c>
      <c r="AO107" t="n">
        <v>0</v>
      </c>
      <c r="AP107" t="inlineStr">
        <is>
          <t>No</t>
        </is>
      </c>
      <c r="AQ107" t="inlineStr">
        <is>
          <t>Yes</t>
        </is>
      </c>
      <c r="AR107">
        <f>HYPERLINK("http://catalog.hathitrust.org/Record/003122414","HathiTrust Record")</f>
        <v/>
      </c>
      <c r="AS107">
        <f>HYPERLINK("https://creighton-primo.hosted.exlibrisgroup.com/primo-explore/search?tab=default_tab&amp;search_scope=EVERYTHING&amp;vid=01CRU&amp;lang=en_US&amp;offset=0&amp;query=any,contains,991002545859702656","Catalog Record")</f>
        <v/>
      </c>
      <c r="AT107">
        <f>HYPERLINK("http://www.worldcat.org/oclc/33079002","WorldCat Record")</f>
        <v/>
      </c>
      <c r="AU107" t="inlineStr">
        <is>
          <t>4926770365:eng</t>
        </is>
      </c>
      <c r="AV107" t="inlineStr">
        <is>
          <t>33079002</t>
        </is>
      </c>
      <c r="AW107" t="inlineStr">
        <is>
          <t>991002545859702656</t>
        </is>
      </c>
      <c r="AX107" t="inlineStr">
        <is>
          <t>991002545859702656</t>
        </is>
      </c>
      <c r="AY107" t="inlineStr">
        <is>
          <t>2271990660002656</t>
        </is>
      </c>
      <c r="AZ107" t="inlineStr">
        <is>
          <t>BOOK</t>
        </is>
      </c>
      <c r="BB107" t="inlineStr">
        <is>
          <t>9780070462120</t>
        </is>
      </c>
      <c r="BC107" t="inlineStr">
        <is>
          <t>32285002186806</t>
        </is>
      </c>
      <c r="BD107" t="inlineStr">
        <is>
          <t>893233093</t>
        </is>
      </c>
    </row>
    <row r="108">
      <c r="A108" t="inlineStr">
        <is>
          <t>No</t>
        </is>
      </c>
      <c r="B108" t="inlineStr">
        <is>
          <t>LA217.2 .R44 2001</t>
        </is>
      </c>
      <c r="C108" t="inlineStr">
        <is>
          <t>0                      LA 0217200R  44          2001</t>
        </is>
      </c>
      <c r="D108" t="inlineStr">
        <is>
          <t>A guide to observation, participation, and reflection in the classroom / Arthea J.S. Reed, Verna E. Bergemann.</t>
        </is>
      </c>
      <c r="F108" t="inlineStr">
        <is>
          <t>No</t>
        </is>
      </c>
      <c r="G108" t="inlineStr">
        <is>
          <t>1</t>
        </is>
      </c>
      <c r="H108" t="inlineStr">
        <is>
          <t>No</t>
        </is>
      </c>
      <c r="I108" t="inlineStr">
        <is>
          <t>No</t>
        </is>
      </c>
      <c r="J108" t="inlineStr">
        <is>
          <t>0</t>
        </is>
      </c>
      <c r="K108" t="inlineStr">
        <is>
          <t>Reed, Arthea J. S.</t>
        </is>
      </c>
      <c r="L108" t="inlineStr">
        <is>
          <t>Boston : McGraw-Hill, c2001.</t>
        </is>
      </c>
      <c r="M108" t="inlineStr">
        <is>
          <t>2001</t>
        </is>
      </c>
      <c r="N108" t="inlineStr">
        <is>
          <t>4th ed.</t>
        </is>
      </c>
      <c r="O108" t="inlineStr">
        <is>
          <t>eng</t>
        </is>
      </c>
      <c r="P108" t="inlineStr">
        <is>
          <t>mau</t>
        </is>
      </c>
      <c r="R108" t="inlineStr">
        <is>
          <t xml:space="preserve">LA </t>
        </is>
      </c>
      <c r="S108" t="n">
        <v>4</v>
      </c>
      <c r="T108" t="n">
        <v>4</v>
      </c>
      <c r="U108" t="inlineStr">
        <is>
          <t>2007-11-06</t>
        </is>
      </c>
      <c r="V108" t="inlineStr">
        <is>
          <t>2007-11-06</t>
        </is>
      </c>
      <c r="W108" t="inlineStr">
        <is>
          <t>2002-02-12</t>
        </is>
      </c>
      <c r="X108" t="inlineStr">
        <is>
          <t>2002-02-12</t>
        </is>
      </c>
      <c r="Y108" t="n">
        <v>128</v>
      </c>
      <c r="Z108" t="n">
        <v>100</v>
      </c>
      <c r="AA108" t="n">
        <v>168</v>
      </c>
      <c r="AB108" t="n">
        <v>3</v>
      </c>
      <c r="AC108" t="n">
        <v>4</v>
      </c>
      <c r="AD108" t="n">
        <v>5</v>
      </c>
      <c r="AE108" t="n">
        <v>8</v>
      </c>
      <c r="AF108" t="n">
        <v>3</v>
      </c>
      <c r="AG108" t="n">
        <v>4</v>
      </c>
      <c r="AH108" t="n">
        <v>1</v>
      </c>
      <c r="AI108" t="n">
        <v>1</v>
      </c>
      <c r="AJ108" t="n">
        <v>1</v>
      </c>
      <c r="AK108" t="n">
        <v>2</v>
      </c>
      <c r="AL108" t="n">
        <v>2</v>
      </c>
      <c r="AM108" t="n">
        <v>3</v>
      </c>
      <c r="AN108" t="n">
        <v>0</v>
      </c>
      <c r="AO108" t="n">
        <v>0</v>
      </c>
      <c r="AP108" t="inlineStr">
        <is>
          <t>No</t>
        </is>
      </c>
      <c r="AQ108" t="inlineStr">
        <is>
          <t>No</t>
        </is>
      </c>
      <c r="AS108">
        <f>HYPERLINK("https://creighton-primo.hosted.exlibrisgroup.com/primo-explore/search?tab=default_tab&amp;search_scope=EVERYTHING&amp;vid=01CRU&amp;lang=en_US&amp;offset=0&amp;query=any,contains,991003732289702656","Catalog Record")</f>
        <v/>
      </c>
      <c r="AT108">
        <f>HYPERLINK("http://www.worldcat.org/oclc/46384817","WorldCat Record")</f>
        <v/>
      </c>
      <c r="AU108" t="inlineStr">
        <is>
          <t>982759:eng</t>
        </is>
      </c>
      <c r="AV108" t="inlineStr">
        <is>
          <t>46384817</t>
        </is>
      </c>
      <c r="AW108" t="inlineStr">
        <is>
          <t>991003732289702656</t>
        </is>
      </c>
      <c r="AX108" t="inlineStr">
        <is>
          <t>991003732289702656</t>
        </is>
      </c>
      <c r="AY108" t="inlineStr">
        <is>
          <t>2272015830002656</t>
        </is>
      </c>
      <c r="AZ108" t="inlineStr">
        <is>
          <t>BOOK</t>
        </is>
      </c>
      <c r="BB108" t="inlineStr">
        <is>
          <t>9780072401066</t>
        </is>
      </c>
      <c r="BC108" t="inlineStr">
        <is>
          <t>32285004454038</t>
        </is>
      </c>
      <c r="BD108" t="inlineStr">
        <is>
          <t>893435363</t>
        </is>
      </c>
    </row>
    <row r="109">
      <c r="A109" t="inlineStr">
        <is>
          <t>No</t>
        </is>
      </c>
      <c r="B109" t="inlineStr">
        <is>
          <t>LA217.2 .S574 2008</t>
        </is>
      </c>
      <c r="C109" t="inlineStr">
        <is>
          <t>0                      LA 0217200S  574         2008</t>
        </is>
      </c>
      <c r="D109" t="inlineStr">
        <is>
          <t>Anticipate the school you want : futurizing K-12 education / Arthur B. Shostak.</t>
        </is>
      </c>
      <c r="F109" t="inlineStr">
        <is>
          <t>No</t>
        </is>
      </c>
      <c r="G109" t="inlineStr">
        <is>
          <t>1</t>
        </is>
      </c>
      <c r="H109" t="inlineStr">
        <is>
          <t>No</t>
        </is>
      </c>
      <c r="I109" t="inlineStr">
        <is>
          <t>No</t>
        </is>
      </c>
      <c r="J109" t="inlineStr">
        <is>
          <t>0</t>
        </is>
      </c>
      <c r="K109" t="inlineStr">
        <is>
          <t>Shostak, Arthur B.</t>
        </is>
      </c>
      <c r="L109" t="inlineStr">
        <is>
          <t>Lanham : Rowman &amp; Littlefield Education, c2008.</t>
        </is>
      </c>
      <c r="M109" t="inlineStr">
        <is>
          <t>2008</t>
        </is>
      </c>
      <c r="O109" t="inlineStr">
        <is>
          <t>eng</t>
        </is>
      </c>
      <c r="P109" t="inlineStr">
        <is>
          <t>mdu</t>
        </is>
      </c>
      <c r="R109" t="inlineStr">
        <is>
          <t xml:space="preserve">LA </t>
        </is>
      </c>
      <c r="S109" t="n">
        <v>1</v>
      </c>
      <c r="T109" t="n">
        <v>1</v>
      </c>
      <c r="U109" t="inlineStr">
        <is>
          <t>2008-10-13</t>
        </is>
      </c>
      <c r="V109" t="inlineStr">
        <is>
          <t>2008-10-13</t>
        </is>
      </c>
      <c r="W109" t="inlineStr">
        <is>
          <t>2008-10-13</t>
        </is>
      </c>
      <c r="X109" t="inlineStr">
        <is>
          <t>2008-10-13</t>
        </is>
      </c>
      <c r="Y109" t="n">
        <v>121</v>
      </c>
      <c r="Z109" t="n">
        <v>112</v>
      </c>
      <c r="AA109" t="n">
        <v>174</v>
      </c>
      <c r="AB109" t="n">
        <v>1</v>
      </c>
      <c r="AC109" t="n">
        <v>2</v>
      </c>
      <c r="AD109" t="n">
        <v>5</v>
      </c>
      <c r="AE109" t="n">
        <v>9</v>
      </c>
      <c r="AF109" t="n">
        <v>2</v>
      </c>
      <c r="AG109" t="n">
        <v>4</v>
      </c>
      <c r="AH109" t="n">
        <v>2</v>
      </c>
      <c r="AI109" t="n">
        <v>3</v>
      </c>
      <c r="AJ109" t="n">
        <v>3</v>
      </c>
      <c r="AK109" t="n">
        <v>4</v>
      </c>
      <c r="AL109" t="n">
        <v>0</v>
      </c>
      <c r="AM109" t="n">
        <v>1</v>
      </c>
      <c r="AN109" t="n">
        <v>0</v>
      </c>
      <c r="AO109" t="n">
        <v>0</v>
      </c>
      <c r="AP109" t="inlineStr">
        <is>
          <t>No</t>
        </is>
      </c>
      <c r="AQ109" t="inlineStr">
        <is>
          <t>No</t>
        </is>
      </c>
      <c r="AS109">
        <f>HYPERLINK("https://creighton-primo.hosted.exlibrisgroup.com/primo-explore/search?tab=default_tab&amp;search_scope=EVERYTHING&amp;vid=01CRU&amp;lang=en_US&amp;offset=0&amp;query=any,contains,991005270839702656","Catalog Record")</f>
        <v/>
      </c>
      <c r="AT109">
        <f>HYPERLINK("http://www.worldcat.org/oclc/225534095","WorldCat Record")</f>
        <v/>
      </c>
      <c r="AU109" t="inlineStr">
        <is>
          <t>802711181:eng</t>
        </is>
      </c>
      <c r="AV109" t="inlineStr">
        <is>
          <t>225534095</t>
        </is>
      </c>
      <c r="AW109" t="inlineStr">
        <is>
          <t>991005270839702656</t>
        </is>
      </c>
      <c r="AX109" t="inlineStr">
        <is>
          <t>991005270839702656</t>
        </is>
      </c>
      <c r="AY109" t="inlineStr">
        <is>
          <t>2269899230002656</t>
        </is>
      </c>
      <c r="AZ109" t="inlineStr">
        <is>
          <t>BOOK</t>
        </is>
      </c>
      <c r="BB109" t="inlineStr">
        <is>
          <t>9781578868544</t>
        </is>
      </c>
      <c r="BC109" t="inlineStr">
        <is>
          <t>32285005463103</t>
        </is>
      </c>
      <c r="BD109" t="inlineStr">
        <is>
          <t>893777137</t>
        </is>
      </c>
    </row>
    <row r="110">
      <c r="A110" t="inlineStr">
        <is>
          <t>No</t>
        </is>
      </c>
      <c r="B110" t="inlineStr">
        <is>
          <t>LA217.2 .T73 1997</t>
        </is>
      </c>
      <c r="C110" t="inlineStr">
        <is>
          <t>0                      LA 0217200T  73          1997</t>
        </is>
      </c>
      <c r="D110" t="inlineStr">
        <is>
          <t>Transforming public education : a new course for America's future / edited by Evans Clinchy.</t>
        </is>
      </c>
      <c r="F110" t="inlineStr">
        <is>
          <t>No</t>
        </is>
      </c>
      <c r="G110" t="inlineStr">
        <is>
          <t>1</t>
        </is>
      </c>
      <c r="H110" t="inlineStr">
        <is>
          <t>No</t>
        </is>
      </c>
      <c r="I110" t="inlineStr">
        <is>
          <t>No</t>
        </is>
      </c>
      <c r="J110" t="inlineStr">
        <is>
          <t>0</t>
        </is>
      </c>
      <c r="L110" t="inlineStr">
        <is>
          <t>New York : Teachers College Press, c1997.</t>
        </is>
      </c>
      <c r="M110" t="inlineStr">
        <is>
          <t>1997</t>
        </is>
      </c>
      <c r="O110" t="inlineStr">
        <is>
          <t>eng</t>
        </is>
      </c>
      <c r="P110" t="inlineStr">
        <is>
          <t>nyu</t>
        </is>
      </c>
      <c r="R110" t="inlineStr">
        <is>
          <t xml:space="preserve">LA </t>
        </is>
      </c>
      <c r="S110" t="n">
        <v>7</v>
      </c>
      <c r="T110" t="n">
        <v>7</v>
      </c>
      <c r="U110" t="inlineStr">
        <is>
          <t>2001-11-27</t>
        </is>
      </c>
      <c r="V110" t="inlineStr">
        <is>
          <t>2001-11-27</t>
        </is>
      </c>
      <c r="W110" t="inlineStr">
        <is>
          <t>1997-03-21</t>
        </is>
      </c>
      <c r="X110" t="inlineStr">
        <is>
          <t>1997-03-21</t>
        </is>
      </c>
      <c r="Y110" t="n">
        <v>395</v>
      </c>
      <c r="Z110" t="n">
        <v>369</v>
      </c>
      <c r="AA110" t="n">
        <v>375</v>
      </c>
      <c r="AB110" t="n">
        <v>5</v>
      </c>
      <c r="AC110" t="n">
        <v>5</v>
      </c>
      <c r="AD110" t="n">
        <v>25</v>
      </c>
      <c r="AE110" t="n">
        <v>25</v>
      </c>
      <c r="AF110" t="n">
        <v>11</v>
      </c>
      <c r="AG110" t="n">
        <v>11</v>
      </c>
      <c r="AH110" t="n">
        <v>5</v>
      </c>
      <c r="AI110" t="n">
        <v>5</v>
      </c>
      <c r="AJ110" t="n">
        <v>12</v>
      </c>
      <c r="AK110" t="n">
        <v>12</v>
      </c>
      <c r="AL110" t="n">
        <v>4</v>
      </c>
      <c r="AM110" t="n">
        <v>4</v>
      </c>
      <c r="AN110" t="n">
        <v>0</v>
      </c>
      <c r="AO110" t="n">
        <v>0</v>
      </c>
      <c r="AP110" t="inlineStr">
        <is>
          <t>No</t>
        </is>
      </c>
      <c r="AQ110" t="inlineStr">
        <is>
          <t>No</t>
        </is>
      </c>
      <c r="AS110">
        <f>HYPERLINK("https://creighton-primo.hosted.exlibrisgroup.com/primo-explore/search?tab=default_tab&amp;search_scope=EVERYTHING&amp;vid=01CRU&amp;lang=en_US&amp;offset=0&amp;query=any,contains,991002694199702656","Catalog Record")</f>
        <v/>
      </c>
      <c r="AT110">
        <f>HYPERLINK("http://www.worldcat.org/oclc/35178638","WorldCat Record")</f>
        <v/>
      </c>
      <c r="AU110" t="inlineStr">
        <is>
          <t>56096542:eng</t>
        </is>
      </c>
      <c r="AV110" t="inlineStr">
        <is>
          <t>35178638</t>
        </is>
      </c>
      <c r="AW110" t="inlineStr">
        <is>
          <t>991002694199702656</t>
        </is>
      </c>
      <c r="AX110" t="inlineStr">
        <is>
          <t>991002694199702656</t>
        </is>
      </c>
      <c r="AY110" t="inlineStr">
        <is>
          <t>2256075340002656</t>
        </is>
      </c>
      <c r="AZ110" t="inlineStr">
        <is>
          <t>BOOK</t>
        </is>
      </c>
      <c r="BB110" t="inlineStr">
        <is>
          <t>9780807735688</t>
        </is>
      </c>
      <c r="BC110" t="inlineStr">
        <is>
          <t>32285002475522</t>
        </is>
      </c>
      <c r="BD110" t="inlineStr">
        <is>
          <t>893341734</t>
        </is>
      </c>
    </row>
    <row r="111">
      <c r="A111" t="inlineStr">
        <is>
          <t>No</t>
        </is>
      </c>
      <c r="B111" t="inlineStr">
        <is>
          <t>LA217.2 .W528 1998</t>
        </is>
      </c>
      <c r="C111" t="inlineStr">
        <is>
          <t>0                      LA 0217200W  528         1998</t>
        </is>
      </c>
      <c r="D111" t="inlineStr">
        <is>
          <t>What's gone wrong in America's classrooms / edited by Williamson M. Evers.</t>
        </is>
      </c>
      <c r="F111" t="inlineStr">
        <is>
          <t>No</t>
        </is>
      </c>
      <c r="G111" t="inlineStr">
        <is>
          <t>1</t>
        </is>
      </c>
      <c r="H111" t="inlineStr">
        <is>
          <t>No</t>
        </is>
      </c>
      <c r="I111" t="inlineStr">
        <is>
          <t>No</t>
        </is>
      </c>
      <c r="J111" t="inlineStr">
        <is>
          <t>0</t>
        </is>
      </c>
      <c r="L111" t="inlineStr">
        <is>
          <t>Stanford, Calif. : Hoover Institution Press, Stanford University, c1998.</t>
        </is>
      </c>
      <c r="M111" t="inlineStr">
        <is>
          <t>1998</t>
        </is>
      </c>
      <c r="O111" t="inlineStr">
        <is>
          <t>eng</t>
        </is>
      </c>
      <c r="P111" t="inlineStr">
        <is>
          <t>cau</t>
        </is>
      </c>
      <c r="R111" t="inlineStr">
        <is>
          <t xml:space="preserve">LA </t>
        </is>
      </c>
      <c r="S111" t="n">
        <v>5</v>
      </c>
      <c r="T111" t="n">
        <v>5</v>
      </c>
      <c r="U111" t="inlineStr">
        <is>
          <t>2006-04-19</t>
        </is>
      </c>
      <c r="V111" t="inlineStr">
        <is>
          <t>2006-04-19</t>
        </is>
      </c>
      <c r="W111" t="inlineStr">
        <is>
          <t>1998-12-15</t>
        </is>
      </c>
      <c r="X111" t="inlineStr">
        <is>
          <t>1998-12-15</t>
        </is>
      </c>
      <c r="Y111" t="n">
        <v>325</v>
      </c>
      <c r="Z111" t="n">
        <v>295</v>
      </c>
      <c r="AA111" t="n">
        <v>299</v>
      </c>
      <c r="AB111" t="n">
        <v>3</v>
      </c>
      <c r="AC111" t="n">
        <v>3</v>
      </c>
      <c r="AD111" t="n">
        <v>16</v>
      </c>
      <c r="AE111" t="n">
        <v>16</v>
      </c>
      <c r="AF111" t="n">
        <v>5</v>
      </c>
      <c r="AG111" t="n">
        <v>5</v>
      </c>
      <c r="AH111" t="n">
        <v>3</v>
      </c>
      <c r="AI111" t="n">
        <v>3</v>
      </c>
      <c r="AJ111" t="n">
        <v>8</v>
      </c>
      <c r="AK111" t="n">
        <v>8</v>
      </c>
      <c r="AL111" t="n">
        <v>2</v>
      </c>
      <c r="AM111" t="n">
        <v>2</v>
      </c>
      <c r="AN111" t="n">
        <v>0</v>
      </c>
      <c r="AO111" t="n">
        <v>0</v>
      </c>
      <c r="AP111" t="inlineStr">
        <is>
          <t>No</t>
        </is>
      </c>
      <c r="AQ111" t="inlineStr">
        <is>
          <t>No</t>
        </is>
      </c>
      <c r="AS111">
        <f>HYPERLINK("https://creighton-primo.hosted.exlibrisgroup.com/primo-explore/search?tab=default_tab&amp;search_scope=EVERYTHING&amp;vid=01CRU&amp;lang=en_US&amp;offset=0&amp;query=any,contains,991002922309702656","Catalog Record")</f>
        <v/>
      </c>
      <c r="AT111">
        <f>HYPERLINK("http://www.worldcat.org/oclc/38833312","WorldCat Record")</f>
        <v/>
      </c>
      <c r="AU111" t="inlineStr">
        <is>
          <t>5116996125:eng</t>
        </is>
      </c>
      <c r="AV111" t="inlineStr">
        <is>
          <t>38833312</t>
        </is>
      </c>
      <c r="AW111" t="inlineStr">
        <is>
          <t>991002922309702656</t>
        </is>
      </c>
      <c r="AX111" t="inlineStr">
        <is>
          <t>991002922309702656</t>
        </is>
      </c>
      <c r="AY111" t="inlineStr">
        <is>
          <t>2256160280002656</t>
        </is>
      </c>
      <c r="AZ111" t="inlineStr">
        <is>
          <t>BOOK</t>
        </is>
      </c>
      <c r="BB111" t="inlineStr">
        <is>
          <t>9780817995324</t>
        </is>
      </c>
      <c r="BC111" t="inlineStr">
        <is>
          <t>32285003506549</t>
        </is>
      </c>
      <c r="BD111" t="inlineStr">
        <is>
          <t>893799171</t>
        </is>
      </c>
    </row>
    <row r="112">
      <c r="A112" t="inlineStr">
        <is>
          <t>No</t>
        </is>
      </c>
      <c r="B112" t="inlineStr">
        <is>
          <t>LA219 .H39 1997</t>
        </is>
      </c>
      <c r="C112" t="inlineStr">
        <is>
          <t>0                      LA 0219000H  39          1997</t>
        </is>
      </c>
      <c r="D112" t="inlineStr">
        <is>
          <t>World class elementary schools : agenda for action / Richard M. Haynes, Donald M. Chalker.</t>
        </is>
      </c>
      <c r="F112" t="inlineStr">
        <is>
          <t>No</t>
        </is>
      </c>
      <c r="G112" t="inlineStr">
        <is>
          <t>1</t>
        </is>
      </c>
      <c r="H112" t="inlineStr">
        <is>
          <t>No</t>
        </is>
      </c>
      <c r="I112" t="inlineStr">
        <is>
          <t>No</t>
        </is>
      </c>
      <c r="J112" t="inlineStr">
        <is>
          <t>0</t>
        </is>
      </c>
      <c r="K112" t="inlineStr">
        <is>
          <t>Haynes, Richard M.</t>
        </is>
      </c>
      <c r="L112" t="inlineStr">
        <is>
          <t>Lancaster, Pa. : Technomic Pub. Co., c1997.</t>
        </is>
      </c>
      <c r="M112" t="inlineStr">
        <is>
          <t>1997</t>
        </is>
      </c>
      <c r="O112" t="inlineStr">
        <is>
          <t>eng</t>
        </is>
      </c>
      <c r="P112" t="inlineStr">
        <is>
          <t>pau</t>
        </is>
      </c>
      <c r="R112" t="inlineStr">
        <is>
          <t xml:space="preserve">LA </t>
        </is>
      </c>
      <c r="S112" t="n">
        <v>8</v>
      </c>
      <c r="T112" t="n">
        <v>8</v>
      </c>
      <c r="U112" t="inlineStr">
        <is>
          <t>2003-06-07</t>
        </is>
      </c>
      <c r="V112" t="inlineStr">
        <is>
          <t>2003-06-07</t>
        </is>
      </c>
      <c r="W112" t="inlineStr">
        <is>
          <t>1997-08-27</t>
        </is>
      </c>
      <c r="X112" t="inlineStr">
        <is>
          <t>1997-08-27</t>
        </is>
      </c>
      <c r="Y112" t="n">
        <v>145</v>
      </c>
      <c r="Z112" t="n">
        <v>134</v>
      </c>
      <c r="AA112" t="n">
        <v>137</v>
      </c>
      <c r="AB112" t="n">
        <v>2</v>
      </c>
      <c r="AC112" t="n">
        <v>2</v>
      </c>
      <c r="AD112" t="n">
        <v>9</v>
      </c>
      <c r="AE112" t="n">
        <v>9</v>
      </c>
      <c r="AF112" t="n">
        <v>5</v>
      </c>
      <c r="AG112" t="n">
        <v>5</v>
      </c>
      <c r="AH112" t="n">
        <v>2</v>
      </c>
      <c r="AI112" t="n">
        <v>2</v>
      </c>
      <c r="AJ112" t="n">
        <v>4</v>
      </c>
      <c r="AK112" t="n">
        <v>4</v>
      </c>
      <c r="AL112" t="n">
        <v>1</v>
      </c>
      <c r="AM112" t="n">
        <v>1</v>
      </c>
      <c r="AN112" t="n">
        <v>0</v>
      </c>
      <c r="AO112" t="n">
        <v>0</v>
      </c>
      <c r="AP112" t="inlineStr">
        <is>
          <t>No</t>
        </is>
      </c>
      <c r="AQ112" t="inlineStr">
        <is>
          <t>Yes</t>
        </is>
      </c>
      <c r="AR112">
        <f>HYPERLINK("http://catalog.hathitrust.org/Record/003174767","HathiTrust Record")</f>
        <v/>
      </c>
      <c r="AS112">
        <f>HYPERLINK("https://creighton-primo.hosted.exlibrisgroup.com/primo-explore/search?tab=default_tab&amp;search_scope=EVERYTHING&amp;vid=01CRU&amp;lang=en_US&amp;offset=0&amp;query=any,contains,991002815199702656","Catalog Record")</f>
        <v/>
      </c>
      <c r="AT112">
        <f>HYPERLINK("http://www.worldcat.org/oclc/36976578","WorldCat Record")</f>
        <v/>
      </c>
      <c r="AU112" t="inlineStr">
        <is>
          <t>678116:eng</t>
        </is>
      </c>
      <c r="AV112" t="inlineStr">
        <is>
          <t>36976578</t>
        </is>
      </c>
      <c r="AW112" t="inlineStr">
        <is>
          <t>991002815199702656</t>
        </is>
      </c>
      <c r="AX112" t="inlineStr">
        <is>
          <t>991002815199702656</t>
        </is>
      </c>
      <c r="AY112" t="inlineStr">
        <is>
          <t>2256284910002656</t>
        </is>
      </c>
      <c r="AZ112" t="inlineStr">
        <is>
          <t>BOOK</t>
        </is>
      </c>
      <c r="BB112" t="inlineStr">
        <is>
          <t>9781566762908</t>
        </is>
      </c>
      <c r="BC112" t="inlineStr">
        <is>
          <t>32285003002226</t>
        </is>
      </c>
      <c r="BD112" t="inlineStr">
        <is>
          <t>893786589</t>
        </is>
      </c>
    </row>
    <row r="113">
      <c r="A113" t="inlineStr">
        <is>
          <t>No</t>
        </is>
      </c>
      <c r="B113" t="inlineStr">
        <is>
          <t>LA222 .B68 1983</t>
        </is>
      </c>
      <c r="C113" t="inlineStr">
        <is>
          <t>0                      LA 0222000B  68          1983</t>
        </is>
      </c>
      <c r="D113" t="inlineStr">
        <is>
          <t>High school : a report on secondary education in America / Ernest L. Boyer.</t>
        </is>
      </c>
      <c r="F113" t="inlineStr">
        <is>
          <t>No</t>
        </is>
      </c>
      <c r="G113" t="inlineStr">
        <is>
          <t>1</t>
        </is>
      </c>
      <c r="H113" t="inlineStr">
        <is>
          <t>No</t>
        </is>
      </c>
      <c r="I113" t="inlineStr">
        <is>
          <t>No</t>
        </is>
      </c>
      <c r="J113" t="inlineStr">
        <is>
          <t>0</t>
        </is>
      </c>
      <c r="K113" t="inlineStr">
        <is>
          <t>Boyer, Ernest L.</t>
        </is>
      </c>
      <c r="L113" t="inlineStr">
        <is>
          <t>New York : Harper &amp; Row, c1983.</t>
        </is>
      </c>
      <c r="M113" t="inlineStr">
        <is>
          <t>1983</t>
        </is>
      </c>
      <c r="N113" t="inlineStr">
        <is>
          <t>1st ed.</t>
        </is>
      </c>
      <c r="O113" t="inlineStr">
        <is>
          <t>eng</t>
        </is>
      </c>
      <c r="P113" t="inlineStr">
        <is>
          <t>nyu</t>
        </is>
      </c>
      <c r="R113" t="inlineStr">
        <is>
          <t xml:space="preserve">LA </t>
        </is>
      </c>
      <c r="S113" t="n">
        <v>1</v>
      </c>
      <c r="T113" t="n">
        <v>1</v>
      </c>
      <c r="U113" t="inlineStr">
        <is>
          <t>2005-09-26</t>
        </is>
      </c>
      <c r="V113" t="inlineStr">
        <is>
          <t>2005-09-26</t>
        </is>
      </c>
      <c r="W113" t="inlineStr">
        <is>
          <t>1992-03-12</t>
        </is>
      </c>
      <c r="X113" t="inlineStr">
        <is>
          <t>1992-03-12</t>
        </is>
      </c>
      <c r="Y113" t="n">
        <v>1674</v>
      </c>
      <c r="Z113" t="n">
        <v>1534</v>
      </c>
      <c r="AA113" t="n">
        <v>1612</v>
      </c>
      <c r="AB113" t="n">
        <v>13</v>
      </c>
      <c r="AC113" t="n">
        <v>15</v>
      </c>
      <c r="AD113" t="n">
        <v>55</v>
      </c>
      <c r="AE113" t="n">
        <v>57</v>
      </c>
      <c r="AF113" t="n">
        <v>22</v>
      </c>
      <c r="AG113" t="n">
        <v>23</v>
      </c>
      <c r="AH113" t="n">
        <v>10</v>
      </c>
      <c r="AI113" t="n">
        <v>10</v>
      </c>
      <c r="AJ113" t="n">
        <v>25</v>
      </c>
      <c r="AK113" t="n">
        <v>25</v>
      </c>
      <c r="AL113" t="n">
        <v>10</v>
      </c>
      <c r="AM113" t="n">
        <v>11</v>
      </c>
      <c r="AN113" t="n">
        <v>0</v>
      </c>
      <c r="AO113" t="n">
        <v>0</v>
      </c>
      <c r="AP113" t="inlineStr">
        <is>
          <t>No</t>
        </is>
      </c>
      <c r="AQ113" t="inlineStr">
        <is>
          <t>Yes</t>
        </is>
      </c>
      <c r="AR113">
        <f>HYPERLINK("http://catalog.hathitrust.org/Record/000319550","HathiTrust Record")</f>
        <v/>
      </c>
      <c r="AS113">
        <f>HYPERLINK("https://creighton-primo.hosted.exlibrisgroup.com/primo-explore/search?tab=default_tab&amp;search_scope=EVERYTHING&amp;vid=01CRU&amp;lang=en_US&amp;offset=0&amp;query=any,contains,991000196229702656","Catalog Record")</f>
        <v/>
      </c>
      <c r="AT113">
        <f>HYPERLINK("http://www.worldcat.org/oclc/9441413","WorldCat Record")</f>
        <v/>
      </c>
      <c r="AU113" t="inlineStr">
        <is>
          <t>836721933:eng</t>
        </is>
      </c>
      <c r="AV113" t="inlineStr">
        <is>
          <t>9441413</t>
        </is>
      </c>
      <c r="AW113" t="inlineStr">
        <is>
          <t>991000196229702656</t>
        </is>
      </c>
      <c r="AX113" t="inlineStr">
        <is>
          <t>991000196229702656</t>
        </is>
      </c>
      <c r="AY113" t="inlineStr">
        <is>
          <t>2265037880002656</t>
        </is>
      </c>
      <c r="AZ113" t="inlineStr">
        <is>
          <t>BOOK</t>
        </is>
      </c>
      <c r="BB113" t="inlineStr">
        <is>
          <t>9780060151935</t>
        </is>
      </c>
      <c r="BC113" t="inlineStr">
        <is>
          <t>32285000998434</t>
        </is>
      </c>
      <c r="BD113" t="inlineStr">
        <is>
          <t>893808637</t>
        </is>
      </c>
    </row>
    <row r="114">
      <c r="A114" t="inlineStr">
        <is>
          <t>No</t>
        </is>
      </c>
      <c r="B114" t="inlineStr">
        <is>
          <t>LA222 .C54 1982</t>
        </is>
      </c>
      <c r="C114" t="inlineStr">
        <is>
          <t>0                      LA 0222000C  54          1982</t>
        </is>
      </c>
      <c r="D114" t="inlineStr">
        <is>
          <t>High school achievement : public, Catholic, and private schools compared / James S. Coleman, Thomas Hoffer, Sally Kilgore.</t>
        </is>
      </c>
      <c r="F114" t="inlineStr">
        <is>
          <t>No</t>
        </is>
      </c>
      <c r="G114" t="inlineStr">
        <is>
          <t>1</t>
        </is>
      </c>
      <c r="H114" t="inlineStr">
        <is>
          <t>No</t>
        </is>
      </c>
      <c r="I114" t="inlineStr">
        <is>
          <t>No</t>
        </is>
      </c>
      <c r="J114" t="inlineStr">
        <is>
          <t>0</t>
        </is>
      </c>
      <c r="K114" t="inlineStr">
        <is>
          <t>Coleman, James S., 1926-1995.</t>
        </is>
      </c>
      <c r="L114" t="inlineStr">
        <is>
          <t>New York : Basic Books, c1982.</t>
        </is>
      </c>
      <c r="M114" t="inlineStr">
        <is>
          <t>1982</t>
        </is>
      </c>
      <c r="O114" t="inlineStr">
        <is>
          <t>eng</t>
        </is>
      </c>
      <c r="P114" t="inlineStr">
        <is>
          <t>nyu</t>
        </is>
      </c>
      <c r="R114" t="inlineStr">
        <is>
          <t xml:space="preserve">LA </t>
        </is>
      </c>
      <c r="S114" t="n">
        <v>9</v>
      </c>
      <c r="T114" t="n">
        <v>9</v>
      </c>
      <c r="U114" t="inlineStr">
        <is>
          <t>2005-11-28</t>
        </is>
      </c>
      <c r="V114" t="inlineStr">
        <is>
          <t>2005-11-28</t>
        </is>
      </c>
      <c r="W114" t="inlineStr">
        <is>
          <t>1992-10-09</t>
        </is>
      </c>
      <c r="X114" t="inlineStr">
        <is>
          <t>1992-10-09</t>
        </is>
      </c>
      <c r="Y114" t="n">
        <v>1091</v>
      </c>
      <c r="Z114" t="n">
        <v>983</v>
      </c>
      <c r="AA114" t="n">
        <v>990</v>
      </c>
      <c r="AB114" t="n">
        <v>12</v>
      </c>
      <c r="AC114" t="n">
        <v>12</v>
      </c>
      <c r="AD114" t="n">
        <v>50</v>
      </c>
      <c r="AE114" t="n">
        <v>50</v>
      </c>
      <c r="AF114" t="n">
        <v>19</v>
      </c>
      <c r="AG114" t="n">
        <v>19</v>
      </c>
      <c r="AH114" t="n">
        <v>8</v>
      </c>
      <c r="AI114" t="n">
        <v>8</v>
      </c>
      <c r="AJ114" t="n">
        <v>23</v>
      </c>
      <c r="AK114" t="n">
        <v>23</v>
      </c>
      <c r="AL114" t="n">
        <v>10</v>
      </c>
      <c r="AM114" t="n">
        <v>10</v>
      </c>
      <c r="AN114" t="n">
        <v>1</v>
      </c>
      <c r="AO114" t="n">
        <v>1</v>
      </c>
      <c r="AP114" t="inlineStr">
        <is>
          <t>No</t>
        </is>
      </c>
      <c r="AQ114" t="inlineStr">
        <is>
          <t>Yes</t>
        </is>
      </c>
      <c r="AR114">
        <f>HYPERLINK("http://catalog.hathitrust.org/Record/000189745","HathiTrust Record")</f>
        <v/>
      </c>
      <c r="AS114">
        <f>HYPERLINK("https://creighton-primo.hosted.exlibrisgroup.com/primo-explore/search?tab=default_tab&amp;search_scope=EVERYTHING&amp;vid=01CRU&amp;lang=en_US&amp;offset=0&amp;query=any,contains,991005220999702656","Catalog Record")</f>
        <v/>
      </c>
      <c r="AT114">
        <f>HYPERLINK("http://www.worldcat.org/oclc/8222494","WorldCat Record")</f>
        <v/>
      </c>
      <c r="AU114" t="inlineStr">
        <is>
          <t>889731348:eng</t>
        </is>
      </c>
      <c r="AV114" t="inlineStr">
        <is>
          <t>8222494</t>
        </is>
      </c>
      <c r="AW114" t="inlineStr">
        <is>
          <t>991005220999702656</t>
        </is>
      </c>
      <c r="AX114" t="inlineStr">
        <is>
          <t>991005220999702656</t>
        </is>
      </c>
      <c r="AY114" t="inlineStr">
        <is>
          <t>2266765040002656</t>
        </is>
      </c>
      <c r="AZ114" t="inlineStr">
        <is>
          <t>BOOK</t>
        </is>
      </c>
      <c r="BB114" t="inlineStr">
        <is>
          <t>9780465029563</t>
        </is>
      </c>
      <c r="BC114" t="inlineStr">
        <is>
          <t>32285001345858</t>
        </is>
      </c>
      <c r="BD114" t="inlineStr">
        <is>
          <t>893607029</t>
        </is>
      </c>
    </row>
    <row r="115">
      <c r="A115" t="inlineStr">
        <is>
          <t>No</t>
        </is>
      </c>
      <c r="B115" t="inlineStr">
        <is>
          <t>LA222 .H386 1996</t>
        </is>
      </c>
      <c r="C115" t="inlineStr">
        <is>
          <t>0                      LA 0222000H  386         1996</t>
        </is>
      </c>
      <c r="D115" t="inlineStr">
        <is>
          <t>The once and future school : three hundred and fifty years of American secondary education / Jurgen Herbst.</t>
        </is>
      </c>
      <c r="F115" t="inlineStr">
        <is>
          <t>No</t>
        </is>
      </c>
      <c r="G115" t="inlineStr">
        <is>
          <t>1</t>
        </is>
      </c>
      <c r="H115" t="inlineStr">
        <is>
          <t>No</t>
        </is>
      </c>
      <c r="I115" t="inlineStr">
        <is>
          <t>No</t>
        </is>
      </c>
      <c r="J115" t="inlineStr">
        <is>
          <t>0</t>
        </is>
      </c>
      <c r="K115" t="inlineStr">
        <is>
          <t>Herbst, Jurgen.</t>
        </is>
      </c>
      <c r="L115" t="inlineStr">
        <is>
          <t>New York : Routledge, 1996.</t>
        </is>
      </c>
      <c r="M115" t="inlineStr">
        <is>
          <t>1996</t>
        </is>
      </c>
      <c r="O115" t="inlineStr">
        <is>
          <t>eng</t>
        </is>
      </c>
      <c r="P115" t="inlineStr">
        <is>
          <t>nyu</t>
        </is>
      </c>
      <c r="R115" t="inlineStr">
        <is>
          <t xml:space="preserve">LA </t>
        </is>
      </c>
      <c r="S115" t="n">
        <v>1</v>
      </c>
      <c r="T115" t="n">
        <v>1</v>
      </c>
      <c r="U115" t="inlineStr">
        <is>
          <t>2001-01-14</t>
        </is>
      </c>
      <c r="V115" t="inlineStr">
        <is>
          <t>2001-01-14</t>
        </is>
      </c>
      <c r="W115" t="inlineStr">
        <is>
          <t>1997-02-20</t>
        </is>
      </c>
      <c r="X115" t="inlineStr">
        <is>
          <t>1997-02-20</t>
        </is>
      </c>
      <c r="Y115" t="n">
        <v>722</v>
      </c>
      <c r="Z115" t="n">
        <v>664</v>
      </c>
      <c r="AA115" t="n">
        <v>1021</v>
      </c>
      <c r="AB115" t="n">
        <v>3</v>
      </c>
      <c r="AC115" t="n">
        <v>5</v>
      </c>
      <c r="AD115" t="n">
        <v>34</v>
      </c>
      <c r="AE115" t="n">
        <v>38</v>
      </c>
      <c r="AF115" t="n">
        <v>15</v>
      </c>
      <c r="AG115" t="n">
        <v>18</v>
      </c>
      <c r="AH115" t="n">
        <v>6</v>
      </c>
      <c r="AI115" t="n">
        <v>6</v>
      </c>
      <c r="AJ115" t="n">
        <v>21</v>
      </c>
      <c r="AK115" t="n">
        <v>22</v>
      </c>
      <c r="AL115" t="n">
        <v>2</v>
      </c>
      <c r="AM115" t="n">
        <v>3</v>
      </c>
      <c r="AN115" t="n">
        <v>0</v>
      </c>
      <c r="AO115" t="n">
        <v>0</v>
      </c>
      <c r="AP115" t="inlineStr">
        <is>
          <t>No</t>
        </is>
      </c>
      <c r="AQ115" t="inlineStr">
        <is>
          <t>Yes</t>
        </is>
      </c>
      <c r="AR115">
        <f>HYPERLINK("http://catalog.hathitrust.org/Record/003165155","HathiTrust Record")</f>
        <v/>
      </c>
      <c r="AS115">
        <f>HYPERLINK("https://creighton-primo.hosted.exlibrisgroup.com/primo-explore/search?tab=default_tab&amp;search_scope=EVERYTHING&amp;vid=01CRU&amp;lang=en_US&amp;offset=0&amp;query=any,contains,991002670039702656","Catalog Record")</f>
        <v/>
      </c>
      <c r="AT115">
        <f>HYPERLINK("http://www.worldcat.org/oclc/34919744","WorldCat Record")</f>
        <v/>
      </c>
      <c r="AU115" t="inlineStr">
        <is>
          <t>797128176:eng</t>
        </is>
      </c>
      <c r="AV115" t="inlineStr">
        <is>
          <t>34919744</t>
        </is>
      </c>
      <c r="AW115" t="inlineStr">
        <is>
          <t>991002670039702656</t>
        </is>
      </c>
      <c r="AX115" t="inlineStr">
        <is>
          <t>991002670039702656</t>
        </is>
      </c>
      <c r="AY115" t="inlineStr">
        <is>
          <t>2261811650002656</t>
        </is>
      </c>
      <c r="AZ115" t="inlineStr">
        <is>
          <t>BOOK</t>
        </is>
      </c>
      <c r="BB115" t="inlineStr">
        <is>
          <t>9780415911931</t>
        </is>
      </c>
      <c r="BC115" t="inlineStr">
        <is>
          <t>32285002431988</t>
        </is>
      </c>
      <c r="BD115" t="inlineStr">
        <is>
          <t>893434143</t>
        </is>
      </c>
    </row>
    <row r="116">
      <c r="A116" t="inlineStr">
        <is>
          <t>No</t>
        </is>
      </c>
      <c r="B116" t="inlineStr">
        <is>
          <t>LA222 .S54 1984</t>
        </is>
      </c>
      <c r="C116" t="inlineStr">
        <is>
          <t>0                      LA 0222000S  54          1984</t>
        </is>
      </c>
      <c r="D116" t="inlineStr">
        <is>
          <t>Horace's compromise--the dilemma of the American high school : the first report from A study of American high schools, co-sponsored by the National Association of Secondary School Principals and the Commission on Educational Issues of the National Association of Independent Schools / Theodore R. Sizer.</t>
        </is>
      </c>
      <c r="F116" t="inlineStr">
        <is>
          <t>No</t>
        </is>
      </c>
      <c r="G116" t="inlineStr">
        <is>
          <t>1</t>
        </is>
      </c>
      <c r="H116" t="inlineStr">
        <is>
          <t>No</t>
        </is>
      </c>
      <c r="I116" t="inlineStr">
        <is>
          <t>No</t>
        </is>
      </c>
      <c r="J116" t="inlineStr">
        <is>
          <t>0</t>
        </is>
      </c>
      <c r="K116" t="inlineStr">
        <is>
          <t>Sizer, Theodore R.</t>
        </is>
      </c>
      <c r="L116" t="inlineStr">
        <is>
          <t>Boston : Houghton Mifflin, 1984.</t>
        </is>
      </c>
      <c r="M116" t="inlineStr">
        <is>
          <t>1984</t>
        </is>
      </c>
      <c r="O116" t="inlineStr">
        <is>
          <t>eng</t>
        </is>
      </c>
      <c r="P116" t="inlineStr">
        <is>
          <t>mau</t>
        </is>
      </c>
      <c r="R116" t="inlineStr">
        <is>
          <t xml:space="preserve">LA </t>
        </is>
      </c>
      <c r="S116" t="n">
        <v>6</v>
      </c>
      <c r="T116" t="n">
        <v>6</v>
      </c>
      <c r="U116" t="inlineStr">
        <is>
          <t>2008-02-21</t>
        </is>
      </c>
      <c r="V116" t="inlineStr">
        <is>
          <t>2008-02-21</t>
        </is>
      </c>
      <c r="W116" t="inlineStr">
        <is>
          <t>1992-10-09</t>
        </is>
      </c>
      <c r="X116" t="inlineStr">
        <is>
          <t>1992-10-09</t>
        </is>
      </c>
      <c r="Y116" t="n">
        <v>1496</v>
      </c>
      <c r="Z116" t="n">
        <v>1420</v>
      </c>
      <c r="AA116" t="n">
        <v>1604</v>
      </c>
      <c r="AB116" t="n">
        <v>12</v>
      </c>
      <c r="AC116" t="n">
        <v>12</v>
      </c>
      <c r="AD116" t="n">
        <v>46</v>
      </c>
      <c r="AE116" t="n">
        <v>55</v>
      </c>
      <c r="AF116" t="n">
        <v>20</v>
      </c>
      <c r="AG116" t="n">
        <v>25</v>
      </c>
      <c r="AH116" t="n">
        <v>6</v>
      </c>
      <c r="AI116" t="n">
        <v>9</v>
      </c>
      <c r="AJ116" t="n">
        <v>20</v>
      </c>
      <c r="AK116" t="n">
        <v>24</v>
      </c>
      <c r="AL116" t="n">
        <v>10</v>
      </c>
      <c r="AM116" t="n">
        <v>10</v>
      </c>
      <c r="AN116" t="n">
        <v>0</v>
      </c>
      <c r="AO116" t="n">
        <v>0</v>
      </c>
      <c r="AP116" t="inlineStr">
        <is>
          <t>No</t>
        </is>
      </c>
      <c r="AQ116" t="inlineStr">
        <is>
          <t>No</t>
        </is>
      </c>
      <c r="AS116">
        <f>HYPERLINK("https://creighton-primo.hosted.exlibrisgroup.com/primo-explore/search?tab=default_tab&amp;search_scope=EVERYTHING&amp;vid=01CRU&amp;lang=en_US&amp;offset=0&amp;query=any,contains,991000292119702656","Catalog Record")</f>
        <v/>
      </c>
      <c r="AT116">
        <f>HYPERLINK("http://www.worldcat.org/oclc/9970284","WorldCat Record")</f>
        <v/>
      </c>
      <c r="AU116" t="inlineStr">
        <is>
          <t>4792492:eng</t>
        </is>
      </c>
      <c r="AV116" t="inlineStr">
        <is>
          <t>9970284</t>
        </is>
      </c>
      <c r="AW116" t="inlineStr">
        <is>
          <t>991000292119702656</t>
        </is>
      </c>
      <c r="AX116" t="inlineStr">
        <is>
          <t>991000292119702656</t>
        </is>
      </c>
      <c r="AY116" t="inlineStr">
        <is>
          <t>2255050840002656</t>
        </is>
      </c>
      <c r="AZ116" t="inlineStr">
        <is>
          <t>BOOK</t>
        </is>
      </c>
      <c r="BB116" t="inlineStr">
        <is>
          <t>9780395344231</t>
        </is>
      </c>
      <c r="BC116" t="inlineStr">
        <is>
          <t>32285001345924</t>
        </is>
      </c>
      <c r="BD116" t="inlineStr">
        <is>
          <t>893333360</t>
        </is>
      </c>
    </row>
    <row r="117">
      <c r="A117" t="inlineStr">
        <is>
          <t>No</t>
        </is>
      </c>
      <c r="B117" t="inlineStr">
        <is>
          <t>LA222 .S56</t>
        </is>
      </c>
      <c r="C117" t="inlineStr">
        <is>
          <t>0                      LA 0222000S  56</t>
        </is>
      </c>
      <c r="D117" t="inlineStr">
        <is>
          <t>Secondary schools in a changing society / Frederick R. Smith, C. Benjamin Cox.</t>
        </is>
      </c>
      <c r="F117" t="inlineStr">
        <is>
          <t>No</t>
        </is>
      </c>
      <c r="G117" t="inlineStr">
        <is>
          <t>1</t>
        </is>
      </c>
      <c r="H117" t="inlineStr">
        <is>
          <t>No</t>
        </is>
      </c>
      <c r="I117" t="inlineStr">
        <is>
          <t>No</t>
        </is>
      </c>
      <c r="J117" t="inlineStr">
        <is>
          <t>0</t>
        </is>
      </c>
      <c r="K117" t="inlineStr">
        <is>
          <t>Smith, Frederick R.</t>
        </is>
      </c>
      <c r="L117" t="inlineStr">
        <is>
          <t>New York : Holt, Rinehart and Winston, c1976.</t>
        </is>
      </c>
      <c r="M117" t="inlineStr">
        <is>
          <t>1976</t>
        </is>
      </c>
      <c r="O117" t="inlineStr">
        <is>
          <t>eng</t>
        </is>
      </c>
      <c r="P117" t="inlineStr">
        <is>
          <t>nyu</t>
        </is>
      </c>
      <c r="R117" t="inlineStr">
        <is>
          <t xml:space="preserve">LA </t>
        </is>
      </c>
      <c r="S117" t="n">
        <v>2</v>
      </c>
      <c r="T117" t="n">
        <v>2</v>
      </c>
      <c r="U117" t="inlineStr">
        <is>
          <t>2006-02-14</t>
        </is>
      </c>
      <c r="V117" t="inlineStr">
        <is>
          <t>2006-02-14</t>
        </is>
      </c>
      <c r="W117" t="inlineStr">
        <is>
          <t>1992-10-09</t>
        </is>
      </c>
      <c r="X117" t="inlineStr">
        <is>
          <t>1992-10-09</t>
        </is>
      </c>
      <c r="Y117" t="n">
        <v>260</v>
      </c>
      <c r="Z117" t="n">
        <v>205</v>
      </c>
      <c r="AA117" t="n">
        <v>205</v>
      </c>
      <c r="AB117" t="n">
        <v>1</v>
      </c>
      <c r="AC117" t="n">
        <v>1</v>
      </c>
      <c r="AD117" t="n">
        <v>8</v>
      </c>
      <c r="AE117" t="n">
        <v>8</v>
      </c>
      <c r="AF117" t="n">
        <v>4</v>
      </c>
      <c r="AG117" t="n">
        <v>4</v>
      </c>
      <c r="AH117" t="n">
        <v>2</v>
      </c>
      <c r="AI117" t="n">
        <v>2</v>
      </c>
      <c r="AJ117" t="n">
        <v>5</v>
      </c>
      <c r="AK117" t="n">
        <v>5</v>
      </c>
      <c r="AL117" t="n">
        <v>0</v>
      </c>
      <c r="AM117" t="n">
        <v>0</v>
      </c>
      <c r="AN117" t="n">
        <v>0</v>
      </c>
      <c r="AO117" t="n">
        <v>0</v>
      </c>
      <c r="AP117" t="inlineStr">
        <is>
          <t>No</t>
        </is>
      </c>
      <c r="AQ117" t="inlineStr">
        <is>
          <t>No</t>
        </is>
      </c>
      <c r="AS117">
        <f>HYPERLINK("https://creighton-primo.hosted.exlibrisgroup.com/primo-explore/search?tab=default_tab&amp;search_scope=EVERYTHING&amp;vid=01CRU&amp;lang=en_US&amp;offset=0&amp;query=any,contains,991003959799702656","Catalog Record")</f>
        <v/>
      </c>
      <c r="AT117">
        <f>HYPERLINK("http://www.worldcat.org/oclc/1974209","WorldCat Record")</f>
        <v/>
      </c>
      <c r="AU117" t="inlineStr">
        <is>
          <t>2724531:eng</t>
        </is>
      </c>
      <c r="AV117" t="inlineStr">
        <is>
          <t>1974209</t>
        </is>
      </c>
      <c r="AW117" t="inlineStr">
        <is>
          <t>991003959799702656</t>
        </is>
      </c>
      <c r="AX117" t="inlineStr">
        <is>
          <t>991003959799702656</t>
        </is>
      </c>
      <c r="AY117" t="inlineStr">
        <is>
          <t>2262952150002656</t>
        </is>
      </c>
      <c r="AZ117" t="inlineStr">
        <is>
          <t>BOOK</t>
        </is>
      </c>
      <c r="BB117" t="inlineStr">
        <is>
          <t>9780030891793</t>
        </is>
      </c>
      <c r="BC117" t="inlineStr">
        <is>
          <t>32285001345932</t>
        </is>
      </c>
      <c r="BD117" t="inlineStr">
        <is>
          <t>893775430</t>
        </is>
      </c>
    </row>
    <row r="118">
      <c r="A118" t="inlineStr">
        <is>
          <t>No</t>
        </is>
      </c>
      <c r="B118" t="inlineStr">
        <is>
          <t>LA222 .S95 1995</t>
        </is>
      </c>
      <c r="C118" t="inlineStr">
        <is>
          <t>0                      LA 0222000S  95          1995</t>
        </is>
      </c>
      <c r="D118" t="inlineStr">
        <is>
          <t>Dumbing down our kids : why American children feel good about themselves but can't read, write, or add / Charles J. Sykes.</t>
        </is>
      </c>
      <c r="F118" t="inlineStr">
        <is>
          <t>No</t>
        </is>
      </c>
      <c r="G118" t="inlineStr">
        <is>
          <t>1</t>
        </is>
      </c>
      <c r="H118" t="inlineStr">
        <is>
          <t>No</t>
        </is>
      </c>
      <c r="I118" t="inlineStr">
        <is>
          <t>No</t>
        </is>
      </c>
      <c r="J118" t="inlineStr">
        <is>
          <t>0</t>
        </is>
      </c>
      <c r="K118" t="inlineStr">
        <is>
          <t>Sykes, Charles J., 1954-</t>
        </is>
      </c>
      <c r="L118" t="inlineStr">
        <is>
          <t>New York : St. Martin's Press, 1995.</t>
        </is>
      </c>
      <c r="M118" t="inlineStr">
        <is>
          <t>1995</t>
        </is>
      </c>
      <c r="O118" t="inlineStr">
        <is>
          <t>eng</t>
        </is>
      </c>
      <c r="P118" t="inlineStr">
        <is>
          <t>nyu</t>
        </is>
      </c>
      <c r="R118" t="inlineStr">
        <is>
          <t xml:space="preserve">LA </t>
        </is>
      </c>
      <c r="S118" t="n">
        <v>13</v>
      </c>
      <c r="T118" t="n">
        <v>13</v>
      </c>
      <c r="U118" t="inlineStr">
        <is>
          <t>2007-03-02</t>
        </is>
      </c>
      <c r="V118" t="inlineStr">
        <is>
          <t>2007-03-02</t>
        </is>
      </c>
      <c r="W118" t="inlineStr">
        <is>
          <t>1995-11-06</t>
        </is>
      </c>
      <c r="X118" t="inlineStr">
        <is>
          <t>1995-11-06</t>
        </is>
      </c>
      <c r="Y118" t="n">
        <v>1271</v>
      </c>
      <c r="Z118" t="n">
        <v>1228</v>
      </c>
      <c r="AA118" t="n">
        <v>1397</v>
      </c>
      <c r="AB118" t="n">
        <v>12</v>
      </c>
      <c r="AC118" t="n">
        <v>15</v>
      </c>
      <c r="AD118" t="n">
        <v>29</v>
      </c>
      <c r="AE118" t="n">
        <v>31</v>
      </c>
      <c r="AF118" t="n">
        <v>12</v>
      </c>
      <c r="AG118" t="n">
        <v>13</v>
      </c>
      <c r="AH118" t="n">
        <v>6</v>
      </c>
      <c r="AI118" t="n">
        <v>6</v>
      </c>
      <c r="AJ118" t="n">
        <v>14</v>
      </c>
      <c r="AK118" t="n">
        <v>14</v>
      </c>
      <c r="AL118" t="n">
        <v>7</v>
      </c>
      <c r="AM118" t="n">
        <v>8</v>
      </c>
      <c r="AN118" t="n">
        <v>0</v>
      </c>
      <c r="AO118" t="n">
        <v>0</v>
      </c>
      <c r="AP118" t="inlineStr">
        <is>
          <t>No</t>
        </is>
      </c>
      <c r="AQ118" t="inlineStr">
        <is>
          <t>No</t>
        </is>
      </c>
      <c r="AS118">
        <f>HYPERLINK("https://creighton-primo.hosted.exlibrisgroup.com/primo-explore/search?tab=default_tab&amp;search_scope=EVERYTHING&amp;vid=01CRU&amp;lang=en_US&amp;offset=0&amp;query=any,contains,991002520999702656","Catalog Record")</f>
        <v/>
      </c>
      <c r="AT118">
        <f>HYPERLINK("http://www.worldcat.org/oclc/32779649","WorldCat Record")</f>
        <v/>
      </c>
      <c r="AU118" t="inlineStr">
        <is>
          <t>1028181585:eng</t>
        </is>
      </c>
      <c r="AV118" t="inlineStr">
        <is>
          <t>32779649</t>
        </is>
      </c>
      <c r="AW118" t="inlineStr">
        <is>
          <t>991002520999702656</t>
        </is>
      </c>
      <c r="AX118" t="inlineStr">
        <is>
          <t>991002520999702656</t>
        </is>
      </c>
      <c r="AY118" t="inlineStr">
        <is>
          <t>2259638980002656</t>
        </is>
      </c>
      <c r="AZ118" t="inlineStr">
        <is>
          <t>BOOK</t>
        </is>
      </c>
      <c r="BB118" t="inlineStr">
        <is>
          <t>9780312134747</t>
        </is>
      </c>
      <c r="BC118" t="inlineStr">
        <is>
          <t>32285002101417</t>
        </is>
      </c>
      <c r="BD118" t="inlineStr">
        <is>
          <t>893867331</t>
        </is>
      </c>
    </row>
    <row r="119">
      <c r="A119" t="inlineStr">
        <is>
          <t>No</t>
        </is>
      </c>
      <c r="B119" t="inlineStr">
        <is>
          <t>LA222 .W57 2008</t>
        </is>
      </c>
      <c r="C119" t="inlineStr">
        <is>
          <t>0                      LA 0222000W  57          2008</t>
        </is>
      </c>
      <c r="D119" t="inlineStr">
        <is>
          <t>Raising the grade : how secondary school reform can save our youth and the nation / Bob Wise.</t>
        </is>
      </c>
      <c r="F119" t="inlineStr">
        <is>
          <t>No</t>
        </is>
      </c>
      <c r="G119" t="inlineStr">
        <is>
          <t>1</t>
        </is>
      </c>
      <c r="H119" t="inlineStr">
        <is>
          <t>No</t>
        </is>
      </c>
      <c r="I119" t="inlineStr">
        <is>
          <t>No</t>
        </is>
      </c>
      <c r="J119" t="inlineStr">
        <is>
          <t>0</t>
        </is>
      </c>
      <c r="K119" t="inlineStr">
        <is>
          <t>Wise, Robert E., 1948-</t>
        </is>
      </c>
      <c r="L119" t="inlineStr">
        <is>
          <t>San Francisco : Jossey-Bass, c2008.</t>
        </is>
      </c>
      <c r="M119" t="inlineStr">
        <is>
          <t>2008</t>
        </is>
      </c>
      <c r="N119" t="inlineStr">
        <is>
          <t>1st ed.</t>
        </is>
      </c>
      <c r="O119" t="inlineStr">
        <is>
          <t>eng</t>
        </is>
      </c>
      <c r="P119" t="inlineStr">
        <is>
          <t>cau</t>
        </is>
      </c>
      <c r="R119" t="inlineStr">
        <is>
          <t xml:space="preserve">LA </t>
        </is>
      </c>
      <c r="S119" t="n">
        <v>2</v>
      </c>
      <c r="T119" t="n">
        <v>2</v>
      </c>
      <c r="U119" t="inlineStr">
        <is>
          <t>2009-09-27</t>
        </is>
      </c>
      <c r="V119" t="inlineStr">
        <is>
          <t>2009-09-27</t>
        </is>
      </c>
      <c r="W119" t="inlineStr">
        <is>
          <t>2008-07-14</t>
        </is>
      </c>
      <c r="X119" t="inlineStr">
        <is>
          <t>2008-07-14</t>
        </is>
      </c>
      <c r="Y119" t="n">
        <v>336</v>
      </c>
      <c r="Z119" t="n">
        <v>312</v>
      </c>
      <c r="AA119" t="n">
        <v>314</v>
      </c>
      <c r="AB119" t="n">
        <v>3</v>
      </c>
      <c r="AC119" t="n">
        <v>3</v>
      </c>
      <c r="AD119" t="n">
        <v>13</v>
      </c>
      <c r="AE119" t="n">
        <v>13</v>
      </c>
      <c r="AF119" t="n">
        <v>3</v>
      </c>
      <c r="AG119" t="n">
        <v>3</v>
      </c>
      <c r="AH119" t="n">
        <v>2</v>
      </c>
      <c r="AI119" t="n">
        <v>2</v>
      </c>
      <c r="AJ119" t="n">
        <v>7</v>
      </c>
      <c r="AK119" t="n">
        <v>7</v>
      </c>
      <c r="AL119" t="n">
        <v>2</v>
      </c>
      <c r="AM119" t="n">
        <v>2</v>
      </c>
      <c r="AN119" t="n">
        <v>0</v>
      </c>
      <c r="AO119" t="n">
        <v>0</v>
      </c>
      <c r="AP119" t="inlineStr">
        <is>
          <t>No</t>
        </is>
      </c>
      <c r="AQ119" t="inlineStr">
        <is>
          <t>Yes</t>
        </is>
      </c>
      <c r="AR119">
        <f>HYPERLINK("http://catalog.hathitrust.org/Record/005686245","HathiTrust Record")</f>
        <v/>
      </c>
      <c r="AS119">
        <f>HYPERLINK("https://creighton-primo.hosted.exlibrisgroup.com/primo-explore/search?tab=default_tab&amp;search_scope=EVERYTHING&amp;vid=01CRU&amp;lang=en_US&amp;offset=0&amp;query=any,contains,991005242719702656","Catalog Record")</f>
        <v/>
      </c>
      <c r="AT119">
        <f>HYPERLINK("http://www.worldcat.org/oclc/173480614","WorldCat Record")</f>
        <v/>
      </c>
      <c r="AU119" t="inlineStr">
        <is>
          <t>474442023:eng</t>
        </is>
      </c>
      <c r="AV119" t="inlineStr">
        <is>
          <t>173480614</t>
        </is>
      </c>
      <c r="AW119" t="inlineStr">
        <is>
          <t>991005242719702656</t>
        </is>
      </c>
      <c r="AX119" t="inlineStr">
        <is>
          <t>991005242719702656</t>
        </is>
      </c>
      <c r="AY119" t="inlineStr">
        <is>
          <t>2260855920002656</t>
        </is>
      </c>
      <c r="AZ119" t="inlineStr">
        <is>
          <t>BOOK</t>
        </is>
      </c>
      <c r="BB119" t="inlineStr">
        <is>
          <t>9780470180273</t>
        </is>
      </c>
      <c r="BC119" t="inlineStr">
        <is>
          <t>32285005448088</t>
        </is>
      </c>
      <c r="BD119" t="inlineStr">
        <is>
          <t>893795848</t>
        </is>
      </c>
    </row>
    <row r="120">
      <c r="A120" t="inlineStr">
        <is>
          <t>No</t>
        </is>
      </c>
      <c r="B120" t="inlineStr">
        <is>
          <t>LA222 .W67 1994</t>
        </is>
      </c>
      <c r="C120" t="inlineStr">
        <is>
          <t>0                      LA 0222000W  67          1994</t>
        </is>
      </c>
      <c r="D120" t="inlineStr">
        <is>
          <t>World class schools : an evolving concept / edited by John M. Jenkins ... [et al.].</t>
        </is>
      </c>
      <c r="F120" t="inlineStr">
        <is>
          <t>No</t>
        </is>
      </c>
      <c r="G120" t="inlineStr">
        <is>
          <t>1</t>
        </is>
      </c>
      <c r="H120" t="inlineStr">
        <is>
          <t>No</t>
        </is>
      </c>
      <c r="I120" t="inlineStr">
        <is>
          <t>No</t>
        </is>
      </c>
      <c r="J120" t="inlineStr">
        <is>
          <t>0</t>
        </is>
      </c>
      <c r="L120" t="inlineStr">
        <is>
          <t>Reston, VA : National Association of Secondary School Principals, 1994.</t>
        </is>
      </c>
      <c r="M120" t="inlineStr">
        <is>
          <t>1994</t>
        </is>
      </c>
      <c r="O120" t="inlineStr">
        <is>
          <t>eng</t>
        </is>
      </c>
      <c r="P120" t="inlineStr">
        <is>
          <t>vau</t>
        </is>
      </c>
      <c r="R120" t="inlineStr">
        <is>
          <t xml:space="preserve">LA </t>
        </is>
      </c>
      <c r="S120" t="n">
        <v>4</v>
      </c>
      <c r="T120" t="n">
        <v>4</v>
      </c>
      <c r="U120" t="inlineStr">
        <is>
          <t>2001-10-18</t>
        </is>
      </c>
      <c r="V120" t="inlineStr">
        <is>
          <t>2001-10-18</t>
        </is>
      </c>
      <c r="W120" t="inlineStr">
        <is>
          <t>1994-11-17</t>
        </is>
      </c>
      <c r="X120" t="inlineStr">
        <is>
          <t>1994-11-17</t>
        </is>
      </c>
      <c r="Y120" t="n">
        <v>516</v>
      </c>
      <c r="Z120" t="n">
        <v>464</v>
      </c>
      <c r="AA120" t="n">
        <v>470</v>
      </c>
      <c r="AB120" t="n">
        <v>4</v>
      </c>
      <c r="AC120" t="n">
        <v>4</v>
      </c>
      <c r="AD120" t="n">
        <v>23</v>
      </c>
      <c r="AE120" t="n">
        <v>23</v>
      </c>
      <c r="AF120" t="n">
        <v>14</v>
      </c>
      <c r="AG120" t="n">
        <v>14</v>
      </c>
      <c r="AH120" t="n">
        <v>6</v>
      </c>
      <c r="AI120" t="n">
        <v>6</v>
      </c>
      <c r="AJ120" t="n">
        <v>10</v>
      </c>
      <c r="AK120" t="n">
        <v>10</v>
      </c>
      <c r="AL120" t="n">
        <v>3</v>
      </c>
      <c r="AM120" t="n">
        <v>3</v>
      </c>
      <c r="AN120" t="n">
        <v>0</v>
      </c>
      <c r="AO120" t="n">
        <v>0</v>
      </c>
      <c r="AP120" t="inlineStr">
        <is>
          <t>No</t>
        </is>
      </c>
      <c r="AQ120" t="inlineStr">
        <is>
          <t>No</t>
        </is>
      </c>
      <c r="AS120">
        <f>HYPERLINK("https://creighton-primo.hosted.exlibrisgroup.com/primo-explore/search?tab=default_tab&amp;search_scope=EVERYTHING&amp;vid=01CRU&amp;lang=en_US&amp;offset=0&amp;query=any,contains,991002412119702656","Catalog Record")</f>
        <v/>
      </c>
      <c r="AT120">
        <f>HYPERLINK("http://www.worldcat.org/oclc/31399331","WorldCat Record")</f>
        <v/>
      </c>
      <c r="AU120" t="inlineStr">
        <is>
          <t>894517852:eng</t>
        </is>
      </c>
      <c r="AV120" t="inlineStr">
        <is>
          <t>31399331</t>
        </is>
      </c>
      <c r="AW120" t="inlineStr">
        <is>
          <t>991002412119702656</t>
        </is>
      </c>
      <c r="AX120" t="inlineStr">
        <is>
          <t>991002412119702656</t>
        </is>
      </c>
      <c r="AY120" t="inlineStr">
        <is>
          <t>2272341940002656</t>
        </is>
      </c>
      <c r="AZ120" t="inlineStr">
        <is>
          <t>BOOK</t>
        </is>
      </c>
      <c r="BB120" t="inlineStr">
        <is>
          <t>9780882102962</t>
        </is>
      </c>
      <c r="BC120" t="inlineStr">
        <is>
          <t>32285001971505</t>
        </is>
      </c>
      <c r="BD120" t="inlineStr">
        <is>
          <t>893232926</t>
        </is>
      </c>
    </row>
    <row r="121">
      <c r="A121" t="inlineStr">
        <is>
          <t>No</t>
        </is>
      </c>
      <c r="B121" t="inlineStr">
        <is>
          <t>LA226 .J4</t>
        </is>
      </c>
      <c r="C121" t="inlineStr">
        <is>
          <t>0                      LA 0226000J  4</t>
        </is>
      </c>
      <c r="D121" t="inlineStr">
        <is>
          <t>The academic revolution / [by] Christopher Jencks &amp; David Riesman.</t>
        </is>
      </c>
      <c r="F121" t="inlineStr">
        <is>
          <t>No</t>
        </is>
      </c>
      <c r="G121" t="inlineStr">
        <is>
          <t>1</t>
        </is>
      </c>
      <c r="H121" t="inlineStr">
        <is>
          <t>No</t>
        </is>
      </c>
      <c r="I121" t="inlineStr">
        <is>
          <t>No</t>
        </is>
      </c>
      <c r="J121" t="inlineStr">
        <is>
          <t>0</t>
        </is>
      </c>
      <c r="K121" t="inlineStr">
        <is>
          <t>Jencks, Christopher.</t>
        </is>
      </c>
      <c r="L121" t="inlineStr">
        <is>
          <t>Garden City, N.Y. : Doubleday, 1968.</t>
        </is>
      </c>
      <c r="M121" t="inlineStr">
        <is>
          <t>1968</t>
        </is>
      </c>
      <c r="N121" t="inlineStr">
        <is>
          <t>[1st ed.]</t>
        </is>
      </c>
      <c r="O121" t="inlineStr">
        <is>
          <t>eng</t>
        </is>
      </c>
      <c r="P121" t="inlineStr">
        <is>
          <t>nyu</t>
        </is>
      </c>
      <c r="R121" t="inlineStr">
        <is>
          <t xml:space="preserve">LA </t>
        </is>
      </c>
      <c r="S121" t="n">
        <v>5</v>
      </c>
      <c r="T121" t="n">
        <v>5</v>
      </c>
      <c r="U121" t="inlineStr">
        <is>
          <t>2005-03-27</t>
        </is>
      </c>
      <c r="V121" t="inlineStr">
        <is>
          <t>2005-03-27</t>
        </is>
      </c>
      <c r="W121" t="inlineStr">
        <is>
          <t>1994-04-18</t>
        </is>
      </c>
      <c r="X121" t="inlineStr">
        <is>
          <t>1994-04-18</t>
        </is>
      </c>
      <c r="Y121" t="n">
        <v>1355</v>
      </c>
      <c r="Z121" t="n">
        <v>1203</v>
      </c>
      <c r="AA121" t="n">
        <v>1391</v>
      </c>
      <c r="AB121" t="n">
        <v>10</v>
      </c>
      <c r="AC121" t="n">
        <v>10</v>
      </c>
      <c r="AD121" t="n">
        <v>47</v>
      </c>
      <c r="AE121" t="n">
        <v>52</v>
      </c>
      <c r="AF121" t="n">
        <v>19</v>
      </c>
      <c r="AG121" t="n">
        <v>21</v>
      </c>
      <c r="AH121" t="n">
        <v>6</v>
      </c>
      <c r="AI121" t="n">
        <v>8</v>
      </c>
      <c r="AJ121" t="n">
        <v>23</v>
      </c>
      <c r="AK121" t="n">
        <v>24</v>
      </c>
      <c r="AL121" t="n">
        <v>9</v>
      </c>
      <c r="AM121" t="n">
        <v>9</v>
      </c>
      <c r="AN121" t="n">
        <v>0</v>
      </c>
      <c r="AO121" t="n">
        <v>1</v>
      </c>
      <c r="AP121" t="inlineStr">
        <is>
          <t>No</t>
        </is>
      </c>
      <c r="AQ121" t="inlineStr">
        <is>
          <t>Yes</t>
        </is>
      </c>
      <c r="AR121">
        <f>HYPERLINK("http://catalog.hathitrust.org/Record/001116681","HathiTrust Record")</f>
        <v/>
      </c>
      <c r="AS121">
        <f>HYPERLINK("https://creighton-primo.hosted.exlibrisgroup.com/primo-explore/search?tab=default_tab&amp;search_scope=EVERYTHING&amp;vid=01CRU&amp;lang=en_US&amp;offset=0&amp;query=any,contains,991001045469702656","Catalog Record")</f>
        <v/>
      </c>
      <c r="AT121">
        <f>HYPERLINK("http://www.worldcat.org/oclc/176014","WorldCat Record")</f>
        <v/>
      </c>
      <c r="AU121" t="inlineStr">
        <is>
          <t>418629:eng</t>
        </is>
      </c>
      <c r="AV121" t="inlineStr">
        <is>
          <t>176014</t>
        </is>
      </c>
      <c r="AW121" t="inlineStr">
        <is>
          <t>991001045469702656</t>
        </is>
      </c>
      <c r="AX121" t="inlineStr">
        <is>
          <t>991001045469702656</t>
        </is>
      </c>
      <c r="AY121" t="inlineStr">
        <is>
          <t>2267646510002656</t>
        </is>
      </c>
      <c r="AZ121" t="inlineStr">
        <is>
          <t>BOOK</t>
        </is>
      </c>
      <c r="BC121" t="inlineStr">
        <is>
          <t>32285001888832</t>
        </is>
      </c>
      <c r="BD121" t="inlineStr">
        <is>
          <t>893438825</t>
        </is>
      </c>
    </row>
    <row r="122">
      <c r="A122" t="inlineStr">
        <is>
          <t>No</t>
        </is>
      </c>
      <c r="B122" t="inlineStr">
        <is>
          <t>LA226 .M34 1994</t>
        </is>
      </c>
      <c r="C122" t="inlineStr">
        <is>
          <t>0                      LA 0226000M  34          1994</t>
        </is>
      </c>
      <c r="D122" t="inlineStr">
        <is>
          <t>The soul of the American university : from protestant establishment to established nonbelief / George M. Marsden.</t>
        </is>
      </c>
      <c r="F122" t="inlineStr">
        <is>
          <t>No</t>
        </is>
      </c>
      <c r="G122" t="inlineStr">
        <is>
          <t>1</t>
        </is>
      </c>
      <c r="H122" t="inlineStr">
        <is>
          <t>Yes</t>
        </is>
      </c>
      <c r="I122" t="inlineStr">
        <is>
          <t>No</t>
        </is>
      </c>
      <c r="J122" t="inlineStr">
        <is>
          <t>0</t>
        </is>
      </c>
      <c r="K122" t="inlineStr">
        <is>
          <t>Marsden, George M., 1939-</t>
        </is>
      </c>
      <c r="L122" t="inlineStr">
        <is>
          <t>New York : Oxford University Press, 1994.</t>
        </is>
      </c>
      <c r="M122" t="inlineStr">
        <is>
          <t>1994</t>
        </is>
      </c>
      <c r="O122" t="inlineStr">
        <is>
          <t>eng</t>
        </is>
      </c>
      <c r="P122" t="inlineStr">
        <is>
          <t>nyu</t>
        </is>
      </c>
      <c r="R122" t="inlineStr">
        <is>
          <t xml:space="preserve">LA </t>
        </is>
      </c>
      <c r="S122" t="n">
        <v>8</v>
      </c>
      <c r="T122" t="n">
        <v>8</v>
      </c>
      <c r="U122" t="inlineStr">
        <is>
          <t>2010-04-07</t>
        </is>
      </c>
      <c r="V122" t="inlineStr">
        <is>
          <t>2010-04-07</t>
        </is>
      </c>
      <c r="W122" t="inlineStr">
        <is>
          <t>1994-10-14</t>
        </is>
      </c>
      <c r="X122" t="inlineStr">
        <is>
          <t>1995-11-02</t>
        </is>
      </c>
      <c r="Y122" t="n">
        <v>1156</v>
      </c>
      <c r="Z122" t="n">
        <v>1036</v>
      </c>
      <c r="AA122" t="n">
        <v>1167</v>
      </c>
      <c r="AB122" t="n">
        <v>9</v>
      </c>
      <c r="AC122" t="n">
        <v>11</v>
      </c>
      <c r="AD122" t="n">
        <v>49</v>
      </c>
      <c r="AE122" t="n">
        <v>54</v>
      </c>
      <c r="AF122" t="n">
        <v>23</v>
      </c>
      <c r="AG122" t="n">
        <v>24</v>
      </c>
      <c r="AH122" t="n">
        <v>9</v>
      </c>
      <c r="AI122" t="n">
        <v>9</v>
      </c>
      <c r="AJ122" t="n">
        <v>22</v>
      </c>
      <c r="AK122" t="n">
        <v>24</v>
      </c>
      <c r="AL122" t="n">
        <v>6</v>
      </c>
      <c r="AM122" t="n">
        <v>8</v>
      </c>
      <c r="AN122" t="n">
        <v>2</v>
      </c>
      <c r="AO122" t="n">
        <v>2</v>
      </c>
      <c r="AP122" t="inlineStr">
        <is>
          <t>No</t>
        </is>
      </c>
      <c r="AQ122" t="inlineStr">
        <is>
          <t>Yes</t>
        </is>
      </c>
      <c r="AR122">
        <f>HYPERLINK("http://catalog.hathitrust.org/Record/002810013","HathiTrust Record")</f>
        <v/>
      </c>
      <c r="AS122">
        <f>HYPERLINK("https://creighton-primo.hosted.exlibrisgroup.com/primo-explore/search?tab=default_tab&amp;search_scope=EVERYTHING&amp;vid=01CRU&amp;lang=en_US&amp;offset=0&amp;query=any,contains,991001658969702656","Catalog Record")</f>
        <v/>
      </c>
      <c r="AT122">
        <f>HYPERLINK("http://www.worldcat.org/oclc/28338933","WorldCat Record")</f>
        <v/>
      </c>
      <c r="AU122" t="inlineStr">
        <is>
          <t>30902292:eng</t>
        </is>
      </c>
      <c r="AV122" t="inlineStr">
        <is>
          <t>28338933</t>
        </is>
      </c>
      <c r="AW122" t="inlineStr">
        <is>
          <t>991001658969702656</t>
        </is>
      </c>
      <c r="AX122" t="inlineStr">
        <is>
          <t>991001658969702656</t>
        </is>
      </c>
      <c r="AY122" t="inlineStr">
        <is>
          <t>2259579650002656</t>
        </is>
      </c>
      <c r="AZ122" t="inlineStr">
        <is>
          <t>BOOK</t>
        </is>
      </c>
      <c r="BB122" t="inlineStr">
        <is>
          <t>9780195070460</t>
        </is>
      </c>
      <c r="BC122" t="inlineStr">
        <is>
          <t>32285001869865</t>
        </is>
      </c>
      <c r="BD122" t="inlineStr">
        <is>
          <t>893414375</t>
        </is>
      </c>
    </row>
    <row r="123">
      <c r="A123" t="inlineStr">
        <is>
          <t>No</t>
        </is>
      </c>
      <c r="B123" t="inlineStr">
        <is>
          <t>LA226 .R72</t>
        </is>
      </c>
      <c r="C123" t="inlineStr">
        <is>
          <t>0                      LA 0226000R  72</t>
        </is>
      </c>
      <c r="D123" t="inlineStr">
        <is>
          <t>The American college and university, a history.</t>
        </is>
      </c>
      <c r="F123" t="inlineStr">
        <is>
          <t>No</t>
        </is>
      </c>
      <c r="G123" t="inlineStr">
        <is>
          <t>1</t>
        </is>
      </c>
      <c r="H123" t="inlineStr">
        <is>
          <t>No</t>
        </is>
      </c>
      <c r="I123" t="inlineStr">
        <is>
          <t>No</t>
        </is>
      </c>
      <c r="J123" t="inlineStr">
        <is>
          <t>0</t>
        </is>
      </c>
      <c r="K123" t="inlineStr">
        <is>
          <t>Rudolph, Frederick.</t>
        </is>
      </c>
      <c r="L123" t="inlineStr">
        <is>
          <t>New York, Knopf, 1962.</t>
        </is>
      </c>
      <c r="M123" t="inlineStr">
        <is>
          <t>1962</t>
        </is>
      </c>
      <c r="N123" t="inlineStr">
        <is>
          <t>[1st ed.]</t>
        </is>
      </c>
      <c r="O123" t="inlineStr">
        <is>
          <t>eng</t>
        </is>
      </c>
      <c r="P123" t="inlineStr">
        <is>
          <t>nyu</t>
        </is>
      </c>
      <c r="Q123" t="inlineStr">
        <is>
          <t>Knopf publications in education</t>
        </is>
      </c>
      <c r="R123" t="inlineStr">
        <is>
          <t xml:space="preserve">LA </t>
        </is>
      </c>
      <c r="S123" t="n">
        <v>9</v>
      </c>
      <c r="T123" t="n">
        <v>9</v>
      </c>
      <c r="U123" t="inlineStr">
        <is>
          <t>2005-03-27</t>
        </is>
      </c>
      <c r="V123" t="inlineStr">
        <is>
          <t>2005-03-27</t>
        </is>
      </c>
      <c r="W123" t="inlineStr">
        <is>
          <t>1996-10-15</t>
        </is>
      </c>
      <c r="X123" t="inlineStr">
        <is>
          <t>1996-10-15</t>
        </is>
      </c>
      <c r="Y123" t="n">
        <v>1011</v>
      </c>
      <c r="Z123" t="n">
        <v>917</v>
      </c>
      <c r="AA123" t="n">
        <v>1581</v>
      </c>
      <c r="AB123" t="n">
        <v>10</v>
      </c>
      <c r="AC123" t="n">
        <v>14</v>
      </c>
      <c r="AD123" t="n">
        <v>46</v>
      </c>
      <c r="AE123" t="n">
        <v>64</v>
      </c>
      <c r="AF123" t="n">
        <v>19</v>
      </c>
      <c r="AG123" t="n">
        <v>24</v>
      </c>
      <c r="AH123" t="n">
        <v>10</v>
      </c>
      <c r="AI123" t="n">
        <v>11</v>
      </c>
      <c r="AJ123" t="n">
        <v>19</v>
      </c>
      <c r="AK123" t="n">
        <v>26</v>
      </c>
      <c r="AL123" t="n">
        <v>9</v>
      </c>
      <c r="AM123" t="n">
        <v>13</v>
      </c>
      <c r="AN123" t="n">
        <v>0</v>
      </c>
      <c r="AO123" t="n">
        <v>4</v>
      </c>
      <c r="AP123" t="inlineStr">
        <is>
          <t>No</t>
        </is>
      </c>
      <c r="AQ123" t="inlineStr">
        <is>
          <t>Yes</t>
        </is>
      </c>
      <c r="AR123">
        <f>HYPERLINK("http://catalog.hathitrust.org/Record/001064706","HathiTrust Record")</f>
        <v/>
      </c>
      <c r="AS123">
        <f>HYPERLINK("https://creighton-primo.hosted.exlibrisgroup.com/primo-explore/search?tab=default_tab&amp;search_scope=EVERYTHING&amp;vid=01CRU&amp;lang=en_US&amp;offset=0&amp;query=any,contains,991001047979702656","Catalog Record")</f>
        <v/>
      </c>
      <c r="AT123">
        <f>HYPERLINK("http://www.worldcat.org/oclc/176662","WorldCat Record")</f>
        <v/>
      </c>
      <c r="AU123" t="inlineStr">
        <is>
          <t>1311913:eng</t>
        </is>
      </c>
      <c r="AV123" t="inlineStr">
        <is>
          <t>176662</t>
        </is>
      </c>
      <c r="AW123" t="inlineStr">
        <is>
          <t>991001047979702656</t>
        </is>
      </c>
      <c r="AX123" t="inlineStr">
        <is>
          <t>991001047979702656</t>
        </is>
      </c>
      <c r="AY123" t="inlineStr">
        <is>
          <t>2267865720002656</t>
        </is>
      </c>
      <c r="AZ123" t="inlineStr">
        <is>
          <t>BOOK</t>
        </is>
      </c>
      <c r="BC123" t="inlineStr">
        <is>
          <t>32285002361227</t>
        </is>
      </c>
      <c r="BD123" t="inlineStr">
        <is>
          <t>893444557</t>
        </is>
      </c>
    </row>
    <row r="124">
      <c r="A124" t="inlineStr">
        <is>
          <t>No</t>
        </is>
      </c>
      <c r="B124" t="inlineStr">
        <is>
          <t>LA226 .T35 1965</t>
        </is>
      </c>
      <c r="C124" t="inlineStr">
        <is>
          <t>0                      LA 0226000T  35          1965</t>
        </is>
      </c>
      <c r="D124" t="inlineStr">
        <is>
          <t>The founding of American colleges and universities before the Civil War : with particular reference to the religious influences bearing upon the college movement.</t>
        </is>
      </c>
      <c r="F124" t="inlineStr">
        <is>
          <t>No</t>
        </is>
      </c>
      <c r="G124" t="inlineStr">
        <is>
          <t>1</t>
        </is>
      </c>
      <c r="H124" t="inlineStr">
        <is>
          <t>No</t>
        </is>
      </c>
      <c r="I124" t="inlineStr">
        <is>
          <t>No</t>
        </is>
      </c>
      <c r="J124" t="inlineStr">
        <is>
          <t>0</t>
        </is>
      </c>
      <c r="K124" t="inlineStr">
        <is>
          <t>Tewksbury, Donald George, 1894-1958.</t>
        </is>
      </c>
      <c r="L124" t="inlineStr">
        <is>
          <t>[Hamden, Conn.] : Archon Books, 1965, [c1932]</t>
        </is>
      </c>
      <c r="M124" t="inlineStr">
        <is>
          <t>1965</t>
        </is>
      </c>
      <c r="O124" t="inlineStr">
        <is>
          <t>eng</t>
        </is>
      </c>
      <c r="P124" t="inlineStr">
        <is>
          <t>ctu</t>
        </is>
      </c>
      <c r="R124" t="inlineStr">
        <is>
          <t xml:space="preserve">LA </t>
        </is>
      </c>
      <c r="S124" t="n">
        <v>3</v>
      </c>
      <c r="T124" t="n">
        <v>3</v>
      </c>
      <c r="U124" t="inlineStr">
        <is>
          <t>2003-07-09</t>
        </is>
      </c>
      <c r="V124" t="inlineStr">
        <is>
          <t>2003-07-09</t>
        </is>
      </c>
      <c r="W124" t="inlineStr">
        <is>
          <t>1992-10-09</t>
        </is>
      </c>
      <c r="X124" t="inlineStr">
        <is>
          <t>1992-10-09</t>
        </is>
      </c>
      <c r="Y124" t="n">
        <v>491</v>
      </c>
      <c r="Z124" t="n">
        <v>468</v>
      </c>
      <c r="AA124" t="n">
        <v>700</v>
      </c>
      <c r="AB124" t="n">
        <v>3</v>
      </c>
      <c r="AC124" t="n">
        <v>4</v>
      </c>
      <c r="AD124" t="n">
        <v>17</v>
      </c>
      <c r="AE124" t="n">
        <v>25</v>
      </c>
      <c r="AF124" t="n">
        <v>8</v>
      </c>
      <c r="AG124" t="n">
        <v>10</v>
      </c>
      <c r="AH124" t="n">
        <v>5</v>
      </c>
      <c r="AI124" t="n">
        <v>6</v>
      </c>
      <c r="AJ124" t="n">
        <v>6</v>
      </c>
      <c r="AK124" t="n">
        <v>11</v>
      </c>
      <c r="AL124" t="n">
        <v>2</v>
      </c>
      <c r="AM124" t="n">
        <v>3</v>
      </c>
      <c r="AN124" t="n">
        <v>0</v>
      </c>
      <c r="AO124" t="n">
        <v>0</v>
      </c>
      <c r="AP124" t="inlineStr">
        <is>
          <t>No</t>
        </is>
      </c>
      <c r="AQ124" t="inlineStr">
        <is>
          <t>Yes</t>
        </is>
      </c>
      <c r="AR124">
        <f>HYPERLINK("http://catalog.hathitrust.org/Record/001117216","HathiTrust Record")</f>
        <v/>
      </c>
      <c r="AS124">
        <f>HYPERLINK("https://creighton-primo.hosted.exlibrisgroup.com/primo-explore/search?tab=default_tab&amp;search_scope=EVERYTHING&amp;vid=01CRU&amp;lang=en_US&amp;offset=0&amp;query=any,contains,991001045609702656","Catalog Record")</f>
        <v/>
      </c>
      <c r="AT124">
        <f>HYPERLINK("http://www.worldcat.org/oclc/176025","WorldCat Record")</f>
        <v/>
      </c>
      <c r="AU124" t="inlineStr">
        <is>
          <t>1310031:eng</t>
        </is>
      </c>
      <c r="AV124" t="inlineStr">
        <is>
          <t>176025</t>
        </is>
      </c>
      <c r="AW124" t="inlineStr">
        <is>
          <t>991001045609702656</t>
        </is>
      </c>
      <c r="AX124" t="inlineStr">
        <is>
          <t>991001045609702656</t>
        </is>
      </c>
      <c r="AY124" t="inlineStr">
        <is>
          <t>2267641880002656</t>
        </is>
      </c>
      <c r="AZ124" t="inlineStr">
        <is>
          <t>BOOK</t>
        </is>
      </c>
      <c r="BC124" t="inlineStr">
        <is>
          <t>32285001345981</t>
        </is>
      </c>
      <c r="BD124" t="inlineStr">
        <is>
          <t>893346194</t>
        </is>
      </c>
    </row>
    <row r="125">
      <c r="A125" t="inlineStr">
        <is>
          <t>No</t>
        </is>
      </c>
      <c r="B125" t="inlineStr">
        <is>
          <t>LA226 .V47</t>
        </is>
      </c>
      <c r="C125" t="inlineStr">
        <is>
          <t>0                      LA 0226000V  47</t>
        </is>
      </c>
      <c r="D125" t="inlineStr">
        <is>
          <t>The emergence of the American university [by] Laurence R. Veysey.</t>
        </is>
      </c>
      <c r="F125" t="inlineStr">
        <is>
          <t>No</t>
        </is>
      </c>
      <c r="G125" t="inlineStr">
        <is>
          <t>1</t>
        </is>
      </c>
      <c r="H125" t="inlineStr">
        <is>
          <t>No</t>
        </is>
      </c>
      <c r="I125" t="inlineStr">
        <is>
          <t>No</t>
        </is>
      </c>
      <c r="J125" t="inlineStr">
        <is>
          <t>0</t>
        </is>
      </c>
      <c r="K125" t="inlineStr">
        <is>
          <t>Veysey, Laurence R.</t>
        </is>
      </c>
      <c r="L125" t="inlineStr">
        <is>
          <t>Chicago, University of Chicago Press, [1965]</t>
        </is>
      </c>
      <c r="M125" t="inlineStr">
        <is>
          <t>1965</t>
        </is>
      </c>
      <c r="O125" t="inlineStr">
        <is>
          <t>eng</t>
        </is>
      </c>
      <c r="P125" t="inlineStr">
        <is>
          <t>ilu</t>
        </is>
      </c>
      <c r="R125" t="inlineStr">
        <is>
          <t xml:space="preserve">LA </t>
        </is>
      </c>
      <c r="S125" t="n">
        <v>8</v>
      </c>
      <c r="T125" t="n">
        <v>8</v>
      </c>
      <c r="U125" t="inlineStr">
        <is>
          <t>2005-03-27</t>
        </is>
      </c>
      <c r="V125" t="inlineStr">
        <is>
          <t>2005-03-27</t>
        </is>
      </c>
      <c r="W125" t="inlineStr">
        <is>
          <t>1997-04-23</t>
        </is>
      </c>
      <c r="X125" t="inlineStr">
        <is>
          <t>1997-04-23</t>
        </is>
      </c>
      <c r="Y125" t="n">
        <v>888</v>
      </c>
      <c r="Z125" t="n">
        <v>777</v>
      </c>
      <c r="AA125" t="n">
        <v>886</v>
      </c>
      <c r="AB125" t="n">
        <v>7</v>
      </c>
      <c r="AC125" t="n">
        <v>10</v>
      </c>
      <c r="AD125" t="n">
        <v>41</v>
      </c>
      <c r="AE125" t="n">
        <v>48</v>
      </c>
      <c r="AF125" t="n">
        <v>16</v>
      </c>
      <c r="AG125" t="n">
        <v>19</v>
      </c>
      <c r="AH125" t="n">
        <v>10</v>
      </c>
      <c r="AI125" t="n">
        <v>10</v>
      </c>
      <c r="AJ125" t="n">
        <v>21</v>
      </c>
      <c r="AK125" t="n">
        <v>23</v>
      </c>
      <c r="AL125" t="n">
        <v>6</v>
      </c>
      <c r="AM125" t="n">
        <v>9</v>
      </c>
      <c r="AN125" t="n">
        <v>0</v>
      </c>
      <c r="AO125" t="n">
        <v>0</v>
      </c>
      <c r="AP125" t="inlineStr">
        <is>
          <t>No</t>
        </is>
      </c>
      <c r="AQ125" t="inlineStr">
        <is>
          <t>Yes</t>
        </is>
      </c>
      <c r="AR125">
        <f>HYPERLINK("http://catalog.hathitrust.org/Record/001117218","HathiTrust Record")</f>
        <v/>
      </c>
      <c r="AS125">
        <f>HYPERLINK("https://creighton-primo.hosted.exlibrisgroup.com/primo-explore/search?tab=default_tab&amp;search_scope=EVERYTHING&amp;vid=01CRU&amp;lang=en_US&amp;offset=0&amp;query=any,contains,991001045559702656","Catalog Record")</f>
        <v/>
      </c>
      <c r="AT125">
        <f>HYPERLINK("http://www.worldcat.org/oclc/176021","WorldCat Record")</f>
        <v/>
      </c>
      <c r="AU125" t="inlineStr">
        <is>
          <t>419475:eng</t>
        </is>
      </c>
      <c r="AV125" t="inlineStr">
        <is>
          <t>176021</t>
        </is>
      </c>
      <c r="AW125" t="inlineStr">
        <is>
          <t>991001045559702656</t>
        </is>
      </c>
      <c r="AX125" t="inlineStr">
        <is>
          <t>991001045559702656</t>
        </is>
      </c>
      <c r="AY125" t="inlineStr">
        <is>
          <t>2267644570002656</t>
        </is>
      </c>
      <c r="AZ125" t="inlineStr">
        <is>
          <t>BOOK</t>
        </is>
      </c>
      <c r="BC125" t="inlineStr">
        <is>
          <t>32285002596434</t>
        </is>
      </c>
      <c r="BD125" t="inlineStr">
        <is>
          <t>893528617</t>
        </is>
      </c>
    </row>
    <row r="126">
      <c r="A126" t="inlineStr">
        <is>
          <t>No</t>
        </is>
      </c>
      <c r="B126" t="inlineStr">
        <is>
          <t>LA227.3 .A86</t>
        </is>
      </c>
      <c r="C126" t="inlineStr">
        <is>
          <t>0                      LA 0227300A  86</t>
        </is>
      </c>
      <c r="D126" t="inlineStr">
        <is>
          <t>The invisible colleges; a profile of small, private colleges with limited resources, by Alexander W. Astin and Calvin B. T. Lee. With a commentary by Ralph M. Besse.</t>
        </is>
      </c>
      <c r="F126" t="inlineStr">
        <is>
          <t>No</t>
        </is>
      </c>
      <c r="G126" t="inlineStr">
        <is>
          <t>1</t>
        </is>
      </c>
      <c r="H126" t="inlineStr">
        <is>
          <t>No</t>
        </is>
      </c>
      <c r="I126" t="inlineStr">
        <is>
          <t>No</t>
        </is>
      </c>
      <c r="J126" t="inlineStr">
        <is>
          <t>0</t>
        </is>
      </c>
      <c r="K126" t="inlineStr">
        <is>
          <t>Astin, Alexander W.</t>
        </is>
      </c>
      <c r="L126" t="inlineStr">
        <is>
          <t>New York, McGraw-Hill [1971]</t>
        </is>
      </c>
      <c r="M126" t="inlineStr">
        <is>
          <t>1971</t>
        </is>
      </c>
      <c r="O126" t="inlineStr">
        <is>
          <t>eng</t>
        </is>
      </c>
      <c r="P126" t="inlineStr">
        <is>
          <t>nyu</t>
        </is>
      </c>
      <c r="R126" t="inlineStr">
        <is>
          <t xml:space="preserve">LA </t>
        </is>
      </c>
      <c r="S126" t="n">
        <v>1</v>
      </c>
      <c r="T126" t="n">
        <v>1</v>
      </c>
      <c r="U126" t="inlineStr">
        <is>
          <t>2008-05-16</t>
        </is>
      </c>
      <c r="V126" t="inlineStr">
        <is>
          <t>2008-05-16</t>
        </is>
      </c>
      <c r="W126" t="inlineStr">
        <is>
          <t>1997-04-23</t>
        </is>
      </c>
      <c r="X126" t="inlineStr">
        <is>
          <t>1997-04-23</t>
        </is>
      </c>
      <c r="Y126" t="n">
        <v>286</v>
      </c>
      <c r="Z126" t="n">
        <v>270</v>
      </c>
      <c r="AA126" t="n">
        <v>588</v>
      </c>
      <c r="AB126" t="n">
        <v>3</v>
      </c>
      <c r="AC126" t="n">
        <v>5</v>
      </c>
      <c r="AD126" t="n">
        <v>11</v>
      </c>
      <c r="AE126" t="n">
        <v>27</v>
      </c>
      <c r="AF126" t="n">
        <v>2</v>
      </c>
      <c r="AG126" t="n">
        <v>9</v>
      </c>
      <c r="AH126" t="n">
        <v>2</v>
      </c>
      <c r="AI126" t="n">
        <v>4</v>
      </c>
      <c r="AJ126" t="n">
        <v>7</v>
      </c>
      <c r="AK126" t="n">
        <v>14</v>
      </c>
      <c r="AL126" t="n">
        <v>2</v>
      </c>
      <c r="AM126" t="n">
        <v>4</v>
      </c>
      <c r="AN126" t="n">
        <v>0</v>
      </c>
      <c r="AO126" t="n">
        <v>1</v>
      </c>
      <c r="AP126" t="inlineStr">
        <is>
          <t>No</t>
        </is>
      </c>
      <c r="AQ126" t="inlineStr">
        <is>
          <t>No</t>
        </is>
      </c>
      <c r="AS126">
        <f>HYPERLINK("https://creighton-primo.hosted.exlibrisgroup.com/primo-explore/search?tab=default_tab&amp;search_scope=EVERYTHING&amp;vid=01CRU&amp;lang=en_US&amp;offset=0&amp;query=any,contains,991001273909702656","Catalog Record")</f>
        <v/>
      </c>
      <c r="AT126">
        <f>HYPERLINK("http://www.worldcat.org/oclc/213339","WorldCat Record")</f>
        <v/>
      </c>
      <c r="AU126" t="inlineStr">
        <is>
          <t>1294677:eng</t>
        </is>
      </c>
      <c r="AV126" t="inlineStr">
        <is>
          <t>213339</t>
        </is>
      </c>
      <c r="AW126" t="inlineStr">
        <is>
          <t>991001273909702656</t>
        </is>
      </c>
      <c r="AX126" t="inlineStr">
        <is>
          <t>991001273909702656</t>
        </is>
      </c>
      <c r="AY126" t="inlineStr">
        <is>
          <t>2255318110002656</t>
        </is>
      </c>
      <c r="AZ126" t="inlineStr">
        <is>
          <t>BOOK</t>
        </is>
      </c>
      <c r="BB126" t="inlineStr">
        <is>
          <t>9780070100374</t>
        </is>
      </c>
      <c r="BC126" t="inlineStr">
        <is>
          <t>32285002596509</t>
        </is>
      </c>
      <c r="BD126" t="inlineStr">
        <is>
          <t>893426484</t>
        </is>
      </c>
    </row>
    <row r="127">
      <c r="A127" t="inlineStr">
        <is>
          <t>No</t>
        </is>
      </c>
      <c r="B127" t="inlineStr">
        <is>
          <t>LA227.3 .B37 1990</t>
        </is>
      </c>
      <c r="C127" t="inlineStr">
        <is>
          <t>0                      LA 0227300B  37          1990</t>
        </is>
      </c>
      <c r="D127" t="inlineStr">
        <is>
          <t>Unfathomed knowledge, unmeasured wealth : on universities and the wealth of nations / W.W. Bartley, III.</t>
        </is>
      </c>
      <c r="F127" t="inlineStr">
        <is>
          <t>No</t>
        </is>
      </c>
      <c r="G127" t="inlineStr">
        <is>
          <t>1</t>
        </is>
      </c>
      <c r="H127" t="inlineStr">
        <is>
          <t>No</t>
        </is>
      </c>
      <c r="I127" t="inlineStr">
        <is>
          <t>No</t>
        </is>
      </c>
      <c r="J127" t="inlineStr">
        <is>
          <t>0</t>
        </is>
      </c>
      <c r="K127" t="inlineStr">
        <is>
          <t>Bartley, William Warren, 1934-1990.</t>
        </is>
      </c>
      <c r="L127" t="inlineStr">
        <is>
          <t>La Salle, Ill. : Open Court, 1990.</t>
        </is>
      </c>
      <c r="M127" t="inlineStr">
        <is>
          <t>1990</t>
        </is>
      </c>
      <c r="O127" t="inlineStr">
        <is>
          <t>eng</t>
        </is>
      </c>
      <c r="P127" t="inlineStr">
        <is>
          <t>ilu</t>
        </is>
      </c>
      <c r="R127" t="inlineStr">
        <is>
          <t xml:space="preserve">LA </t>
        </is>
      </c>
      <c r="S127" t="n">
        <v>1</v>
      </c>
      <c r="T127" t="n">
        <v>1</v>
      </c>
      <c r="U127" t="inlineStr">
        <is>
          <t>1995-11-30</t>
        </is>
      </c>
      <c r="V127" t="inlineStr">
        <is>
          <t>1995-11-30</t>
        </is>
      </c>
      <c r="W127" t="inlineStr">
        <is>
          <t>1991-10-31</t>
        </is>
      </c>
      <c r="X127" t="inlineStr">
        <is>
          <t>1991-10-31</t>
        </is>
      </c>
      <c r="Y127" t="n">
        <v>247</v>
      </c>
      <c r="Z127" t="n">
        <v>189</v>
      </c>
      <c r="AA127" t="n">
        <v>191</v>
      </c>
      <c r="AB127" t="n">
        <v>2</v>
      </c>
      <c r="AC127" t="n">
        <v>2</v>
      </c>
      <c r="AD127" t="n">
        <v>14</v>
      </c>
      <c r="AE127" t="n">
        <v>14</v>
      </c>
      <c r="AF127" t="n">
        <v>3</v>
      </c>
      <c r="AG127" t="n">
        <v>3</v>
      </c>
      <c r="AH127" t="n">
        <v>3</v>
      </c>
      <c r="AI127" t="n">
        <v>3</v>
      </c>
      <c r="AJ127" t="n">
        <v>7</v>
      </c>
      <c r="AK127" t="n">
        <v>7</v>
      </c>
      <c r="AL127" t="n">
        <v>1</v>
      </c>
      <c r="AM127" t="n">
        <v>1</v>
      </c>
      <c r="AN127" t="n">
        <v>1</v>
      </c>
      <c r="AO127" t="n">
        <v>1</v>
      </c>
      <c r="AP127" t="inlineStr">
        <is>
          <t>No</t>
        </is>
      </c>
      <c r="AQ127" t="inlineStr">
        <is>
          <t>Yes</t>
        </is>
      </c>
      <c r="AR127">
        <f>HYPERLINK("http://catalog.hathitrust.org/Record/002215010","HathiTrust Record")</f>
        <v/>
      </c>
      <c r="AS127">
        <f>HYPERLINK("https://creighton-primo.hosted.exlibrisgroup.com/primo-explore/search?tab=default_tab&amp;search_scope=EVERYTHING&amp;vid=01CRU&amp;lang=en_US&amp;offset=0&amp;query=any,contains,991001657709702656","Catalog Record")</f>
        <v/>
      </c>
      <c r="AT127">
        <f>HYPERLINK("http://www.worldcat.org/oclc/21151506","WorldCat Record")</f>
        <v/>
      </c>
      <c r="AU127" t="inlineStr">
        <is>
          <t>917298185:eng</t>
        </is>
      </c>
      <c r="AV127" t="inlineStr">
        <is>
          <t>21151506</t>
        </is>
      </c>
      <c r="AW127" t="inlineStr">
        <is>
          <t>991001657709702656</t>
        </is>
      </c>
      <c r="AX127" t="inlineStr">
        <is>
          <t>991001657709702656</t>
        </is>
      </c>
      <c r="AY127" t="inlineStr">
        <is>
          <t>2263662390002656</t>
        </is>
      </c>
      <c r="AZ127" t="inlineStr">
        <is>
          <t>BOOK</t>
        </is>
      </c>
      <c r="BB127" t="inlineStr">
        <is>
          <t>9780812691061</t>
        </is>
      </c>
      <c r="BC127" t="inlineStr">
        <is>
          <t>32285000728708</t>
        </is>
      </c>
      <c r="BD127" t="inlineStr">
        <is>
          <t>893256388</t>
        </is>
      </c>
    </row>
    <row r="128">
      <c r="A128" t="inlineStr">
        <is>
          <t>No</t>
        </is>
      </c>
      <c r="B128" t="inlineStr">
        <is>
          <t>LA227.3 .B678 1987</t>
        </is>
      </c>
      <c r="C128" t="inlineStr">
        <is>
          <t>0                      LA 0227300B  678         1987</t>
        </is>
      </c>
      <c r="D128" t="inlineStr">
        <is>
          <t>College : the undergraduate experience in America / Ernest L. Boyer.</t>
        </is>
      </c>
      <c r="F128" t="inlineStr">
        <is>
          <t>No</t>
        </is>
      </c>
      <c r="G128" t="inlineStr">
        <is>
          <t>1</t>
        </is>
      </c>
      <c r="H128" t="inlineStr">
        <is>
          <t>No</t>
        </is>
      </c>
      <c r="I128" t="inlineStr">
        <is>
          <t>Yes</t>
        </is>
      </c>
      <c r="J128" t="inlineStr">
        <is>
          <t>0</t>
        </is>
      </c>
      <c r="K128" t="inlineStr">
        <is>
          <t>Boyer, Ernest L.</t>
        </is>
      </c>
      <c r="L128" t="inlineStr">
        <is>
          <t>New York : Harper &amp; Row, 1987.</t>
        </is>
      </c>
      <c r="M128" t="inlineStr">
        <is>
          <t>1987</t>
        </is>
      </c>
      <c r="N128" t="inlineStr">
        <is>
          <t>1st ed.</t>
        </is>
      </c>
      <c r="O128" t="inlineStr">
        <is>
          <t>eng</t>
        </is>
      </c>
      <c r="P128" t="inlineStr">
        <is>
          <t>nyu</t>
        </is>
      </c>
      <c r="R128" t="inlineStr">
        <is>
          <t xml:space="preserve">LA </t>
        </is>
      </c>
      <c r="S128" t="n">
        <v>21</v>
      </c>
      <c r="T128" t="n">
        <v>21</v>
      </c>
      <c r="U128" t="inlineStr">
        <is>
          <t>2003-04-02</t>
        </is>
      </c>
      <c r="V128" t="inlineStr">
        <is>
          <t>2003-04-02</t>
        </is>
      </c>
      <c r="W128" t="inlineStr">
        <is>
          <t>1992-04-15</t>
        </is>
      </c>
      <c r="X128" t="inlineStr">
        <is>
          <t>1992-04-15</t>
        </is>
      </c>
      <c r="Y128" t="n">
        <v>1707</v>
      </c>
      <c r="Z128" t="n">
        <v>1561</v>
      </c>
      <c r="AA128" t="n">
        <v>1669</v>
      </c>
      <c r="AB128" t="n">
        <v>11</v>
      </c>
      <c r="AC128" t="n">
        <v>13</v>
      </c>
      <c r="AD128" t="n">
        <v>59</v>
      </c>
      <c r="AE128" t="n">
        <v>61</v>
      </c>
      <c r="AF128" t="n">
        <v>26</v>
      </c>
      <c r="AG128" t="n">
        <v>26</v>
      </c>
      <c r="AH128" t="n">
        <v>10</v>
      </c>
      <c r="AI128" t="n">
        <v>10</v>
      </c>
      <c r="AJ128" t="n">
        <v>25</v>
      </c>
      <c r="AK128" t="n">
        <v>25</v>
      </c>
      <c r="AL128" t="n">
        <v>10</v>
      </c>
      <c r="AM128" t="n">
        <v>12</v>
      </c>
      <c r="AN128" t="n">
        <v>2</v>
      </c>
      <c r="AO128" t="n">
        <v>2</v>
      </c>
      <c r="AP128" t="inlineStr">
        <is>
          <t>No</t>
        </is>
      </c>
      <c r="AQ128" t="inlineStr">
        <is>
          <t>Yes</t>
        </is>
      </c>
      <c r="AR128">
        <f>HYPERLINK("http://catalog.hathitrust.org/Record/000444308","HathiTrust Record")</f>
        <v/>
      </c>
      <c r="AS128">
        <f>HYPERLINK("https://creighton-primo.hosted.exlibrisgroup.com/primo-explore/search?tab=default_tab&amp;search_scope=EVERYTHING&amp;vid=01CRU&amp;lang=en_US&amp;offset=0&amp;query=any,contains,991000963589702656","Catalog Record")</f>
        <v/>
      </c>
      <c r="AT128">
        <f>HYPERLINK("http://www.worldcat.org/oclc/14903925","WorldCat Record")</f>
        <v/>
      </c>
      <c r="AU128" t="inlineStr">
        <is>
          <t>8164326:eng</t>
        </is>
      </c>
      <c r="AV128" t="inlineStr">
        <is>
          <t>14903925</t>
        </is>
      </c>
      <c r="AW128" t="inlineStr">
        <is>
          <t>991000963589702656</t>
        </is>
      </c>
      <c r="AX128" t="inlineStr">
        <is>
          <t>991000963589702656</t>
        </is>
      </c>
      <c r="AY128" t="inlineStr">
        <is>
          <t>2268705620002656</t>
        </is>
      </c>
      <c r="AZ128" t="inlineStr">
        <is>
          <t>BOOK</t>
        </is>
      </c>
      <c r="BB128" t="inlineStr">
        <is>
          <t>9780060155070</t>
        </is>
      </c>
      <c r="BC128" t="inlineStr">
        <is>
          <t>32285001061562</t>
        </is>
      </c>
      <c r="BD128" t="inlineStr">
        <is>
          <t>893596074</t>
        </is>
      </c>
    </row>
    <row r="129">
      <c r="A129" t="inlineStr">
        <is>
          <t>No</t>
        </is>
      </c>
      <c r="B129" t="inlineStr">
        <is>
          <t>LA227.3 .B678 1988</t>
        </is>
      </c>
      <c r="C129" t="inlineStr">
        <is>
          <t>0                      LA 0227300B  678         1988</t>
        </is>
      </c>
      <c r="D129" t="inlineStr">
        <is>
          <t>College : the undergraduate experience in America / Ernest L. Boyer.</t>
        </is>
      </c>
      <c r="F129" t="inlineStr">
        <is>
          <t>No</t>
        </is>
      </c>
      <c r="G129" t="inlineStr">
        <is>
          <t>1</t>
        </is>
      </c>
      <c r="H129" t="inlineStr">
        <is>
          <t>No</t>
        </is>
      </c>
      <c r="I129" t="inlineStr">
        <is>
          <t>Yes</t>
        </is>
      </c>
      <c r="J129" t="inlineStr">
        <is>
          <t>0</t>
        </is>
      </c>
      <c r="K129" t="inlineStr">
        <is>
          <t>Boyer, Ernest L.</t>
        </is>
      </c>
      <c r="L129" t="inlineStr">
        <is>
          <t>New York : Perennial Library, 1988.</t>
        </is>
      </c>
      <c r="M129" t="inlineStr">
        <is>
          <t>1988</t>
        </is>
      </c>
      <c r="N129" t="inlineStr">
        <is>
          <t>1st Perennial Library ed.</t>
        </is>
      </c>
      <c r="O129" t="inlineStr">
        <is>
          <t>eng</t>
        </is>
      </c>
      <c r="P129" t="inlineStr">
        <is>
          <t>nyu</t>
        </is>
      </c>
      <c r="R129" t="inlineStr">
        <is>
          <t xml:space="preserve">LA </t>
        </is>
      </c>
      <c r="S129" t="n">
        <v>1</v>
      </c>
      <c r="T129" t="n">
        <v>1</v>
      </c>
      <c r="U129" t="inlineStr">
        <is>
          <t>2003-11-25</t>
        </is>
      </c>
      <c r="V129" t="inlineStr">
        <is>
          <t>2003-11-25</t>
        </is>
      </c>
      <c r="W129" t="inlineStr">
        <is>
          <t>2003-11-25</t>
        </is>
      </c>
      <c r="X129" t="inlineStr">
        <is>
          <t>2003-11-25</t>
        </is>
      </c>
      <c r="Y129" t="n">
        <v>152</v>
      </c>
      <c r="Z129" t="n">
        <v>145</v>
      </c>
      <c r="AA129" t="n">
        <v>1669</v>
      </c>
      <c r="AB129" t="n">
        <v>3</v>
      </c>
      <c r="AC129" t="n">
        <v>13</v>
      </c>
      <c r="AD129" t="n">
        <v>5</v>
      </c>
      <c r="AE129" t="n">
        <v>61</v>
      </c>
      <c r="AF129" t="n">
        <v>1</v>
      </c>
      <c r="AG129" t="n">
        <v>26</v>
      </c>
      <c r="AH129" t="n">
        <v>0</v>
      </c>
      <c r="AI129" t="n">
        <v>10</v>
      </c>
      <c r="AJ129" t="n">
        <v>2</v>
      </c>
      <c r="AK129" t="n">
        <v>25</v>
      </c>
      <c r="AL129" t="n">
        <v>2</v>
      </c>
      <c r="AM129" t="n">
        <v>12</v>
      </c>
      <c r="AN129" t="n">
        <v>0</v>
      </c>
      <c r="AO129" t="n">
        <v>2</v>
      </c>
      <c r="AP129" t="inlineStr">
        <is>
          <t>No</t>
        </is>
      </c>
      <c r="AQ129" t="inlineStr">
        <is>
          <t>Yes</t>
        </is>
      </c>
      <c r="AR129">
        <f>HYPERLINK("http://catalog.hathitrust.org/Record/008306944","HathiTrust Record")</f>
        <v/>
      </c>
      <c r="AS129">
        <f>HYPERLINK("https://creighton-primo.hosted.exlibrisgroup.com/primo-explore/search?tab=default_tab&amp;search_scope=EVERYTHING&amp;vid=01CRU&amp;lang=en_US&amp;offset=0&amp;query=any,contains,991004191929702656","Catalog Record")</f>
        <v/>
      </c>
      <c r="AT129">
        <f>HYPERLINK("http://www.worldcat.org/oclc/17577167","WorldCat Record")</f>
        <v/>
      </c>
      <c r="AU129" t="inlineStr">
        <is>
          <t>8164326:eng</t>
        </is>
      </c>
      <c r="AV129" t="inlineStr">
        <is>
          <t>17577167</t>
        </is>
      </c>
      <c r="AW129" t="inlineStr">
        <is>
          <t>991004191929702656</t>
        </is>
      </c>
      <c r="AX129" t="inlineStr">
        <is>
          <t>991004191929702656</t>
        </is>
      </c>
      <c r="AY129" t="inlineStr">
        <is>
          <t>2256062680002656</t>
        </is>
      </c>
      <c r="AZ129" t="inlineStr">
        <is>
          <t>BOOK</t>
        </is>
      </c>
      <c r="BB129" t="inlineStr">
        <is>
          <t>9780060914585</t>
        </is>
      </c>
      <c r="BC129" t="inlineStr">
        <is>
          <t>32285004842208</t>
        </is>
      </c>
      <c r="BD129" t="inlineStr">
        <is>
          <t>893875795</t>
        </is>
      </c>
    </row>
    <row r="130">
      <c r="A130" t="inlineStr">
        <is>
          <t>No</t>
        </is>
      </c>
      <c r="B130" t="inlineStr">
        <is>
          <t>LA227.3 .G55 1986</t>
        </is>
      </c>
      <c r="C130" t="inlineStr">
        <is>
          <t>0                      LA 0227300G  55          1986</t>
        </is>
      </c>
      <c r="D130" t="inlineStr">
        <is>
          <t>Searching for academic excellence : twenty colleges and universities on the move and their leaders / J. Wade Gilley, Kenneth A. Fulmer, Sally J. Reithlingshoefer.</t>
        </is>
      </c>
      <c r="F130" t="inlineStr">
        <is>
          <t>No</t>
        </is>
      </c>
      <c r="G130" t="inlineStr">
        <is>
          <t>1</t>
        </is>
      </c>
      <c r="H130" t="inlineStr">
        <is>
          <t>No</t>
        </is>
      </c>
      <c r="I130" t="inlineStr">
        <is>
          <t>No</t>
        </is>
      </c>
      <c r="J130" t="inlineStr">
        <is>
          <t>0</t>
        </is>
      </c>
      <c r="K130" t="inlineStr">
        <is>
          <t>Gilley, J. Wade.</t>
        </is>
      </c>
      <c r="L130" t="inlineStr">
        <is>
          <t>New York : American Council on Education : Macmillan, 1986.</t>
        </is>
      </c>
      <c r="M130" t="inlineStr">
        <is>
          <t>1986</t>
        </is>
      </c>
      <c r="O130" t="inlineStr">
        <is>
          <t>eng</t>
        </is>
      </c>
      <c r="P130" t="inlineStr">
        <is>
          <t>nyu</t>
        </is>
      </c>
      <c r="Q130" t="inlineStr">
        <is>
          <t>The American Council on Education/Macmillan series in higher education</t>
        </is>
      </c>
      <c r="R130" t="inlineStr">
        <is>
          <t xml:space="preserve">LA </t>
        </is>
      </c>
      <c r="S130" t="n">
        <v>3</v>
      </c>
      <c r="T130" t="n">
        <v>3</v>
      </c>
      <c r="U130" t="inlineStr">
        <is>
          <t>1994-01-24</t>
        </is>
      </c>
      <c r="V130" t="inlineStr">
        <is>
          <t>1994-01-24</t>
        </is>
      </c>
      <c r="W130" t="inlineStr">
        <is>
          <t>1992-10-09</t>
        </is>
      </c>
      <c r="X130" t="inlineStr">
        <is>
          <t>1992-10-09</t>
        </is>
      </c>
      <c r="Y130" t="n">
        <v>569</v>
      </c>
      <c r="Z130" t="n">
        <v>533</v>
      </c>
      <c r="AA130" t="n">
        <v>536</v>
      </c>
      <c r="AB130" t="n">
        <v>5</v>
      </c>
      <c r="AC130" t="n">
        <v>5</v>
      </c>
      <c r="AD130" t="n">
        <v>23</v>
      </c>
      <c r="AE130" t="n">
        <v>23</v>
      </c>
      <c r="AF130" t="n">
        <v>6</v>
      </c>
      <c r="AG130" t="n">
        <v>6</v>
      </c>
      <c r="AH130" t="n">
        <v>7</v>
      </c>
      <c r="AI130" t="n">
        <v>7</v>
      </c>
      <c r="AJ130" t="n">
        <v>12</v>
      </c>
      <c r="AK130" t="n">
        <v>12</v>
      </c>
      <c r="AL130" t="n">
        <v>4</v>
      </c>
      <c r="AM130" t="n">
        <v>4</v>
      </c>
      <c r="AN130" t="n">
        <v>0</v>
      </c>
      <c r="AO130" t="n">
        <v>0</v>
      </c>
      <c r="AP130" t="inlineStr">
        <is>
          <t>No</t>
        </is>
      </c>
      <c r="AQ130" t="inlineStr">
        <is>
          <t>Yes</t>
        </is>
      </c>
      <c r="AR130">
        <f>HYPERLINK("http://catalog.hathitrust.org/Record/000906964","HathiTrust Record")</f>
        <v/>
      </c>
      <c r="AS130">
        <f>HYPERLINK("https://creighton-primo.hosted.exlibrisgroup.com/primo-explore/search?tab=default_tab&amp;search_scope=EVERYTHING&amp;vid=01CRU&amp;lang=en_US&amp;offset=0&amp;query=any,contains,991000754849702656","Catalog Record")</f>
        <v/>
      </c>
      <c r="AT130">
        <f>HYPERLINK("http://www.worldcat.org/oclc/12946270","WorldCat Record")</f>
        <v/>
      </c>
      <c r="AU130" t="inlineStr">
        <is>
          <t>284692308:eng</t>
        </is>
      </c>
      <c r="AV130" t="inlineStr">
        <is>
          <t>12946270</t>
        </is>
      </c>
      <c r="AW130" t="inlineStr">
        <is>
          <t>991000754849702656</t>
        </is>
      </c>
      <c r="AX130" t="inlineStr">
        <is>
          <t>991000754849702656</t>
        </is>
      </c>
      <c r="AY130" t="inlineStr">
        <is>
          <t>2271361170002656</t>
        </is>
      </c>
      <c r="AZ130" t="inlineStr">
        <is>
          <t>BOOK</t>
        </is>
      </c>
      <c r="BB130" t="inlineStr">
        <is>
          <t>9780029118306</t>
        </is>
      </c>
      <c r="BC130" t="inlineStr">
        <is>
          <t>32285001346062</t>
        </is>
      </c>
      <c r="BD130" t="inlineStr">
        <is>
          <t>893413652</t>
        </is>
      </c>
    </row>
    <row r="131">
      <c r="A131" t="inlineStr">
        <is>
          <t>No</t>
        </is>
      </c>
      <c r="B131" t="inlineStr">
        <is>
          <t>LA227.3 .L53 2005</t>
        </is>
      </c>
      <c r="C131" t="inlineStr">
        <is>
          <t>0                      LA 0227300L  53          2005</t>
        </is>
      </c>
      <c r="D131" t="inlineStr">
        <is>
          <t>Liberal arts colleges in American higher education : challenges and opportunities.</t>
        </is>
      </c>
      <c r="F131" t="inlineStr">
        <is>
          <t>No</t>
        </is>
      </c>
      <c r="G131" t="inlineStr">
        <is>
          <t>1</t>
        </is>
      </c>
      <c r="H131" t="inlineStr">
        <is>
          <t>No</t>
        </is>
      </c>
      <c r="I131" t="inlineStr">
        <is>
          <t>No</t>
        </is>
      </c>
      <c r="J131" t="inlineStr">
        <is>
          <t>0</t>
        </is>
      </c>
      <c r="L131" t="inlineStr">
        <is>
          <t>New York : American Council of Learned Societies, c2005.</t>
        </is>
      </c>
      <c r="M131" t="inlineStr">
        <is>
          <t>2005</t>
        </is>
      </c>
      <c r="O131" t="inlineStr">
        <is>
          <t>eng</t>
        </is>
      </c>
      <c r="P131" t="inlineStr">
        <is>
          <t>nyu</t>
        </is>
      </c>
      <c r="Q131" t="inlineStr">
        <is>
          <t>ACLS occasional paper ; no. 59</t>
        </is>
      </c>
      <c r="R131" t="inlineStr">
        <is>
          <t xml:space="preserve">LA </t>
        </is>
      </c>
      <c r="S131" t="n">
        <v>2</v>
      </c>
      <c r="T131" t="n">
        <v>2</v>
      </c>
      <c r="U131" t="inlineStr">
        <is>
          <t>2006-11-15</t>
        </is>
      </c>
      <c r="V131" t="inlineStr">
        <is>
          <t>2006-11-15</t>
        </is>
      </c>
      <c r="W131" t="inlineStr">
        <is>
          <t>2006-05-04</t>
        </is>
      </c>
      <c r="X131" t="inlineStr">
        <is>
          <t>2006-05-04</t>
        </is>
      </c>
      <c r="Y131" t="n">
        <v>319</v>
      </c>
      <c r="Z131" t="n">
        <v>313</v>
      </c>
      <c r="AA131" t="n">
        <v>315</v>
      </c>
      <c r="AB131" t="n">
        <v>4</v>
      </c>
      <c r="AC131" t="n">
        <v>4</v>
      </c>
      <c r="AD131" t="n">
        <v>20</v>
      </c>
      <c r="AE131" t="n">
        <v>20</v>
      </c>
      <c r="AF131" t="n">
        <v>6</v>
      </c>
      <c r="AG131" t="n">
        <v>6</v>
      </c>
      <c r="AH131" t="n">
        <v>5</v>
      </c>
      <c r="AI131" t="n">
        <v>5</v>
      </c>
      <c r="AJ131" t="n">
        <v>11</v>
      </c>
      <c r="AK131" t="n">
        <v>11</v>
      </c>
      <c r="AL131" t="n">
        <v>3</v>
      </c>
      <c r="AM131" t="n">
        <v>3</v>
      </c>
      <c r="AN131" t="n">
        <v>0</v>
      </c>
      <c r="AO131" t="n">
        <v>0</v>
      </c>
      <c r="AP131" t="inlineStr">
        <is>
          <t>No</t>
        </is>
      </c>
      <c r="AQ131" t="inlineStr">
        <is>
          <t>Yes</t>
        </is>
      </c>
      <c r="AR131">
        <f>HYPERLINK("http://catalog.hathitrust.org/Record/005227676","HathiTrust Record")</f>
        <v/>
      </c>
      <c r="AS131">
        <f>HYPERLINK("https://creighton-primo.hosted.exlibrisgroup.com/primo-explore/search?tab=default_tab&amp;search_scope=EVERYTHING&amp;vid=01CRU&amp;lang=en_US&amp;offset=0&amp;query=any,contains,991004815879702656","Catalog Record")</f>
        <v/>
      </c>
      <c r="AT131">
        <f>HYPERLINK("http://www.worldcat.org/oclc/65173938","WorldCat Record")</f>
        <v/>
      </c>
      <c r="AU131" t="inlineStr">
        <is>
          <t>865165911:eng</t>
        </is>
      </c>
      <c r="AV131" t="inlineStr">
        <is>
          <t>65173938</t>
        </is>
      </c>
      <c r="AW131" t="inlineStr">
        <is>
          <t>991004815879702656</t>
        </is>
      </c>
      <c r="AX131" t="inlineStr">
        <is>
          <t>991004815879702656</t>
        </is>
      </c>
      <c r="AY131" t="inlineStr">
        <is>
          <t>2262322640002656</t>
        </is>
      </c>
      <c r="AZ131" t="inlineStr">
        <is>
          <t>BOOK</t>
        </is>
      </c>
      <c r="BC131" t="inlineStr">
        <is>
          <t>32285005185128</t>
        </is>
      </c>
      <c r="BD131" t="inlineStr">
        <is>
          <t>893895520</t>
        </is>
      </c>
    </row>
    <row r="132">
      <c r="A132" t="inlineStr">
        <is>
          <t>No</t>
        </is>
      </c>
      <c r="B132" t="inlineStr">
        <is>
          <t>LA227.3 .P37</t>
        </is>
      </c>
      <c r="C132" t="inlineStr">
        <is>
          <t>0                      LA 0227300P  37</t>
        </is>
      </c>
      <c r="D132" t="inlineStr">
        <is>
          <t>The American university [by] Talcott Parsons and Gerald M. Platt, with the collaboration of Neil J. Smelser. Editorial associate: Jackson Toby.</t>
        </is>
      </c>
      <c r="F132" t="inlineStr">
        <is>
          <t>No</t>
        </is>
      </c>
      <c r="G132" t="inlineStr">
        <is>
          <t>1</t>
        </is>
      </c>
      <c r="H132" t="inlineStr">
        <is>
          <t>Yes</t>
        </is>
      </c>
      <c r="I132" t="inlineStr">
        <is>
          <t>No</t>
        </is>
      </c>
      <c r="J132" t="inlineStr">
        <is>
          <t>0</t>
        </is>
      </c>
      <c r="K132" t="inlineStr">
        <is>
          <t>Parsons, Talcott, 1902-1979.</t>
        </is>
      </c>
      <c r="L132" t="inlineStr">
        <is>
          <t>Cambridge, Harvard University Press, 1973.</t>
        </is>
      </c>
      <c r="M132" t="inlineStr">
        <is>
          <t>1973</t>
        </is>
      </c>
      <c r="O132" t="inlineStr">
        <is>
          <t>eng</t>
        </is>
      </c>
      <c r="P132" t="inlineStr">
        <is>
          <t>mau</t>
        </is>
      </c>
      <c r="R132" t="inlineStr">
        <is>
          <t xml:space="preserve">LA </t>
        </is>
      </c>
      <c r="S132" t="n">
        <v>3</v>
      </c>
      <c r="T132" t="n">
        <v>3</v>
      </c>
      <c r="U132" t="inlineStr">
        <is>
          <t>2004-02-26</t>
        </is>
      </c>
      <c r="V132" t="inlineStr">
        <is>
          <t>2004-02-26</t>
        </is>
      </c>
      <c r="W132" t="inlineStr">
        <is>
          <t>1997-04-23</t>
        </is>
      </c>
      <c r="X132" t="inlineStr">
        <is>
          <t>1997-04-23</t>
        </is>
      </c>
      <c r="Y132" t="n">
        <v>855</v>
      </c>
      <c r="Z132" t="n">
        <v>690</v>
      </c>
      <c r="AA132" t="n">
        <v>705</v>
      </c>
      <c r="AB132" t="n">
        <v>8</v>
      </c>
      <c r="AC132" t="n">
        <v>8</v>
      </c>
      <c r="AD132" t="n">
        <v>37</v>
      </c>
      <c r="AE132" t="n">
        <v>39</v>
      </c>
      <c r="AF132" t="n">
        <v>12</v>
      </c>
      <c r="AG132" t="n">
        <v>12</v>
      </c>
      <c r="AH132" t="n">
        <v>7</v>
      </c>
      <c r="AI132" t="n">
        <v>7</v>
      </c>
      <c r="AJ132" t="n">
        <v>19</v>
      </c>
      <c r="AK132" t="n">
        <v>20</v>
      </c>
      <c r="AL132" t="n">
        <v>6</v>
      </c>
      <c r="AM132" t="n">
        <v>6</v>
      </c>
      <c r="AN132" t="n">
        <v>1</v>
      </c>
      <c r="AO132" t="n">
        <v>2</v>
      </c>
      <c r="AP132" t="inlineStr">
        <is>
          <t>No</t>
        </is>
      </c>
      <c r="AQ132" t="inlineStr">
        <is>
          <t>Yes</t>
        </is>
      </c>
      <c r="AR132">
        <f>HYPERLINK("http://catalog.hathitrust.org/Record/001117231","HathiTrust Record")</f>
        <v/>
      </c>
      <c r="AS132">
        <f>HYPERLINK("https://creighton-primo.hosted.exlibrisgroup.com/primo-explore/search?tab=default_tab&amp;search_scope=EVERYTHING&amp;vid=01CRU&amp;lang=en_US&amp;offset=0&amp;query=any,contains,991001675589702656","Catalog Record")</f>
        <v/>
      </c>
      <c r="AT132">
        <f>HYPERLINK("http://www.worldcat.org/oclc/730881","WorldCat Record")</f>
        <v/>
      </c>
      <c r="AU132" t="inlineStr">
        <is>
          <t>63530687:eng</t>
        </is>
      </c>
      <c r="AV132" t="inlineStr">
        <is>
          <t>730881</t>
        </is>
      </c>
      <c r="AW132" t="inlineStr">
        <is>
          <t>991001675589702656</t>
        </is>
      </c>
      <c r="AX132" t="inlineStr">
        <is>
          <t>991001675589702656</t>
        </is>
      </c>
      <c r="AY132" t="inlineStr">
        <is>
          <t>2267248300002656</t>
        </is>
      </c>
      <c r="AZ132" t="inlineStr">
        <is>
          <t>BOOK</t>
        </is>
      </c>
      <c r="BB132" t="inlineStr">
        <is>
          <t>9780674029200</t>
        </is>
      </c>
      <c r="BC132" t="inlineStr">
        <is>
          <t>32285002596616</t>
        </is>
      </c>
      <c r="BD132" t="inlineStr">
        <is>
          <t>893785303</t>
        </is>
      </c>
    </row>
    <row r="133">
      <c r="A133" t="inlineStr">
        <is>
          <t>No</t>
        </is>
      </c>
      <c r="B133" t="inlineStr">
        <is>
          <t>LA227.3 .S47 1989</t>
        </is>
      </c>
      <c r="C133" t="inlineStr">
        <is>
          <t>0                      LA 0227300S  47          1989</t>
        </is>
      </c>
      <c r="D133" t="inlineStr">
        <is>
          <t>Shaping higher education's future : demographic realities and opportunities, 1990-2000 / Arthur Levine and associates.</t>
        </is>
      </c>
      <c r="F133" t="inlineStr">
        <is>
          <t>No</t>
        </is>
      </c>
      <c r="G133" t="inlineStr">
        <is>
          <t>1</t>
        </is>
      </c>
      <c r="H133" t="inlineStr">
        <is>
          <t>No</t>
        </is>
      </c>
      <c r="I133" t="inlineStr">
        <is>
          <t>No</t>
        </is>
      </c>
      <c r="J133" t="inlineStr">
        <is>
          <t>0</t>
        </is>
      </c>
      <c r="L133" t="inlineStr">
        <is>
          <t>San Francisco : Jossey-Bass, 1989.</t>
        </is>
      </c>
      <c r="M133" t="inlineStr">
        <is>
          <t>1989</t>
        </is>
      </c>
      <c r="N133" t="inlineStr">
        <is>
          <t>1st ed.</t>
        </is>
      </c>
      <c r="O133" t="inlineStr">
        <is>
          <t>eng</t>
        </is>
      </c>
      <c r="P133" t="inlineStr">
        <is>
          <t>cau</t>
        </is>
      </c>
      <c r="Q133" t="inlineStr">
        <is>
          <t>The Jossey-Bass higher education series</t>
        </is>
      </c>
      <c r="R133" t="inlineStr">
        <is>
          <t xml:space="preserve">LA </t>
        </is>
      </c>
      <c r="S133" t="n">
        <v>1</v>
      </c>
      <c r="T133" t="n">
        <v>1</v>
      </c>
      <c r="U133" t="inlineStr">
        <is>
          <t>2003-11-25</t>
        </is>
      </c>
      <c r="V133" t="inlineStr">
        <is>
          <t>2003-11-25</t>
        </is>
      </c>
      <c r="W133" t="inlineStr">
        <is>
          <t>2003-11-25</t>
        </is>
      </c>
      <c r="X133" t="inlineStr">
        <is>
          <t>2003-11-25</t>
        </is>
      </c>
      <c r="Y133" t="n">
        <v>644</v>
      </c>
      <c r="Z133" t="n">
        <v>584</v>
      </c>
      <c r="AA133" t="n">
        <v>593</v>
      </c>
      <c r="AB133" t="n">
        <v>5</v>
      </c>
      <c r="AC133" t="n">
        <v>5</v>
      </c>
      <c r="AD133" t="n">
        <v>26</v>
      </c>
      <c r="AE133" t="n">
        <v>26</v>
      </c>
      <c r="AF133" t="n">
        <v>7</v>
      </c>
      <c r="AG133" t="n">
        <v>7</v>
      </c>
      <c r="AH133" t="n">
        <v>7</v>
      </c>
      <c r="AI133" t="n">
        <v>7</v>
      </c>
      <c r="AJ133" t="n">
        <v>16</v>
      </c>
      <c r="AK133" t="n">
        <v>16</v>
      </c>
      <c r="AL133" t="n">
        <v>4</v>
      </c>
      <c r="AM133" t="n">
        <v>4</v>
      </c>
      <c r="AN133" t="n">
        <v>0</v>
      </c>
      <c r="AO133" t="n">
        <v>0</v>
      </c>
      <c r="AP133" t="inlineStr">
        <is>
          <t>No</t>
        </is>
      </c>
      <c r="AQ133" t="inlineStr">
        <is>
          <t>Yes</t>
        </is>
      </c>
      <c r="AR133">
        <f>HYPERLINK("http://catalog.hathitrust.org/Record/001834494","HathiTrust Record")</f>
        <v/>
      </c>
      <c r="AS133">
        <f>HYPERLINK("https://creighton-primo.hosted.exlibrisgroup.com/primo-explore/search?tab=default_tab&amp;search_scope=EVERYTHING&amp;vid=01CRU&amp;lang=en_US&amp;offset=0&amp;query=any,contains,991004191759702656","Catalog Record")</f>
        <v/>
      </c>
      <c r="AT133">
        <f>HYPERLINK("http://www.worldcat.org/oclc/20217562","WorldCat Record")</f>
        <v/>
      </c>
      <c r="AU133" t="inlineStr">
        <is>
          <t>906956113:eng</t>
        </is>
      </c>
      <c r="AV133" t="inlineStr">
        <is>
          <t>20217562</t>
        </is>
      </c>
      <c r="AW133" t="inlineStr">
        <is>
          <t>991004191759702656</t>
        </is>
      </c>
      <c r="AX133" t="inlineStr">
        <is>
          <t>991004191759702656</t>
        </is>
      </c>
      <c r="AY133" t="inlineStr">
        <is>
          <t>2271523720002656</t>
        </is>
      </c>
      <c r="AZ133" t="inlineStr">
        <is>
          <t>BOOK</t>
        </is>
      </c>
      <c r="BB133" t="inlineStr">
        <is>
          <t>9781555421915</t>
        </is>
      </c>
      <c r="BC133" t="inlineStr">
        <is>
          <t>32285004842067</t>
        </is>
      </c>
      <c r="BD133" t="inlineStr">
        <is>
          <t>893325052</t>
        </is>
      </c>
    </row>
    <row r="134">
      <c r="A134" t="inlineStr">
        <is>
          <t>No</t>
        </is>
      </c>
      <c r="B134" t="inlineStr">
        <is>
          <t>LA227.3 .S94 1988</t>
        </is>
      </c>
      <c r="C134" t="inlineStr">
        <is>
          <t>0                      LA 0227300S  94          1988</t>
        </is>
      </c>
      <c r="D134" t="inlineStr">
        <is>
          <t>ProfScam : professors and the demise of higher education / Charles J. Sykes.</t>
        </is>
      </c>
      <c r="F134" t="inlineStr">
        <is>
          <t>No</t>
        </is>
      </c>
      <c r="G134" t="inlineStr">
        <is>
          <t>1</t>
        </is>
      </c>
      <c r="H134" t="inlineStr">
        <is>
          <t>No</t>
        </is>
      </c>
      <c r="I134" t="inlineStr">
        <is>
          <t>No</t>
        </is>
      </c>
      <c r="J134" t="inlineStr">
        <is>
          <t>0</t>
        </is>
      </c>
      <c r="K134" t="inlineStr">
        <is>
          <t>Sykes, Charles J., 1954-</t>
        </is>
      </c>
      <c r="L134" t="inlineStr">
        <is>
          <t>Washington, D.C. : Regnery Gateway ; New York, NY : Distributed to the trade by Kampmann &amp; Co., c1988.</t>
        </is>
      </c>
      <c r="M134" t="inlineStr">
        <is>
          <t>1988</t>
        </is>
      </c>
      <c r="O134" t="inlineStr">
        <is>
          <t>eng</t>
        </is>
      </c>
      <c r="P134" t="inlineStr">
        <is>
          <t>dcu</t>
        </is>
      </c>
      <c r="R134" t="inlineStr">
        <is>
          <t xml:space="preserve">LA </t>
        </is>
      </c>
      <c r="S134" t="n">
        <v>11</v>
      </c>
      <c r="T134" t="n">
        <v>11</v>
      </c>
      <c r="U134" t="inlineStr">
        <is>
          <t>2007-09-24</t>
        </is>
      </c>
      <c r="V134" t="inlineStr">
        <is>
          <t>2007-09-24</t>
        </is>
      </c>
      <c r="W134" t="inlineStr">
        <is>
          <t>1990-08-13</t>
        </is>
      </c>
      <c r="X134" t="inlineStr">
        <is>
          <t>1990-08-13</t>
        </is>
      </c>
      <c r="Y134" t="n">
        <v>974</v>
      </c>
      <c r="Z134" t="n">
        <v>905</v>
      </c>
      <c r="AA134" t="n">
        <v>1025</v>
      </c>
      <c r="AB134" t="n">
        <v>9</v>
      </c>
      <c r="AC134" t="n">
        <v>10</v>
      </c>
      <c r="AD134" t="n">
        <v>40</v>
      </c>
      <c r="AE134" t="n">
        <v>45</v>
      </c>
      <c r="AF134" t="n">
        <v>16</v>
      </c>
      <c r="AG134" t="n">
        <v>18</v>
      </c>
      <c r="AH134" t="n">
        <v>7</v>
      </c>
      <c r="AI134" t="n">
        <v>7</v>
      </c>
      <c r="AJ134" t="n">
        <v>17</v>
      </c>
      <c r="AK134" t="n">
        <v>17</v>
      </c>
      <c r="AL134" t="n">
        <v>8</v>
      </c>
      <c r="AM134" t="n">
        <v>9</v>
      </c>
      <c r="AN134" t="n">
        <v>3</v>
      </c>
      <c r="AO134" t="n">
        <v>5</v>
      </c>
      <c r="AP134" t="inlineStr">
        <is>
          <t>No</t>
        </is>
      </c>
      <c r="AQ134" t="inlineStr">
        <is>
          <t>No</t>
        </is>
      </c>
      <c r="AS134">
        <f>HYPERLINK("https://creighton-primo.hosted.exlibrisgroup.com/primo-explore/search?tab=default_tab&amp;search_scope=EVERYTHING&amp;vid=01CRU&amp;lang=en_US&amp;offset=0&amp;query=any,contains,991001320609702656","Catalog Record")</f>
        <v/>
      </c>
      <c r="AT134">
        <f>HYPERLINK("http://www.worldcat.org/oclc/18223501","WorldCat Record")</f>
        <v/>
      </c>
      <c r="AU134" t="inlineStr">
        <is>
          <t>17523514:eng</t>
        </is>
      </c>
      <c r="AV134" t="inlineStr">
        <is>
          <t>18223501</t>
        </is>
      </c>
      <c r="AW134" t="inlineStr">
        <is>
          <t>991001320609702656</t>
        </is>
      </c>
      <c r="AX134" t="inlineStr">
        <is>
          <t>991001320609702656</t>
        </is>
      </c>
      <c r="AY134" t="inlineStr">
        <is>
          <t>2261425510002656</t>
        </is>
      </c>
      <c r="AZ134" t="inlineStr">
        <is>
          <t>BOOK</t>
        </is>
      </c>
      <c r="BB134" t="inlineStr">
        <is>
          <t>9780895265593</t>
        </is>
      </c>
      <c r="BC134" t="inlineStr">
        <is>
          <t>32285000273069</t>
        </is>
      </c>
      <c r="BD134" t="inlineStr">
        <is>
          <t>893503325</t>
        </is>
      </c>
    </row>
    <row r="135">
      <c r="A135" t="inlineStr">
        <is>
          <t>No</t>
        </is>
      </c>
      <c r="B135" t="inlineStr">
        <is>
          <t>LA227.4 .B478 2006</t>
        </is>
      </c>
      <c r="C135" t="inlineStr">
        <is>
          <t>0                      LA 0227400B  478         2006</t>
        </is>
      </c>
      <c r="D135" t="inlineStr">
        <is>
          <t>What's liberal about the liberal arts? : classroom politics and "bias" in higher education / Michael Bérubé.</t>
        </is>
      </c>
      <c r="F135" t="inlineStr">
        <is>
          <t>No</t>
        </is>
      </c>
      <c r="G135" t="inlineStr">
        <is>
          <t>1</t>
        </is>
      </c>
      <c r="H135" t="inlineStr">
        <is>
          <t>No</t>
        </is>
      </c>
      <c r="I135" t="inlineStr">
        <is>
          <t>No</t>
        </is>
      </c>
      <c r="J135" t="inlineStr">
        <is>
          <t>0</t>
        </is>
      </c>
      <c r="K135" t="inlineStr">
        <is>
          <t>Bérubé, Michael, 1961-</t>
        </is>
      </c>
      <c r="L135" t="inlineStr">
        <is>
          <t>New York : W.W. Norton, c2006.</t>
        </is>
      </c>
      <c r="M135" t="inlineStr">
        <is>
          <t>2006</t>
        </is>
      </c>
      <c r="N135" t="inlineStr">
        <is>
          <t>1st ed.</t>
        </is>
      </c>
      <c r="O135" t="inlineStr">
        <is>
          <t>eng</t>
        </is>
      </c>
      <c r="P135" t="inlineStr">
        <is>
          <t>nyu</t>
        </is>
      </c>
      <c r="R135" t="inlineStr">
        <is>
          <t xml:space="preserve">LA </t>
        </is>
      </c>
      <c r="S135" t="n">
        <v>2</v>
      </c>
      <c r="T135" t="n">
        <v>2</v>
      </c>
      <c r="U135" t="inlineStr">
        <is>
          <t>2007-11-11</t>
        </is>
      </c>
      <c r="V135" t="inlineStr">
        <is>
          <t>2007-11-11</t>
        </is>
      </c>
      <c r="W135" t="inlineStr">
        <is>
          <t>2006-10-09</t>
        </is>
      </c>
      <c r="X135" t="inlineStr">
        <is>
          <t>2006-10-09</t>
        </is>
      </c>
      <c r="Y135" t="n">
        <v>754</v>
      </c>
      <c r="Z135" t="n">
        <v>705</v>
      </c>
      <c r="AA135" t="n">
        <v>754</v>
      </c>
      <c r="AB135" t="n">
        <v>4</v>
      </c>
      <c r="AC135" t="n">
        <v>4</v>
      </c>
      <c r="AD135" t="n">
        <v>34</v>
      </c>
      <c r="AE135" t="n">
        <v>35</v>
      </c>
      <c r="AF135" t="n">
        <v>14</v>
      </c>
      <c r="AG135" t="n">
        <v>15</v>
      </c>
      <c r="AH135" t="n">
        <v>6</v>
      </c>
      <c r="AI135" t="n">
        <v>6</v>
      </c>
      <c r="AJ135" t="n">
        <v>17</v>
      </c>
      <c r="AK135" t="n">
        <v>18</v>
      </c>
      <c r="AL135" t="n">
        <v>3</v>
      </c>
      <c r="AM135" t="n">
        <v>3</v>
      </c>
      <c r="AN135" t="n">
        <v>1</v>
      </c>
      <c r="AO135" t="n">
        <v>1</v>
      </c>
      <c r="AP135" t="inlineStr">
        <is>
          <t>No</t>
        </is>
      </c>
      <c r="AQ135" t="inlineStr">
        <is>
          <t>No</t>
        </is>
      </c>
      <c r="AS135">
        <f>HYPERLINK("https://creighton-primo.hosted.exlibrisgroup.com/primo-explore/search?tab=default_tab&amp;search_scope=EVERYTHING&amp;vid=01CRU&amp;lang=en_US&amp;offset=0&amp;query=any,contains,991004925699702656","Catalog Record")</f>
        <v/>
      </c>
      <c r="AT135">
        <f>HYPERLINK("http://www.worldcat.org/oclc/68220775","WorldCat Record")</f>
        <v/>
      </c>
      <c r="AU135" t="inlineStr">
        <is>
          <t>198153393:eng</t>
        </is>
      </c>
      <c r="AV135" t="inlineStr">
        <is>
          <t>68220775</t>
        </is>
      </c>
      <c r="AW135" t="inlineStr">
        <is>
          <t>991004925699702656</t>
        </is>
      </c>
      <c r="AX135" t="inlineStr">
        <is>
          <t>991004925699702656</t>
        </is>
      </c>
      <c r="AY135" t="inlineStr">
        <is>
          <t>2257708000002656</t>
        </is>
      </c>
      <c r="AZ135" t="inlineStr">
        <is>
          <t>BOOK</t>
        </is>
      </c>
      <c r="BB135" t="inlineStr">
        <is>
          <t>9780393060379</t>
        </is>
      </c>
      <c r="BC135" t="inlineStr">
        <is>
          <t>32285005227912</t>
        </is>
      </c>
      <c r="BD135" t="inlineStr">
        <is>
          <t>893412085</t>
        </is>
      </c>
    </row>
    <row r="136">
      <c r="A136" t="inlineStr">
        <is>
          <t>No</t>
        </is>
      </c>
      <c r="B136" t="inlineStr">
        <is>
          <t>LA227.4 .D68 1992</t>
        </is>
      </c>
      <c r="C136" t="inlineStr">
        <is>
          <t>0                      LA 0227400D  68          1992</t>
        </is>
      </c>
      <c r="D136" t="inlineStr">
        <is>
          <t>Education without impact : how our universities fail the young / George H. Douglas.</t>
        </is>
      </c>
      <c r="F136" t="inlineStr">
        <is>
          <t>No</t>
        </is>
      </c>
      <c r="G136" t="inlineStr">
        <is>
          <t>1</t>
        </is>
      </c>
      <c r="H136" t="inlineStr">
        <is>
          <t>No</t>
        </is>
      </c>
      <c r="I136" t="inlineStr">
        <is>
          <t>No</t>
        </is>
      </c>
      <c r="J136" t="inlineStr">
        <is>
          <t>0</t>
        </is>
      </c>
      <c r="K136" t="inlineStr">
        <is>
          <t>Douglas, George H., 1934-</t>
        </is>
      </c>
      <c r="L136" t="inlineStr">
        <is>
          <t>New York, N.Y. : Carol Pub. Group, c1992.</t>
        </is>
      </c>
      <c r="M136" t="inlineStr">
        <is>
          <t>1992</t>
        </is>
      </c>
      <c r="O136" t="inlineStr">
        <is>
          <t>eng</t>
        </is>
      </c>
      <c r="P136" t="inlineStr">
        <is>
          <t>nyu</t>
        </is>
      </c>
      <c r="R136" t="inlineStr">
        <is>
          <t xml:space="preserve">LA </t>
        </is>
      </c>
      <c r="S136" t="n">
        <v>9</v>
      </c>
      <c r="T136" t="n">
        <v>9</v>
      </c>
      <c r="U136" t="inlineStr">
        <is>
          <t>2000-11-08</t>
        </is>
      </c>
      <c r="V136" t="inlineStr">
        <is>
          <t>2000-11-08</t>
        </is>
      </c>
      <c r="W136" t="inlineStr">
        <is>
          <t>1992-11-09</t>
        </is>
      </c>
      <c r="X136" t="inlineStr">
        <is>
          <t>1992-11-09</t>
        </is>
      </c>
      <c r="Y136" t="n">
        <v>496</v>
      </c>
      <c r="Z136" t="n">
        <v>449</v>
      </c>
      <c r="AA136" t="n">
        <v>451</v>
      </c>
      <c r="AB136" t="n">
        <v>3</v>
      </c>
      <c r="AC136" t="n">
        <v>3</v>
      </c>
      <c r="AD136" t="n">
        <v>16</v>
      </c>
      <c r="AE136" t="n">
        <v>16</v>
      </c>
      <c r="AF136" t="n">
        <v>5</v>
      </c>
      <c r="AG136" t="n">
        <v>5</v>
      </c>
      <c r="AH136" t="n">
        <v>6</v>
      </c>
      <c r="AI136" t="n">
        <v>6</v>
      </c>
      <c r="AJ136" t="n">
        <v>10</v>
      </c>
      <c r="AK136" t="n">
        <v>10</v>
      </c>
      <c r="AL136" t="n">
        <v>2</v>
      </c>
      <c r="AM136" t="n">
        <v>2</v>
      </c>
      <c r="AN136" t="n">
        <v>0</v>
      </c>
      <c r="AO136" t="n">
        <v>0</v>
      </c>
      <c r="AP136" t="inlineStr">
        <is>
          <t>No</t>
        </is>
      </c>
      <c r="AQ136" t="inlineStr">
        <is>
          <t>Yes</t>
        </is>
      </c>
      <c r="AR136">
        <f>HYPERLINK("http://catalog.hathitrust.org/Record/002610198","HathiTrust Record")</f>
        <v/>
      </c>
      <c r="AS136">
        <f>HYPERLINK("https://creighton-primo.hosted.exlibrisgroup.com/primo-explore/search?tab=default_tab&amp;search_scope=EVERYTHING&amp;vid=01CRU&amp;lang=en_US&amp;offset=0&amp;query=any,contains,991002054339702656","Catalog Record")</f>
        <v/>
      </c>
      <c r="AT136">
        <f>HYPERLINK("http://www.worldcat.org/oclc/26256158","WorldCat Record")</f>
        <v/>
      </c>
      <c r="AU136" t="inlineStr">
        <is>
          <t>28668143:eng</t>
        </is>
      </c>
      <c r="AV136" t="inlineStr">
        <is>
          <t>26256158</t>
        </is>
      </c>
      <c r="AW136" t="inlineStr">
        <is>
          <t>991002054339702656</t>
        </is>
      </c>
      <c r="AX136" t="inlineStr">
        <is>
          <t>991002054339702656</t>
        </is>
      </c>
      <c r="AY136" t="inlineStr">
        <is>
          <t>2270813970002656</t>
        </is>
      </c>
      <c r="AZ136" t="inlineStr">
        <is>
          <t>BOOK</t>
        </is>
      </c>
      <c r="BB136" t="inlineStr">
        <is>
          <t>9781559721240</t>
        </is>
      </c>
      <c r="BC136" t="inlineStr">
        <is>
          <t>32285001361327</t>
        </is>
      </c>
      <c r="BD136" t="inlineStr">
        <is>
          <t>893715994</t>
        </is>
      </c>
    </row>
    <row r="137">
      <c r="A137" t="inlineStr">
        <is>
          <t>No</t>
        </is>
      </c>
      <c r="B137" t="inlineStr">
        <is>
          <t>LA227.4 .K465 1997</t>
        </is>
      </c>
      <c r="C137" t="inlineStr">
        <is>
          <t>0                      LA 0227400K  465         1997</t>
        </is>
      </c>
      <c r="D137" t="inlineStr">
        <is>
          <t>Academic duty / Donald Kennedy.</t>
        </is>
      </c>
      <c r="F137" t="inlineStr">
        <is>
          <t>No</t>
        </is>
      </c>
      <c r="G137" t="inlineStr">
        <is>
          <t>1</t>
        </is>
      </c>
      <c r="H137" t="inlineStr">
        <is>
          <t>No</t>
        </is>
      </c>
      <c r="I137" t="inlineStr">
        <is>
          <t>No</t>
        </is>
      </c>
      <c r="J137" t="inlineStr">
        <is>
          <t>0</t>
        </is>
      </c>
      <c r="K137" t="inlineStr">
        <is>
          <t>Kennedy, Donald, 1931-2020.</t>
        </is>
      </c>
      <c r="L137" t="inlineStr">
        <is>
          <t>Cambridge, Mass. : Harvard University Press, 1997.</t>
        </is>
      </c>
      <c r="M137" t="inlineStr">
        <is>
          <t>1997</t>
        </is>
      </c>
      <c r="O137" t="inlineStr">
        <is>
          <t>eng</t>
        </is>
      </c>
      <c r="P137" t="inlineStr">
        <is>
          <t>mau</t>
        </is>
      </c>
      <c r="R137" t="inlineStr">
        <is>
          <t xml:space="preserve">LA </t>
        </is>
      </c>
      <c r="S137" t="n">
        <v>10</v>
      </c>
      <c r="T137" t="n">
        <v>10</v>
      </c>
      <c r="U137" t="inlineStr">
        <is>
          <t>2007-09-24</t>
        </is>
      </c>
      <c r="V137" t="inlineStr">
        <is>
          <t>2007-09-24</t>
        </is>
      </c>
      <c r="W137" t="inlineStr">
        <is>
          <t>1998-04-21</t>
        </is>
      </c>
      <c r="X137" t="inlineStr">
        <is>
          <t>1998-04-21</t>
        </is>
      </c>
      <c r="Y137" t="n">
        <v>863</v>
      </c>
      <c r="Z137" t="n">
        <v>728</v>
      </c>
      <c r="AA137" t="n">
        <v>762</v>
      </c>
      <c r="AB137" t="n">
        <v>4</v>
      </c>
      <c r="AC137" t="n">
        <v>5</v>
      </c>
      <c r="AD137" t="n">
        <v>38</v>
      </c>
      <c r="AE137" t="n">
        <v>40</v>
      </c>
      <c r="AF137" t="n">
        <v>16</v>
      </c>
      <c r="AG137" t="n">
        <v>16</v>
      </c>
      <c r="AH137" t="n">
        <v>7</v>
      </c>
      <c r="AI137" t="n">
        <v>7</v>
      </c>
      <c r="AJ137" t="n">
        <v>16</v>
      </c>
      <c r="AK137" t="n">
        <v>16</v>
      </c>
      <c r="AL137" t="n">
        <v>3</v>
      </c>
      <c r="AM137" t="n">
        <v>4</v>
      </c>
      <c r="AN137" t="n">
        <v>5</v>
      </c>
      <c r="AO137" t="n">
        <v>6</v>
      </c>
      <c r="AP137" t="inlineStr">
        <is>
          <t>No</t>
        </is>
      </c>
      <c r="AQ137" t="inlineStr">
        <is>
          <t>Yes</t>
        </is>
      </c>
      <c r="AR137">
        <f>HYPERLINK("http://catalog.hathitrust.org/Record/003947384","HathiTrust Record")</f>
        <v/>
      </c>
      <c r="AS137">
        <f>HYPERLINK("https://creighton-primo.hosted.exlibrisgroup.com/primo-explore/search?tab=default_tab&amp;search_scope=EVERYTHING&amp;vid=01CRU&amp;lang=en_US&amp;offset=0&amp;query=any,contains,991002788719702656","Catalog Record")</f>
        <v/>
      </c>
      <c r="AT137">
        <f>HYPERLINK("http://www.worldcat.org/oclc/36630122","WorldCat Record")</f>
        <v/>
      </c>
      <c r="AU137" t="inlineStr">
        <is>
          <t>569155:eng</t>
        </is>
      </c>
      <c r="AV137" t="inlineStr">
        <is>
          <t>36630122</t>
        </is>
      </c>
      <c r="AW137" t="inlineStr">
        <is>
          <t>991002788719702656</t>
        </is>
      </c>
      <c r="AX137" t="inlineStr">
        <is>
          <t>991002788719702656</t>
        </is>
      </c>
      <c r="AY137" t="inlineStr">
        <is>
          <t>2272729730002656</t>
        </is>
      </c>
      <c r="AZ137" t="inlineStr">
        <is>
          <t>BOOK</t>
        </is>
      </c>
      <c r="BB137" t="inlineStr">
        <is>
          <t>9780674002227</t>
        </is>
      </c>
      <c r="BC137" t="inlineStr">
        <is>
          <t>32285003376067</t>
        </is>
      </c>
      <c r="BD137" t="inlineStr">
        <is>
          <t>893799022</t>
        </is>
      </c>
    </row>
    <row r="138">
      <c r="A138" t="inlineStr">
        <is>
          <t>No</t>
        </is>
      </c>
      <c r="B138" t="inlineStr">
        <is>
          <t>LA227.4 .L45 1996</t>
        </is>
      </c>
      <c r="C138" t="inlineStr">
        <is>
          <t>0                      LA 0227400L  45          1996</t>
        </is>
      </c>
      <c r="D138" t="inlineStr">
        <is>
          <t>Escape from the ivory tower : student adventures in democratic experiential education / David H. Lempert, in association with Xavier N. de Souza Briggs, and contributors.</t>
        </is>
      </c>
      <c r="F138" t="inlineStr">
        <is>
          <t>No</t>
        </is>
      </c>
      <c r="G138" t="inlineStr">
        <is>
          <t>1</t>
        </is>
      </c>
      <c r="H138" t="inlineStr">
        <is>
          <t>No</t>
        </is>
      </c>
      <c r="I138" t="inlineStr">
        <is>
          <t>No</t>
        </is>
      </c>
      <c r="J138" t="inlineStr">
        <is>
          <t>0</t>
        </is>
      </c>
      <c r="K138" t="inlineStr">
        <is>
          <t>Lempert, David H.</t>
        </is>
      </c>
      <c r="L138" t="inlineStr">
        <is>
          <t>San Francisco : Jossey-Bass Publishers, c1996.</t>
        </is>
      </c>
      <c r="M138" t="inlineStr">
        <is>
          <t>1996</t>
        </is>
      </c>
      <c r="N138" t="inlineStr">
        <is>
          <t>1st ed.</t>
        </is>
      </c>
      <c r="O138" t="inlineStr">
        <is>
          <t>eng</t>
        </is>
      </c>
      <c r="P138" t="inlineStr">
        <is>
          <t>cau</t>
        </is>
      </c>
      <c r="Q138" t="inlineStr">
        <is>
          <t>The Jossey-Bass higher and adult education series</t>
        </is>
      </c>
      <c r="R138" t="inlineStr">
        <is>
          <t xml:space="preserve">LA </t>
        </is>
      </c>
      <c r="S138" t="n">
        <v>2</v>
      </c>
      <c r="T138" t="n">
        <v>2</v>
      </c>
      <c r="U138" t="inlineStr">
        <is>
          <t>2008-10-23</t>
        </is>
      </c>
      <c r="V138" t="inlineStr">
        <is>
          <t>2008-10-23</t>
        </is>
      </c>
      <c r="W138" t="inlineStr">
        <is>
          <t>2008-07-23</t>
        </is>
      </c>
      <c r="X138" t="inlineStr">
        <is>
          <t>2008-07-23</t>
        </is>
      </c>
      <c r="Y138" t="n">
        <v>371</v>
      </c>
      <c r="Z138" t="n">
        <v>328</v>
      </c>
      <c r="AA138" t="n">
        <v>334</v>
      </c>
      <c r="AB138" t="n">
        <v>2</v>
      </c>
      <c r="AC138" t="n">
        <v>2</v>
      </c>
      <c r="AD138" t="n">
        <v>17</v>
      </c>
      <c r="AE138" t="n">
        <v>17</v>
      </c>
      <c r="AF138" t="n">
        <v>5</v>
      </c>
      <c r="AG138" t="n">
        <v>5</v>
      </c>
      <c r="AH138" t="n">
        <v>6</v>
      </c>
      <c r="AI138" t="n">
        <v>6</v>
      </c>
      <c r="AJ138" t="n">
        <v>10</v>
      </c>
      <c r="AK138" t="n">
        <v>10</v>
      </c>
      <c r="AL138" t="n">
        <v>1</v>
      </c>
      <c r="AM138" t="n">
        <v>1</v>
      </c>
      <c r="AN138" t="n">
        <v>0</v>
      </c>
      <c r="AO138" t="n">
        <v>0</v>
      </c>
      <c r="AP138" t="inlineStr">
        <is>
          <t>No</t>
        </is>
      </c>
      <c r="AQ138" t="inlineStr">
        <is>
          <t>Yes</t>
        </is>
      </c>
      <c r="AR138">
        <f>HYPERLINK("http://catalog.hathitrust.org/Record/003027749","HathiTrust Record")</f>
        <v/>
      </c>
      <c r="AS138">
        <f>HYPERLINK("https://creighton-primo.hosted.exlibrisgroup.com/primo-explore/search?tab=default_tab&amp;search_scope=EVERYTHING&amp;vid=01CRU&amp;lang=en_US&amp;offset=0&amp;query=any,contains,991005252039702656","Catalog Record")</f>
        <v/>
      </c>
      <c r="AT138">
        <f>HYPERLINK("http://www.worldcat.org/oclc/32626387","WorldCat Record")</f>
        <v/>
      </c>
      <c r="AU138" t="inlineStr">
        <is>
          <t>906952451:eng</t>
        </is>
      </c>
      <c r="AV138" t="inlineStr">
        <is>
          <t>32626387</t>
        </is>
      </c>
      <c r="AW138" t="inlineStr">
        <is>
          <t>991005252039702656</t>
        </is>
      </c>
      <c r="AX138" t="inlineStr">
        <is>
          <t>991005252039702656</t>
        </is>
      </c>
      <c r="AY138" t="inlineStr">
        <is>
          <t>2267566900002656</t>
        </is>
      </c>
      <c r="AZ138" t="inlineStr">
        <is>
          <t>BOOK</t>
        </is>
      </c>
      <c r="BB138" t="inlineStr">
        <is>
          <t>9780787901363</t>
        </is>
      </c>
      <c r="BC138" t="inlineStr">
        <is>
          <t>32285005450191</t>
        </is>
      </c>
      <c r="BD138" t="inlineStr">
        <is>
          <t>893332667</t>
        </is>
      </c>
    </row>
    <row r="139">
      <c r="A139" t="inlineStr">
        <is>
          <t>No</t>
        </is>
      </c>
      <c r="B139" t="inlineStr">
        <is>
          <t>LA227.4 .M35 1993</t>
        </is>
      </c>
      <c r="C139" t="inlineStr">
        <is>
          <t>0                      LA 0227400M  35          1993</t>
        </is>
      </c>
      <c r="D139" t="inlineStr">
        <is>
          <t>Making a difference : outcomes of a decade of assessment in higher education / Trudy W. Banta and associates ; foreword by C. Robert Pace.</t>
        </is>
      </c>
      <c r="F139" t="inlineStr">
        <is>
          <t>No</t>
        </is>
      </c>
      <c r="G139" t="inlineStr">
        <is>
          <t>1</t>
        </is>
      </c>
      <c r="H139" t="inlineStr">
        <is>
          <t>No</t>
        </is>
      </c>
      <c r="I139" t="inlineStr">
        <is>
          <t>No</t>
        </is>
      </c>
      <c r="J139" t="inlineStr">
        <is>
          <t>0</t>
        </is>
      </c>
      <c r="L139" t="inlineStr">
        <is>
          <t>San Francisco : Jossey-Bass, c1993.</t>
        </is>
      </c>
      <c r="M139" t="inlineStr">
        <is>
          <t>1993</t>
        </is>
      </c>
      <c r="N139" t="inlineStr">
        <is>
          <t>1st ed.</t>
        </is>
      </c>
      <c r="O139" t="inlineStr">
        <is>
          <t>eng</t>
        </is>
      </c>
      <c r="P139" t="inlineStr">
        <is>
          <t>cau</t>
        </is>
      </c>
      <c r="Q139" t="inlineStr">
        <is>
          <t>The Jossey-Bass higher and adult education series</t>
        </is>
      </c>
      <c r="R139" t="inlineStr">
        <is>
          <t xml:space="preserve">LA </t>
        </is>
      </c>
      <c r="S139" t="n">
        <v>2</v>
      </c>
      <c r="T139" t="n">
        <v>2</v>
      </c>
      <c r="U139" t="inlineStr">
        <is>
          <t>2004-01-14</t>
        </is>
      </c>
      <c r="V139" t="inlineStr">
        <is>
          <t>2004-01-14</t>
        </is>
      </c>
      <c r="W139" t="inlineStr">
        <is>
          <t>2003-11-24</t>
        </is>
      </c>
      <c r="X139" t="inlineStr">
        <is>
          <t>2003-11-24</t>
        </is>
      </c>
      <c r="Y139" t="n">
        <v>724</v>
      </c>
      <c r="Z139" t="n">
        <v>653</v>
      </c>
      <c r="AA139" t="n">
        <v>658</v>
      </c>
      <c r="AB139" t="n">
        <v>7</v>
      </c>
      <c r="AC139" t="n">
        <v>7</v>
      </c>
      <c r="AD139" t="n">
        <v>30</v>
      </c>
      <c r="AE139" t="n">
        <v>30</v>
      </c>
      <c r="AF139" t="n">
        <v>13</v>
      </c>
      <c r="AG139" t="n">
        <v>13</v>
      </c>
      <c r="AH139" t="n">
        <v>7</v>
      </c>
      <c r="AI139" t="n">
        <v>7</v>
      </c>
      <c r="AJ139" t="n">
        <v>14</v>
      </c>
      <c r="AK139" t="n">
        <v>14</v>
      </c>
      <c r="AL139" t="n">
        <v>5</v>
      </c>
      <c r="AM139" t="n">
        <v>5</v>
      </c>
      <c r="AN139" t="n">
        <v>0</v>
      </c>
      <c r="AO139" t="n">
        <v>0</v>
      </c>
      <c r="AP139" t="inlineStr">
        <is>
          <t>No</t>
        </is>
      </c>
      <c r="AQ139" t="inlineStr">
        <is>
          <t>Yes</t>
        </is>
      </c>
      <c r="AR139">
        <f>HYPERLINK("http://catalog.hathitrust.org/Record/002734399","HathiTrust Record")</f>
        <v/>
      </c>
      <c r="AS139">
        <f>HYPERLINK("https://creighton-primo.hosted.exlibrisgroup.com/primo-explore/search?tab=default_tab&amp;search_scope=EVERYTHING&amp;vid=01CRU&amp;lang=en_US&amp;offset=0&amp;query=any,contains,991004188569702656","Catalog Record")</f>
        <v/>
      </c>
      <c r="AT139">
        <f>HYPERLINK("http://www.worldcat.org/oclc/27975229","WorldCat Record")</f>
        <v/>
      </c>
      <c r="AU139" t="inlineStr">
        <is>
          <t>906413131:eng</t>
        </is>
      </c>
      <c r="AV139" t="inlineStr">
        <is>
          <t>27975229</t>
        </is>
      </c>
      <c r="AW139" t="inlineStr">
        <is>
          <t>991004188569702656</t>
        </is>
      </c>
      <c r="AX139" t="inlineStr">
        <is>
          <t>991004188569702656</t>
        </is>
      </c>
      <c r="AY139" t="inlineStr">
        <is>
          <t>2262420480002656</t>
        </is>
      </c>
      <c r="AZ139" t="inlineStr">
        <is>
          <t>BOOK</t>
        </is>
      </c>
      <c r="BB139" t="inlineStr">
        <is>
          <t>9781555425784</t>
        </is>
      </c>
      <c r="BC139" t="inlineStr">
        <is>
          <t>32285004840913</t>
        </is>
      </c>
      <c r="BD139" t="inlineStr">
        <is>
          <t>893411226</t>
        </is>
      </c>
    </row>
    <row r="140">
      <c r="A140" t="inlineStr">
        <is>
          <t>No</t>
        </is>
      </c>
      <c r="B140" t="inlineStr">
        <is>
          <t>LA227.4 .M36 1999</t>
        </is>
      </c>
      <c r="C140" t="inlineStr">
        <is>
          <t>0                      LA 0227400M  36          1999</t>
        </is>
      </c>
      <c r="D140" t="inlineStr">
        <is>
          <t>Monk's reflections : a view from the dome / Edward A. Malloy.</t>
        </is>
      </c>
      <c r="F140" t="inlineStr">
        <is>
          <t>No</t>
        </is>
      </c>
      <c r="G140" t="inlineStr">
        <is>
          <t>1</t>
        </is>
      </c>
      <c r="H140" t="inlineStr">
        <is>
          <t>No</t>
        </is>
      </c>
      <c r="I140" t="inlineStr">
        <is>
          <t>No</t>
        </is>
      </c>
      <c r="J140" t="inlineStr">
        <is>
          <t>0</t>
        </is>
      </c>
      <c r="K140" t="inlineStr">
        <is>
          <t>Malloy, Edward A.</t>
        </is>
      </c>
      <c r="L140" t="inlineStr">
        <is>
          <t>Kansas City : Andrews McMeel Pub., c1999.</t>
        </is>
      </c>
      <c r="M140" t="inlineStr">
        <is>
          <t>1999</t>
        </is>
      </c>
      <c r="O140" t="inlineStr">
        <is>
          <t>eng</t>
        </is>
      </c>
      <c r="P140" t="inlineStr">
        <is>
          <t>mou</t>
        </is>
      </c>
      <c r="R140" t="inlineStr">
        <is>
          <t xml:space="preserve">LA </t>
        </is>
      </c>
      <c r="S140" t="n">
        <v>1</v>
      </c>
      <c r="T140" t="n">
        <v>1</v>
      </c>
      <c r="U140" t="inlineStr">
        <is>
          <t>2008-03-26</t>
        </is>
      </c>
      <c r="V140" t="inlineStr">
        <is>
          <t>2008-03-26</t>
        </is>
      </c>
      <c r="W140" t="inlineStr">
        <is>
          <t>2008-03-26</t>
        </is>
      </c>
      <c r="X140" t="inlineStr">
        <is>
          <t>2008-03-26</t>
        </is>
      </c>
      <c r="Y140" t="n">
        <v>110</v>
      </c>
      <c r="Z140" t="n">
        <v>102</v>
      </c>
      <c r="AA140" t="n">
        <v>176</v>
      </c>
      <c r="AB140" t="n">
        <v>2</v>
      </c>
      <c r="AC140" t="n">
        <v>2</v>
      </c>
      <c r="AD140" t="n">
        <v>13</v>
      </c>
      <c r="AE140" t="n">
        <v>13</v>
      </c>
      <c r="AF140" t="n">
        <v>5</v>
      </c>
      <c r="AG140" t="n">
        <v>5</v>
      </c>
      <c r="AH140" t="n">
        <v>2</v>
      </c>
      <c r="AI140" t="n">
        <v>2</v>
      </c>
      <c r="AJ140" t="n">
        <v>12</v>
      </c>
      <c r="AK140" t="n">
        <v>12</v>
      </c>
      <c r="AL140" t="n">
        <v>0</v>
      </c>
      <c r="AM140" t="n">
        <v>0</v>
      </c>
      <c r="AN140" t="n">
        <v>0</v>
      </c>
      <c r="AO140" t="n">
        <v>0</v>
      </c>
      <c r="AP140" t="inlineStr">
        <is>
          <t>No</t>
        </is>
      </c>
      <c r="AQ140" t="inlineStr">
        <is>
          <t>No</t>
        </is>
      </c>
      <c r="AS140">
        <f>HYPERLINK("https://creighton-primo.hosted.exlibrisgroup.com/primo-explore/search?tab=default_tab&amp;search_scope=EVERYTHING&amp;vid=01CRU&amp;lang=en_US&amp;offset=0&amp;query=any,contains,991005197639702656","Catalog Record")</f>
        <v/>
      </c>
      <c r="AT140">
        <f>HYPERLINK("http://www.worldcat.org/oclc/40907723","WorldCat Record")</f>
        <v/>
      </c>
      <c r="AU140" t="inlineStr">
        <is>
          <t>6480494:eng</t>
        </is>
      </c>
      <c r="AV140" t="inlineStr">
        <is>
          <t>40907723</t>
        </is>
      </c>
      <c r="AW140" t="inlineStr">
        <is>
          <t>991005197639702656</t>
        </is>
      </c>
      <c r="AX140" t="inlineStr">
        <is>
          <t>991005197639702656</t>
        </is>
      </c>
      <c r="AY140" t="inlineStr">
        <is>
          <t>2256866220002656</t>
        </is>
      </c>
      <c r="AZ140" t="inlineStr">
        <is>
          <t>BOOK</t>
        </is>
      </c>
      <c r="BB140" t="inlineStr">
        <is>
          <t>9780740701160</t>
        </is>
      </c>
      <c r="BC140" t="inlineStr">
        <is>
          <t>32285005398713</t>
        </is>
      </c>
      <c r="BD140" t="inlineStr">
        <is>
          <t>893688757</t>
        </is>
      </c>
    </row>
    <row r="141">
      <c r="A141" t="inlineStr">
        <is>
          <t>No</t>
        </is>
      </c>
      <c r="B141" t="inlineStr">
        <is>
          <t>LA227.4 .M555 1998</t>
        </is>
      </c>
      <c r="C141" t="inlineStr">
        <is>
          <t>0                      LA 0227400M  555         1998</t>
        </is>
      </c>
      <c r="D141" t="inlineStr">
        <is>
          <t>As if learning mattered : reforming higher education / Richard E. Miller.</t>
        </is>
      </c>
      <c r="F141" t="inlineStr">
        <is>
          <t>No</t>
        </is>
      </c>
      <c r="G141" t="inlineStr">
        <is>
          <t>1</t>
        </is>
      </c>
      <c r="H141" t="inlineStr">
        <is>
          <t>No</t>
        </is>
      </c>
      <c r="I141" t="inlineStr">
        <is>
          <t>No</t>
        </is>
      </c>
      <c r="J141" t="inlineStr">
        <is>
          <t>0</t>
        </is>
      </c>
      <c r="K141" t="inlineStr">
        <is>
          <t>Miller, Richard E. (Richard Earl), 1961-</t>
        </is>
      </c>
      <c r="L141" t="inlineStr">
        <is>
          <t>Ithaca, N.Y. : Cornell University Press, 1998.</t>
        </is>
      </c>
      <c r="M141" t="inlineStr">
        <is>
          <t>1998</t>
        </is>
      </c>
      <c r="O141" t="inlineStr">
        <is>
          <t>eng</t>
        </is>
      </c>
      <c r="P141" t="inlineStr">
        <is>
          <t>nyu</t>
        </is>
      </c>
      <c r="R141" t="inlineStr">
        <is>
          <t xml:space="preserve">LA </t>
        </is>
      </c>
      <c r="S141" t="n">
        <v>6</v>
      </c>
      <c r="T141" t="n">
        <v>6</v>
      </c>
      <c r="U141" t="inlineStr">
        <is>
          <t>2002-09-03</t>
        </is>
      </c>
      <c r="V141" t="inlineStr">
        <is>
          <t>2002-09-03</t>
        </is>
      </c>
      <c r="W141" t="inlineStr">
        <is>
          <t>1998-07-27</t>
        </is>
      </c>
      <c r="X141" t="inlineStr">
        <is>
          <t>1998-07-27</t>
        </is>
      </c>
      <c r="Y141" t="n">
        <v>473</v>
      </c>
      <c r="Z141" t="n">
        <v>422</v>
      </c>
      <c r="AA141" t="n">
        <v>428</v>
      </c>
      <c r="AB141" t="n">
        <v>4</v>
      </c>
      <c r="AC141" t="n">
        <v>4</v>
      </c>
      <c r="AD141" t="n">
        <v>24</v>
      </c>
      <c r="AE141" t="n">
        <v>24</v>
      </c>
      <c r="AF141" t="n">
        <v>9</v>
      </c>
      <c r="AG141" t="n">
        <v>9</v>
      </c>
      <c r="AH141" t="n">
        <v>5</v>
      </c>
      <c r="AI141" t="n">
        <v>5</v>
      </c>
      <c r="AJ141" t="n">
        <v>12</v>
      </c>
      <c r="AK141" t="n">
        <v>12</v>
      </c>
      <c r="AL141" t="n">
        <v>3</v>
      </c>
      <c r="AM141" t="n">
        <v>3</v>
      </c>
      <c r="AN141" t="n">
        <v>0</v>
      </c>
      <c r="AO141" t="n">
        <v>0</v>
      </c>
      <c r="AP141" t="inlineStr">
        <is>
          <t>No</t>
        </is>
      </c>
      <c r="AQ141" t="inlineStr">
        <is>
          <t>Yes</t>
        </is>
      </c>
      <c r="AR141">
        <f>HYPERLINK("http://catalog.hathitrust.org/Record/003976131","HathiTrust Record")</f>
        <v/>
      </c>
      <c r="AS141">
        <f>HYPERLINK("https://creighton-primo.hosted.exlibrisgroup.com/primo-explore/search?tab=default_tab&amp;search_scope=EVERYTHING&amp;vid=01CRU&amp;lang=en_US&amp;offset=0&amp;query=any,contains,991002875279702656","Catalog Record")</f>
        <v/>
      </c>
      <c r="AT141">
        <f>HYPERLINK("http://www.worldcat.org/oclc/37890405","WorldCat Record")</f>
        <v/>
      </c>
      <c r="AU141" t="inlineStr">
        <is>
          <t>837018892:eng</t>
        </is>
      </c>
      <c r="AV141" t="inlineStr">
        <is>
          <t>37890405</t>
        </is>
      </c>
      <c r="AW141" t="inlineStr">
        <is>
          <t>991002875279702656</t>
        </is>
      </c>
      <c r="AX141" t="inlineStr">
        <is>
          <t>991002875279702656</t>
        </is>
      </c>
      <c r="AY141" t="inlineStr">
        <is>
          <t>2262557820002656</t>
        </is>
      </c>
      <c r="AZ141" t="inlineStr">
        <is>
          <t>BOOK</t>
        </is>
      </c>
      <c r="BB141" t="inlineStr">
        <is>
          <t>9780801434839</t>
        </is>
      </c>
      <c r="BC141" t="inlineStr">
        <is>
          <t>32285003446209</t>
        </is>
      </c>
      <c r="BD141" t="inlineStr">
        <is>
          <t>893704625</t>
        </is>
      </c>
    </row>
    <row r="142">
      <c r="A142" t="inlineStr">
        <is>
          <t>No</t>
        </is>
      </c>
      <c r="B142" t="inlineStr">
        <is>
          <t>LA227.4 .W56 1995</t>
        </is>
      </c>
      <c r="C142" t="inlineStr">
        <is>
          <t>0                      LA 0227400W  56          1995</t>
        </is>
      </c>
      <c r="D142" t="inlineStr">
        <is>
          <t>The abandoned generation : rethinking higher education / William H. Willimon and Thomas H. Naylor.</t>
        </is>
      </c>
      <c r="F142" t="inlineStr">
        <is>
          <t>No</t>
        </is>
      </c>
      <c r="G142" t="inlineStr">
        <is>
          <t>1</t>
        </is>
      </c>
      <c r="H142" t="inlineStr">
        <is>
          <t>No</t>
        </is>
      </c>
      <c r="I142" t="inlineStr">
        <is>
          <t>No</t>
        </is>
      </c>
      <c r="J142" t="inlineStr">
        <is>
          <t>0</t>
        </is>
      </c>
      <c r="K142" t="inlineStr">
        <is>
          <t>Willimon, William H.</t>
        </is>
      </c>
      <c r="L142" t="inlineStr">
        <is>
          <t>Grand Rapids, Mich. : W.B. Eerdmans Pub. Co., c1995.</t>
        </is>
      </c>
      <c r="M142" t="inlineStr">
        <is>
          <t>1995</t>
        </is>
      </c>
      <c r="O142" t="inlineStr">
        <is>
          <t>eng</t>
        </is>
      </c>
      <c r="P142" t="inlineStr">
        <is>
          <t>miu</t>
        </is>
      </c>
      <c r="R142" t="inlineStr">
        <is>
          <t xml:space="preserve">LA </t>
        </is>
      </c>
      <c r="S142" t="n">
        <v>2</v>
      </c>
      <c r="T142" t="n">
        <v>2</v>
      </c>
      <c r="U142" t="inlineStr">
        <is>
          <t>2005-05-06</t>
        </is>
      </c>
      <c r="V142" t="inlineStr">
        <is>
          <t>2005-05-06</t>
        </is>
      </c>
      <c r="W142" t="inlineStr">
        <is>
          <t>2005-04-11</t>
        </is>
      </c>
      <c r="X142" t="inlineStr">
        <is>
          <t>2005-04-11</t>
        </is>
      </c>
      <c r="Y142" t="n">
        <v>570</v>
      </c>
      <c r="Z142" t="n">
        <v>525</v>
      </c>
      <c r="AA142" t="n">
        <v>525</v>
      </c>
      <c r="AB142" t="n">
        <v>5</v>
      </c>
      <c r="AC142" t="n">
        <v>5</v>
      </c>
      <c r="AD142" t="n">
        <v>23</v>
      </c>
      <c r="AE142" t="n">
        <v>23</v>
      </c>
      <c r="AF142" t="n">
        <v>7</v>
      </c>
      <c r="AG142" t="n">
        <v>7</v>
      </c>
      <c r="AH142" t="n">
        <v>7</v>
      </c>
      <c r="AI142" t="n">
        <v>7</v>
      </c>
      <c r="AJ142" t="n">
        <v>10</v>
      </c>
      <c r="AK142" t="n">
        <v>10</v>
      </c>
      <c r="AL142" t="n">
        <v>4</v>
      </c>
      <c r="AM142" t="n">
        <v>4</v>
      </c>
      <c r="AN142" t="n">
        <v>0</v>
      </c>
      <c r="AO142" t="n">
        <v>0</v>
      </c>
      <c r="AP142" t="inlineStr">
        <is>
          <t>No</t>
        </is>
      </c>
      <c r="AQ142" t="inlineStr">
        <is>
          <t>No</t>
        </is>
      </c>
      <c r="AS142">
        <f>HYPERLINK("https://creighton-primo.hosted.exlibrisgroup.com/primo-explore/search?tab=default_tab&amp;search_scope=EVERYTHING&amp;vid=01CRU&amp;lang=en_US&amp;offset=0&amp;query=any,contains,991004517399702656","Catalog Record")</f>
        <v/>
      </c>
      <c r="AT142">
        <f>HYPERLINK("http://www.worldcat.org/oclc/32664695","WorldCat Record")</f>
        <v/>
      </c>
      <c r="AU142" t="inlineStr">
        <is>
          <t>474851998:eng</t>
        </is>
      </c>
      <c r="AV142" t="inlineStr">
        <is>
          <t>32664695</t>
        </is>
      </c>
      <c r="AW142" t="inlineStr">
        <is>
          <t>991004517399702656</t>
        </is>
      </c>
      <c r="AX142" t="inlineStr">
        <is>
          <t>991004517399702656</t>
        </is>
      </c>
      <c r="AY142" t="inlineStr">
        <is>
          <t>2265659120002656</t>
        </is>
      </c>
      <c r="AZ142" t="inlineStr">
        <is>
          <t>BOOK</t>
        </is>
      </c>
      <c r="BB142" t="inlineStr">
        <is>
          <t>9780802841193</t>
        </is>
      </c>
      <c r="BC142" t="inlineStr">
        <is>
          <t>32285005049662</t>
        </is>
      </c>
      <c r="BD142" t="inlineStr">
        <is>
          <t>893606128</t>
        </is>
      </c>
    </row>
    <row r="143">
      <c r="A143" t="inlineStr">
        <is>
          <t>No</t>
        </is>
      </c>
      <c r="B143" t="inlineStr">
        <is>
          <t>LA227.4 .Y68 1997</t>
        </is>
      </c>
      <c r="C143" t="inlineStr">
        <is>
          <t>0                      LA 0227400Y  68          1997</t>
        </is>
      </c>
      <c r="D143" t="inlineStr">
        <is>
          <t>No neutral ground : standing by the values we prize in higher education / Robert B. Young.</t>
        </is>
      </c>
      <c r="F143" t="inlineStr">
        <is>
          <t>No</t>
        </is>
      </c>
      <c r="G143" t="inlineStr">
        <is>
          <t>1</t>
        </is>
      </c>
      <c r="H143" t="inlineStr">
        <is>
          <t>No</t>
        </is>
      </c>
      <c r="I143" t="inlineStr">
        <is>
          <t>No</t>
        </is>
      </c>
      <c r="J143" t="inlineStr">
        <is>
          <t>0</t>
        </is>
      </c>
      <c r="K143" t="inlineStr">
        <is>
          <t>Young, Robert B.</t>
        </is>
      </c>
      <c r="L143" t="inlineStr">
        <is>
          <t>San Francisco : Jossey-Bass Publishers, c1997.</t>
        </is>
      </c>
      <c r="M143" t="inlineStr">
        <is>
          <t>1997</t>
        </is>
      </c>
      <c r="N143" t="inlineStr">
        <is>
          <t>1st ed.</t>
        </is>
      </c>
      <c r="O143" t="inlineStr">
        <is>
          <t>eng</t>
        </is>
      </c>
      <c r="P143" t="inlineStr">
        <is>
          <t>cau</t>
        </is>
      </c>
      <c r="Q143" t="inlineStr">
        <is>
          <t>The Jossey-Bass higher and adult education series</t>
        </is>
      </c>
      <c r="R143" t="inlineStr">
        <is>
          <t xml:space="preserve">LA </t>
        </is>
      </c>
      <c r="S143" t="n">
        <v>2</v>
      </c>
      <c r="T143" t="n">
        <v>2</v>
      </c>
      <c r="U143" t="inlineStr">
        <is>
          <t>2007-09-24</t>
        </is>
      </c>
      <c r="V143" t="inlineStr">
        <is>
          <t>2007-09-24</t>
        </is>
      </c>
      <c r="W143" t="inlineStr">
        <is>
          <t>2003-11-25</t>
        </is>
      </c>
      <c r="X143" t="inlineStr">
        <is>
          <t>2003-11-25</t>
        </is>
      </c>
      <c r="Y143" t="n">
        <v>388</v>
      </c>
      <c r="Z143" t="n">
        <v>334</v>
      </c>
      <c r="AA143" t="n">
        <v>336</v>
      </c>
      <c r="AB143" t="n">
        <v>3</v>
      </c>
      <c r="AC143" t="n">
        <v>3</v>
      </c>
      <c r="AD143" t="n">
        <v>13</v>
      </c>
      <c r="AE143" t="n">
        <v>13</v>
      </c>
      <c r="AF143" t="n">
        <v>7</v>
      </c>
      <c r="AG143" t="n">
        <v>7</v>
      </c>
      <c r="AH143" t="n">
        <v>2</v>
      </c>
      <c r="AI143" t="n">
        <v>2</v>
      </c>
      <c r="AJ143" t="n">
        <v>7</v>
      </c>
      <c r="AK143" t="n">
        <v>7</v>
      </c>
      <c r="AL143" t="n">
        <v>2</v>
      </c>
      <c r="AM143" t="n">
        <v>2</v>
      </c>
      <c r="AN143" t="n">
        <v>0</v>
      </c>
      <c r="AO143" t="n">
        <v>0</v>
      </c>
      <c r="AP143" t="inlineStr">
        <is>
          <t>No</t>
        </is>
      </c>
      <c r="AQ143" t="inlineStr">
        <is>
          <t>Yes</t>
        </is>
      </c>
      <c r="AR143">
        <f>HYPERLINK("http://catalog.hathitrust.org/Record/003135786","HathiTrust Record")</f>
        <v/>
      </c>
      <c r="AS143">
        <f>HYPERLINK("https://creighton-primo.hosted.exlibrisgroup.com/primo-explore/search?tab=default_tab&amp;search_scope=EVERYTHING&amp;vid=01CRU&amp;lang=en_US&amp;offset=0&amp;query=any,contains,991004191109702656","Catalog Record")</f>
        <v/>
      </c>
      <c r="AT143">
        <f>HYPERLINK("http://www.worldcat.org/oclc/35574519","WorldCat Record")</f>
        <v/>
      </c>
      <c r="AU143" t="inlineStr">
        <is>
          <t>909359700:eng</t>
        </is>
      </c>
      <c r="AV143" t="inlineStr">
        <is>
          <t>35574519</t>
        </is>
      </c>
      <c r="AW143" t="inlineStr">
        <is>
          <t>991004191109702656</t>
        </is>
      </c>
      <c r="AX143" t="inlineStr">
        <is>
          <t>991004191109702656</t>
        </is>
      </c>
      <c r="AY143" t="inlineStr">
        <is>
          <t>2257718130002656</t>
        </is>
      </c>
      <c r="AZ143" t="inlineStr">
        <is>
          <t>BOOK</t>
        </is>
      </c>
      <c r="BB143" t="inlineStr">
        <is>
          <t>9780787908003</t>
        </is>
      </c>
      <c r="BC143" t="inlineStr">
        <is>
          <t>32285004841754</t>
        </is>
      </c>
      <c r="BD143" t="inlineStr">
        <is>
          <t>893712259</t>
        </is>
      </c>
    </row>
    <row r="144">
      <c r="A144" t="inlineStr">
        <is>
          <t>No</t>
        </is>
      </c>
      <c r="B144" t="inlineStr">
        <is>
          <t>LA229 .B66 1990</t>
        </is>
      </c>
      <c r="C144" t="inlineStr">
        <is>
          <t>0                      LA 0229000B  66          1990</t>
        </is>
      </c>
      <c r="D144" t="inlineStr">
        <is>
          <t>Piled higher and deeper : the folklore of campus life / Simon J. Bronner.</t>
        </is>
      </c>
      <c r="F144" t="inlineStr">
        <is>
          <t>No</t>
        </is>
      </c>
      <c r="G144" t="inlineStr">
        <is>
          <t>1</t>
        </is>
      </c>
      <c r="H144" t="inlineStr">
        <is>
          <t>No</t>
        </is>
      </c>
      <c r="I144" t="inlineStr">
        <is>
          <t>No</t>
        </is>
      </c>
      <c r="J144" t="inlineStr">
        <is>
          <t>0</t>
        </is>
      </c>
      <c r="K144" t="inlineStr">
        <is>
          <t>Bronner, Simon J.</t>
        </is>
      </c>
      <c r="L144" t="inlineStr">
        <is>
          <t>Little Rock, Ark. : August House Publishers, 1990.</t>
        </is>
      </c>
      <c r="M144" t="inlineStr">
        <is>
          <t>1990</t>
        </is>
      </c>
      <c r="N144" t="inlineStr">
        <is>
          <t>1st ed.</t>
        </is>
      </c>
      <c r="O144" t="inlineStr">
        <is>
          <t>eng</t>
        </is>
      </c>
      <c r="P144" t="inlineStr">
        <is>
          <t>aru</t>
        </is>
      </c>
      <c r="R144" t="inlineStr">
        <is>
          <t xml:space="preserve">LA </t>
        </is>
      </c>
      <c r="S144" t="n">
        <v>8</v>
      </c>
      <c r="T144" t="n">
        <v>8</v>
      </c>
      <c r="U144" t="inlineStr">
        <is>
          <t>2007-09-24</t>
        </is>
      </c>
      <c r="V144" t="inlineStr">
        <is>
          <t>2007-09-24</t>
        </is>
      </c>
      <c r="W144" t="inlineStr">
        <is>
          <t>1995-11-03</t>
        </is>
      </c>
      <c r="X144" t="inlineStr">
        <is>
          <t>1995-11-03</t>
        </is>
      </c>
      <c r="Y144" t="n">
        <v>417</v>
      </c>
      <c r="Z144" t="n">
        <v>404</v>
      </c>
      <c r="AA144" t="n">
        <v>411</v>
      </c>
      <c r="AB144" t="n">
        <v>3</v>
      </c>
      <c r="AC144" t="n">
        <v>3</v>
      </c>
      <c r="AD144" t="n">
        <v>11</v>
      </c>
      <c r="AE144" t="n">
        <v>11</v>
      </c>
      <c r="AF144" t="n">
        <v>5</v>
      </c>
      <c r="AG144" t="n">
        <v>5</v>
      </c>
      <c r="AH144" t="n">
        <v>1</v>
      </c>
      <c r="AI144" t="n">
        <v>1</v>
      </c>
      <c r="AJ144" t="n">
        <v>4</v>
      </c>
      <c r="AK144" t="n">
        <v>4</v>
      </c>
      <c r="AL144" t="n">
        <v>2</v>
      </c>
      <c r="AM144" t="n">
        <v>2</v>
      </c>
      <c r="AN144" t="n">
        <v>0</v>
      </c>
      <c r="AO144" t="n">
        <v>0</v>
      </c>
      <c r="AP144" t="inlineStr">
        <is>
          <t>No</t>
        </is>
      </c>
      <c r="AQ144" t="inlineStr">
        <is>
          <t>Yes</t>
        </is>
      </c>
      <c r="AR144">
        <f>HYPERLINK("http://catalog.hathitrust.org/Record/004478917","HathiTrust Record")</f>
        <v/>
      </c>
      <c r="AS144">
        <f>HYPERLINK("https://creighton-primo.hosted.exlibrisgroup.com/primo-explore/search?tab=default_tab&amp;search_scope=EVERYTHING&amp;vid=01CRU&amp;lang=en_US&amp;offset=0&amp;query=any,contains,991001725039702656","Catalog Record")</f>
        <v/>
      </c>
      <c r="AT144">
        <f>HYPERLINK("http://www.worldcat.org/oclc/21875317","WorldCat Record")</f>
        <v/>
      </c>
      <c r="AU144" t="inlineStr">
        <is>
          <t>1216090464:eng</t>
        </is>
      </c>
      <c r="AV144" t="inlineStr">
        <is>
          <t>21875317</t>
        </is>
      </c>
      <c r="AW144" t="inlineStr">
        <is>
          <t>991001725039702656</t>
        </is>
      </c>
      <c r="AX144" t="inlineStr">
        <is>
          <t>991001725039702656</t>
        </is>
      </c>
      <c r="AY144" t="inlineStr">
        <is>
          <t>2267312030002656</t>
        </is>
      </c>
      <c r="AZ144" t="inlineStr">
        <is>
          <t>BOOK</t>
        </is>
      </c>
      <c r="BB144" t="inlineStr">
        <is>
          <t>9780874831542</t>
        </is>
      </c>
      <c r="BC144" t="inlineStr">
        <is>
          <t>32285002100633</t>
        </is>
      </c>
      <c r="BD144" t="inlineStr">
        <is>
          <t>893898005</t>
        </is>
      </c>
    </row>
    <row r="145">
      <c r="A145" t="inlineStr">
        <is>
          <t>No</t>
        </is>
      </c>
      <c r="B145" t="inlineStr">
        <is>
          <t>LA229 .B77 1995</t>
        </is>
      </c>
      <c r="C145" t="inlineStr">
        <is>
          <t>0                      LA 0229000B  77          1995</t>
        </is>
      </c>
      <c r="D145" t="inlineStr">
        <is>
          <t>In search of a calling : the college's role in shaping identity / Thomas O. Buford.</t>
        </is>
      </c>
      <c r="F145" t="inlineStr">
        <is>
          <t>No</t>
        </is>
      </c>
      <c r="G145" t="inlineStr">
        <is>
          <t>1</t>
        </is>
      </c>
      <c r="H145" t="inlineStr">
        <is>
          <t>No</t>
        </is>
      </c>
      <c r="I145" t="inlineStr">
        <is>
          <t>No</t>
        </is>
      </c>
      <c r="J145" t="inlineStr">
        <is>
          <t>0</t>
        </is>
      </c>
      <c r="K145" t="inlineStr">
        <is>
          <t>Buford, Thomas O., 1932-</t>
        </is>
      </c>
      <c r="L145" t="inlineStr">
        <is>
          <t>Macon, Ga. : Mercer University Press, c1995.</t>
        </is>
      </c>
      <c r="M145" t="inlineStr">
        <is>
          <t>1995</t>
        </is>
      </c>
      <c r="O145" t="inlineStr">
        <is>
          <t>eng</t>
        </is>
      </c>
      <c r="P145" t="inlineStr">
        <is>
          <t>gau</t>
        </is>
      </c>
      <c r="R145" t="inlineStr">
        <is>
          <t xml:space="preserve">LA </t>
        </is>
      </c>
      <c r="S145" t="n">
        <v>5</v>
      </c>
      <c r="T145" t="n">
        <v>5</v>
      </c>
      <c r="U145" t="inlineStr">
        <is>
          <t>2007-09-20</t>
        </is>
      </c>
      <c r="V145" t="inlineStr">
        <is>
          <t>2007-09-20</t>
        </is>
      </c>
      <c r="W145" t="inlineStr">
        <is>
          <t>2005-04-21</t>
        </is>
      </c>
      <c r="X145" t="inlineStr">
        <is>
          <t>2005-04-21</t>
        </is>
      </c>
      <c r="Y145" t="n">
        <v>215</v>
      </c>
      <c r="Z145" t="n">
        <v>190</v>
      </c>
      <c r="AA145" t="n">
        <v>192</v>
      </c>
      <c r="AB145" t="n">
        <v>4</v>
      </c>
      <c r="AC145" t="n">
        <v>4</v>
      </c>
      <c r="AD145" t="n">
        <v>12</v>
      </c>
      <c r="AE145" t="n">
        <v>12</v>
      </c>
      <c r="AF145" t="n">
        <v>2</v>
      </c>
      <c r="AG145" t="n">
        <v>2</v>
      </c>
      <c r="AH145" t="n">
        <v>4</v>
      </c>
      <c r="AI145" t="n">
        <v>4</v>
      </c>
      <c r="AJ145" t="n">
        <v>5</v>
      </c>
      <c r="AK145" t="n">
        <v>5</v>
      </c>
      <c r="AL145" t="n">
        <v>3</v>
      </c>
      <c r="AM145" t="n">
        <v>3</v>
      </c>
      <c r="AN145" t="n">
        <v>0</v>
      </c>
      <c r="AO145" t="n">
        <v>0</v>
      </c>
      <c r="AP145" t="inlineStr">
        <is>
          <t>No</t>
        </is>
      </c>
      <c r="AQ145" t="inlineStr">
        <is>
          <t>Yes</t>
        </is>
      </c>
      <c r="AR145">
        <f>HYPERLINK("http://catalog.hathitrust.org/Record/002982167","HathiTrust Record")</f>
        <v/>
      </c>
      <c r="AS145">
        <f>HYPERLINK("https://creighton-primo.hosted.exlibrisgroup.com/primo-explore/search?tab=default_tab&amp;search_scope=EVERYTHING&amp;vid=01CRU&amp;lang=en_US&amp;offset=0&amp;query=any,contains,991004521259702656","Catalog Record")</f>
        <v/>
      </c>
      <c r="AT145">
        <f>HYPERLINK("http://www.worldcat.org/oclc/31436271","WorldCat Record")</f>
        <v/>
      </c>
      <c r="AU145" t="inlineStr">
        <is>
          <t>152297130:eng</t>
        </is>
      </c>
      <c r="AV145" t="inlineStr">
        <is>
          <t>31436271</t>
        </is>
      </c>
      <c r="AW145" t="inlineStr">
        <is>
          <t>991004521259702656</t>
        </is>
      </c>
      <c r="AX145" t="inlineStr">
        <is>
          <t>991004521259702656</t>
        </is>
      </c>
      <c r="AY145" t="inlineStr">
        <is>
          <t>2262227450002656</t>
        </is>
      </c>
      <c r="AZ145" t="inlineStr">
        <is>
          <t>BOOK</t>
        </is>
      </c>
      <c r="BB145" t="inlineStr">
        <is>
          <t>9780865544666</t>
        </is>
      </c>
      <c r="BC145" t="inlineStr">
        <is>
          <t>32285005032460</t>
        </is>
      </c>
      <c r="BD145" t="inlineStr">
        <is>
          <t>893337839</t>
        </is>
      </c>
    </row>
    <row r="146">
      <c r="A146" t="inlineStr">
        <is>
          <t>No</t>
        </is>
      </c>
      <c r="B146" t="inlineStr">
        <is>
          <t>LA229 .C53 1992</t>
        </is>
      </c>
      <c r="C146" t="inlineStr">
        <is>
          <t>0                      LA 0229000C  53          1992</t>
        </is>
      </c>
      <c r="D146" t="inlineStr">
        <is>
          <t>Letting go : a parents' guide to today's college experience / Karen Levin Coburn and Madge Lawrence Treeger.</t>
        </is>
      </c>
      <c r="F146" t="inlineStr">
        <is>
          <t>No</t>
        </is>
      </c>
      <c r="G146" t="inlineStr">
        <is>
          <t>1</t>
        </is>
      </c>
      <c r="H146" t="inlineStr">
        <is>
          <t>No</t>
        </is>
      </c>
      <c r="I146" t="inlineStr">
        <is>
          <t>No</t>
        </is>
      </c>
      <c r="J146" t="inlineStr">
        <is>
          <t>0</t>
        </is>
      </c>
      <c r="K146" t="inlineStr">
        <is>
          <t>Coburn, Karen Levin, 1941-</t>
        </is>
      </c>
      <c r="L146" t="inlineStr">
        <is>
          <t>Rockville, Md. : Alder &amp; Alder, c1992.</t>
        </is>
      </c>
      <c r="M146" t="inlineStr">
        <is>
          <t>1992</t>
        </is>
      </c>
      <c r="N146" t="inlineStr">
        <is>
          <t>2nd ed.</t>
        </is>
      </c>
      <c r="O146" t="inlineStr">
        <is>
          <t>eng</t>
        </is>
      </c>
      <c r="P146" t="inlineStr">
        <is>
          <t>mdu</t>
        </is>
      </c>
      <c r="R146" t="inlineStr">
        <is>
          <t xml:space="preserve">LA </t>
        </is>
      </c>
      <c r="S146" t="n">
        <v>9</v>
      </c>
      <c r="T146" t="n">
        <v>9</v>
      </c>
      <c r="U146" t="inlineStr">
        <is>
          <t>1999-11-22</t>
        </is>
      </c>
      <c r="V146" t="inlineStr">
        <is>
          <t>1999-11-22</t>
        </is>
      </c>
      <c r="W146" t="inlineStr">
        <is>
          <t>1998-04-07</t>
        </is>
      </c>
      <c r="X146" t="inlineStr">
        <is>
          <t>1998-04-07</t>
        </is>
      </c>
      <c r="Y146" t="n">
        <v>98</v>
      </c>
      <c r="Z146" t="n">
        <v>94</v>
      </c>
      <c r="AA146" t="n">
        <v>372</v>
      </c>
      <c r="AB146" t="n">
        <v>2</v>
      </c>
      <c r="AC146" t="n">
        <v>3</v>
      </c>
      <c r="AD146" t="n">
        <v>2</v>
      </c>
      <c r="AE146" t="n">
        <v>3</v>
      </c>
      <c r="AF146" t="n">
        <v>0</v>
      </c>
      <c r="AG146" t="n">
        <v>0</v>
      </c>
      <c r="AH146" t="n">
        <v>0</v>
      </c>
      <c r="AI146" t="n">
        <v>1</v>
      </c>
      <c r="AJ146" t="n">
        <v>1</v>
      </c>
      <c r="AK146" t="n">
        <v>1</v>
      </c>
      <c r="AL146" t="n">
        <v>1</v>
      </c>
      <c r="AM146" t="n">
        <v>1</v>
      </c>
      <c r="AN146" t="n">
        <v>0</v>
      </c>
      <c r="AO146" t="n">
        <v>0</v>
      </c>
      <c r="AP146" t="inlineStr">
        <is>
          <t>No</t>
        </is>
      </c>
      <c r="AQ146" t="inlineStr">
        <is>
          <t>Yes</t>
        </is>
      </c>
      <c r="AR146">
        <f>HYPERLINK("http://catalog.hathitrust.org/Record/012280298","HathiTrust Record")</f>
        <v/>
      </c>
      <c r="AS146">
        <f>HYPERLINK("https://creighton-primo.hosted.exlibrisgroup.com/primo-explore/search?tab=default_tab&amp;search_scope=EVERYTHING&amp;vid=01CRU&amp;lang=en_US&amp;offset=0&amp;query=any,contains,991001990199702656","Catalog Record")</f>
        <v/>
      </c>
      <c r="AT146">
        <f>HYPERLINK("http://www.worldcat.org/oclc/25282331","WorldCat Record")</f>
        <v/>
      </c>
      <c r="AU146" t="inlineStr">
        <is>
          <t>3943427668:eng</t>
        </is>
      </c>
      <c r="AV146" t="inlineStr">
        <is>
          <t>25282331</t>
        </is>
      </c>
      <c r="AW146" t="inlineStr">
        <is>
          <t>991001990199702656</t>
        </is>
      </c>
      <c r="AX146" t="inlineStr">
        <is>
          <t>991001990199702656</t>
        </is>
      </c>
      <c r="AY146" t="inlineStr">
        <is>
          <t>2271197540002656</t>
        </is>
      </c>
      <c r="AZ146" t="inlineStr">
        <is>
          <t>BOOK</t>
        </is>
      </c>
      <c r="BB146" t="inlineStr">
        <is>
          <t>9780917561757</t>
        </is>
      </c>
      <c r="BC146" t="inlineStr">
        <is>
          <t>32285003383527</t>
        </is>
      </c>
      <c r="BD146" t="inlineStr">
        <is>
          <t>893226316</t>
        </is>
      </c>
    </row>
    <row r="147">
      <c r="A147" t="inlineStr">
        <is>
          <t>No</t>
        </is>
      </c>
      <c r="B147" t="inlineStr">
        <is>
          <t>LA229 .D35 2001</t>
        </is>
      </c>
      <c r="C147" t="inlineStr">
        <is>
          <t>0                      LA 0229000D  35          2001</t>
        </is>
      </c>
      <c r="D147" t="inlineStr">
        <is>
          <t>The conscience of the campus : case studies in moral reasoning among today's college students / Joseph Dillon Davey and Linda DuBois Davey.</t>
        </is>
      </c>
      <c r="F147" t="inlineStr">
        <is>
          <t>No</t>
        </is>
      </c>
      <c r="G147" t="inlineStr">
        <is>
          <t>1</t>
        </is>
      </c>
      <c r="H147" t="inlineStr">
        <is>
          <t>No</t>
        </is>
      </c>
      <c r="I147" t="inlineStr">
        <is>
          <t>No</t>
        </is>
      </c>
      <c r="J147" t="inlineStr">
        <is>
          <t>0</t>
        </is>
      </c>
      <c r="K147" t="inlineStr">
        <is>
          <t>Davey, Joseph Dillon.</t>
        </is>
      </c>
      <c r="L147" t="inlineStr">
        <is>
          <t>Westport, Conn. : Praeger, 2001.</t>
        </is>
      </c>
      <c r="M147" t="inlineStr">
        <is>
          <t>2001</t>
        </is>
      </c>
      <c r="O147" t="inlineStr">
        <is>
          <t>eng</t>
        </is>
      </c>
      <c r="P147" t="inlineStr">
        <is>
          <t>ctu</t>
        </is>
      </c>
      <c r="R147" t="inlineStr">
        <is>
          <t xml:space="preserve">LA </t>
        </is>
      </c>
      <c r="S147" t="n">
        <v>1</v>
      </c>
      <c r="T147" t="n">
        <v>1</v>
      </c>
      <c r="U147" t="inlineStr">
        <is>
          <t>2001-08-21</t>
        </is>
      </c>
      <c r="V147" t="inlineStr">
        <is>
          <t>2001-08-21</t>
        </is>
      </c>
      <c r="W147" t="inlineStr">
        <is>
          <t>2001-08-21</t>
        </is>
      </c>
      <c r="X147" t="inlineStr">
        <is>
          <t>2001-08-21</t>
        </is>
      </c>
      <c r="Y147" t="n">
        <v>368</v>
      </c>
      <c r="Z147" t="n">
        <v>338</v>
      </c>
      <c r="AA147" t="n">
        <v>1200</v>
      </c>
      <c r="AB147" t="n">
        <v>2</v>
      </c>
      <c r="AC147" t="n">
        <v>29</v>
      </c>
      <c r="AD147" t="n">
        <v>17</v>
      </c>
      <c r="AE147" t="n">
        <v>41</v>
      </c>
      <c r="AF147" t="n">
        <v>6</v>
      </c>
      <c r="AG147" t="n">
        <v>14</v>
      </c>
      <c r="AH147" t="n">
        <v>4</v>
      </c>
      <c r="AI147" t="n">
        <v>6</v>
      </c>
      <c r="AJ147" t="n">
        <v>10</v>
      </c>
      <c r="AK147" t="n">
        <v>15</v>
      </c>
      <c r="AL147" t="n">
        <v>1</v>
      </c>
      <c r="AM147" t="n">
        <v>14</v>
      </c>
      <c r="AN147" t="n">
        <v>0</v>
      </c>
      <c r="AO147" t="n">
        <v>0</v>
      </c>
      <c r="AP147" t="inlineStr">
        <is>
          <t>No</t>
        </is>
      </c>
      <c r="AQ147" t="inlineStr">
        <is>
          <t>Yes</t>
        </is>
      </c>
      <c r="AR147">
        <f>HYPERLINK("http://catalog.hathitrust.org/Record/004173817","HathiTrust Record")</f>
        <v/>
      </c>
      <c r="AS147">
        <f>HYPERLINK("https://creighton-primo.hosted.exlibrisgroup.com/primo-explore/search?tab=default_tab&amp;search_scope=EVERYTHING&amp;vid=01CRU&amp;lang=en_US&amp;offset=0&amp;query=any,contains,991003574379702656","Catalog Record")</f>
        <v/>
      </c>
      <c r="AT147">
        <f>HYPERLINK("http://www.worldcat.org/oclc/44860932","WorldCat Record")</f>
        <v/>
      </c>
      <c r="AU147" t="inlineStr">
        <is>
          <t>800159879:eng</t>
        </is>
      </c>
      <c r="AV147" t="inlineStr">
        <is>
          <t>44860932</t>
        </is>
      </c>
      <c r="AW147" t="inlineStr">
        <is>
          <t>991003574379702656</t>
        </is>
      </c>
      <c r="AX147" t="inlineStr">
        <is>
          <t>991003574379702656</t>
        </is>
      </c>
      <c r="AY147" t="inlineStr">
        <is>
          <t>2255691520002656</t>
        </is>
      </c>
      <c r="AZ147" t="inlineStr">
        <is>
          <t>BOOK</t>
        </is>
      </c>
      <c r="BB147" t="inlineStr">
        <is>
          <t>9780275972080</t>
        </is>
      </c>
      <c r="BC147" t="inlineStr">
        <is>
          <t>32285004378773</t>
        </is>
      </c>
      <c r="BD147" t="inlineStr">
        <is>
          <t>893686673</t>
        </is>
      </c>
    </row>
    <row r="148">
      <c r="A148" t="inlineStr">
        <is>
          <t>No</t>
        </is>
      </c>
      <c r="B148" t="inlineStr">
        <is>
          <t>LA229 .E72</t>
        </is>
      </c>
      <c r="C148" t="inlineStr">
        <is>
          <t>0                      LA 0229000E  72</t>
        </is>
      </c>
      <c r="D148" t="inlineStr">
        <is>
          <t>Radicals in the university / Edward E. Ericson, Jr.</t>
        </is>
      </c>
      <c r="F148" t="inlineStr">
        <is>
          <t>No</t>
        </is>
      </c>
      <c r="G148" t="inlineStr">
        <is>
          <t>1</t>
        </is>
      </c>
      <c r="H148" t="inlineStr">
        <is>
          <t>No</t>
        </is>
      </c>
      <c r="I148" t="inlineStr">
        <is>
          <t>No</t>
        </is>
      </c>
      <c r="J148" t="inlineStr">
        <is>
          <t>0</t>
        </is>
      </c>
      <c r="K148" t="inlineStr">
        <is>
          <t>Ericson, Edward E.</t>
        </is>
      </c>
      <c r="L148" t="inlineStr">
        <is>
          <t>Stanford, Calif. : Hoover Institution Press, c1975.</t>
        </is>
      </c>
      <c r="M148" t="inlineStr">
        <is>
          <t>1975</t>
        </is>
      </c>
      <c r="O148" t="inlineStr">
        <is>
          <t>eng</t>
        </is>
      </c>
      <c r="P148" t="inlineStr">
        <is>
          <t>cau</t>
        </is>
      </c>
      <c r="Q148" t="inlineStr">
        <is>
          <t>Hoover Institution publications ; 144</t>
        </is>
      </c>
      <c r="R148" t="inlineStr">
        <is>
          <t xml:space="preserve">LA </t>
        </is>
      </c>
      <c r="S148" t="n">
        <v>1</v>
      </c>
      <c r="T148" t="n">
        <v>1</v>
      </c>
      <c r="U148" t="inlineStr">
        <is>
          <t>2004-12-12</t>
        </is>
      </c>
      <c r="V148" t="inlineStr">
        <is>
          <t>2004-12-12</t>
        </is>
      </c>
      <c r="W148" t="inlineStr">
        <is>
          <t>1997-04-23</t>
        </is>
      </c>
      <c r="X148" t="inlineStr">
        <is>
          <t>1997-04-23</t>
        </is>
      </c>
      <c r="Y148" t="n">
        <v>445</v>
      </c>
      <c r="Z148" t="n">
        <v>369</v>
      </c>
      <c r="AA148" t="n">
        <v>375</v>
      </c>
      <c r="AB148" t="n">
        <v>4</v>
      </c>
      <c r="AC148" t="n">
        <v>4</v>
      </c>
      <c r="AD148" t="n">
        <v>24</v>
      </c>
      <c r="AE148" t="n">
        <v>24</v>
      </c>
      <c r="AF148" t="n">
        <v>8</v>
      </c>
      <c r="AG148" t="n">
        <v>8</v>
      </c>
      <c r="AH148" t="n">
        <v>5</v>
      </c>
      <c r="AI148" t="n">
        <v>5</v>
      </c>
      <c r="AJ148" t="n">
        <v>13</v>
      </c>
      <c r="AK148" t="n">
        <v>13</v>
      </c>
      <c r="AL148" t="n">
        <v>3</v>
      </c>
      <c r="AM148" t="n">
        <v>3</v>
      </c>
      <c r="AN148" t="n">
        <v>0</v>
      </c>
      <c r="AO148" t="n">
        <v>0</v>
      </c>
      <c r="AP148" t="inlineStr">
        <is>
          <t>No</t>
        </is>
      </c>
      <c r="AQ148" t="inlineStr">
        <is>
          <t>Yes</t>
        </is>
      </c>
      <c r="AR148">
        <f>HYPERLINK("http://catalog.hathitrust.org/Record/000695596","HathiTrust Record")</f>
        <v/>
      </c>
      <c r="AS148">
        <f>HYPERLINK("https://creighton-primo.hosted.exlibrisgroup.com/primo-explore/search?tab=default_tab&amp;search_scope=EVERYTHING&amp;vid=01CRU&amp;lang=en_US&amp;offset=0&amp;query=any,contains,991003972209702656","Catalog Record")</f>
        <v/>
      </c>
      <c r="AT148">
        <f>HYPERLINK("http://www.worldcat.org/oclc/1993081","WorldCat Record")</f>
        <v/>
      </c>
      <c r="AU148" t="inlineStr">
        <is>
          <t>482262:eng</t>
        </is>
      </c>
      <c r="AV148" t="inlineStr">
        <is>
          <t>1993081</t>
        </is>
      </c>
      <c r="AW148" t="inlineStr">
        <is>
          <t>991003972209702656</t>
        </is>
      </c>
      <c r="AX148" t="inlineStr">
        <is>
          <t>991003972209702656</t>
        </is>
      </c>
      <c r="AY148" t="inlineStr">
        <is>
          <t>2263141420002656</t>
        </is>
      </c>
      <c r="AZ148" t="inlineStr">
        <is>
          <t>BOOK</t>
        </is>
      </c>
      <c r="BB148" t="inlineStr">
        <is>
          <t>9780817964412</t>
        </is>
      </c>
      <c r="BC148" t="inlineStr">
        <is>
          <t>32285002596764</t>
        </is>
      </c>
      <c r="BD148" t="inlineStr">
        <is>
          <t>893506211</t>
        </is>
      </c>
    </row>
    <row r="149">
      <c r="A149" t="inlineStr">
        <is>
          <t>No</t>
        </is>
      </c>
      <c r="B149" t="inlineStr">
        <is>
          <t>LA229 .F36 1990</t>
        </is>
      </c>
      <c r="C149" t="inlineStr">
        <is>
          <t>0                      LA 0229000F  36          1990</t>
        </is>
      </c>
      <c r="D149" t="inlineStr">
        <is>
          <t>Hanging in and dropping out : voices of at-risk high school students / Edwin Farrell.</t>
        </is>
      </c>
      <c r="F149" t="inlineStr">
        <is>
          <t>No</t>
        </is>
      </c>
      <c r="G149" t="inlineStr">
        <is>
          <t>1</t>
        </is>
      </c>
      <c r="H149" t="inlineStr">
        <is>
          <t>No</t>
        </is>
      </c>
      <c r="I149" t="inlineStr">
        <is>
          <t>No</t>
        </is>
      </c>
      <c r="J149" t="inlineStr">
        <is>
          <t>0</t>
        </is>
      </c>
      <c r="K149" t="inlineStr">
        <is>
          <t>Farrell, Edwin William.</t>
        </is>
      </c>
      <c r="L149" t="inlineStr">
        <is>
          <t>New York : Teachers College Press, c1990.</t>
        </is>
      </c>
      <c r="M149" t="inlineStr">
        <is>
          <t>1990</t>
        </is>
      </c>
      <c r="O149" t="inlineStr">
        <is>
          <t>eng</t>
        </is>
      </c>
      <c r="P149" t="inlineStr">
        <is>
          <t>nyu</t>
        </is>
      </c>
      <c r="R149" t="inlineStr">
        <is>
          <t xml:space="preserve">LA </t>
        </is>
      </c>
      <c r="S149" t="n">
        <v>4</v>
      </c>
      <c r="T149" t="n">
        <v>4</v>
      </c>
      <c r="U149" t="inlineStr">
        <is>
          <t>2010-04-18</t>
        </is>
      </c>
      <c r="V149" t="inlineStr">
        <is>
          <t>2010-04-18</t>
        </is>
      </c>
      <c r="W149" t="inlineStr">
        <is>
          <t>1991-01-04</t>
        </is>
      </c>
      <c r="X149" t="inlineStr">
        <is>
          <t>1991-01-04</t>
        </is>
      </c>
      <c r="Y149" t="n">
        <v>771</v>
      </c>
      <c r="Z149" t="n">
        <v>713</v>
      </c>
      <c r="AA149" t="n">
        <v>719</v>
      </c>
      <c r="AB149" t="n">
        <v>6</v>
      </c>
      <c r="AC149" t="n">
        <v>6</v>
      </c>
      <c r="AD149" t="n">
        <v>30</v>
      </c>
      <c r="AE149" t="n">
        <v>30</v>
      </c>
      <c r="AF149" t="n">
        <v>13</v>
      </c>
      <c r="AG149" t="n">
        <v>13</v>
      </c>
      <c r="AH149" t="n">
        <v>5</v>
      </c>
      <c r="AI149" t="n">
        <v>5</v>
      </c>
      <c r="AJ149" t="n">
        <v>15</v>
      </c>
      <c r="AK149" t="n">
        <v>15</v>
      </c>
      <c r="AL149" t="n">
        <v>5</v>
      </c>
      <c r="AM149" t="n">
        <v>5</v>
      </c>
      <c r="AN149" t="n">
        <v>0</v>
      </c>
      <c r="AO149" t="n">
        <v>0</v>
      </c>
      <c r="AP149" t="inlineStr">
        <is>
          <t>No</t>
        </is>
      </c>
      <c r="AQ149" t="inlineStr">
        <is>
          <t>No</t>
        </is>
      </c>
      <c r="AS149">
        <f>HYPERLINK("https://creighton-primo.hosted.exlibrisgroup.com/primo-explore/search?tab=default_tab&amp;search_scope=EVERYTHING&amp;vid=01CRU&amp;lang=en_US&amp;offset=0&amp;query=any,contains,991001592479702656","Catalog Record")</f>
        <v/>
      </c>
      <c r="AT149">
        <f>HYPERLINK("http://www.worldcat.org/oclc/20594015","WorldCat Record")</f>
        <v/>
      </c>
      <c r="AU149" t="inlineStr">
        <is>
          <t>198843146:eng</t>
        </is>
      </c>
      <c r="AV149" t="inlineStr">
        <is>
          <t>20594015</t>
        </is>
      </c>
      <c r="AW149" t="inlineStr">
        <is>
          <t>991001592479702656</t>
        </is>
      </c>
      <c r="AX149" t="inlineStr">
        <is>
          <t>991001592479702656</t>
        </is>
      </c>
      <c r="AY149" t="inlineStr">
        <is>
          <t>2267513840002656</t>
        </is>
      </c>
      <c r="AZ149" t="inlineStr">
        <is>
          <t>BOOK</t>
        </is>
      </c>
      <c r="BB149" t="inlineStr">
        <is>
          <t>9780807730034</t>
        </is>
      </c>
      <c r="BC149" t="inlineStr">
        <is>
          <t>32285000407576</t>
        </is>
      </c>
      <c r="BD149" t="inlineStr">
        <is>
          <t>893238194</t>
        </is>
      </c>
    </row>
    <row r="150">
      <c r="A150" t="inlineStr">
        <is>
          <t>No</t>
        </is>
      </c>
      <c r="B150" t="inlineStr">
        <is>
          <t>LA229 .F63</t>
        </is>
      </c>
      <c r="C150" t="inlineStr">
        <is>
          <t>0                      LA 0229000F  63</t>
        </is>
      </c>
      <c r="D150" t="inlineStr">
        <is>
          <t>Protest! : student activism in America / edited by Julian Foster and Durward Long.</t>
        </is>
      </c>
      <c r="F150" t="inlineStr">
        <is>
          <t>No</t>
        </is>
      </c>
      <c r="G150" t="inlineStr">
        <is>
          <t>1</t>
        </is>
      </c>
      <c r="H150" t="inlineStr">
        <is>
          <t>No</t>
        </is>
      </c>
      <c r="I150" t="inlineStr">
        <is>
          <t>No</t>
        </is>
      </c>
      <c r="J150" t="inlineStr">
        <is>
          <t>0</t>
        </is>
      </c>
      <c r="K150" t="inlineStr">
        <is>
          <t>Foster, Julian, 1926-</t>
        </is>
      </c>
      <c r="L150" t="inlineStr">
        <is>
          <t>New York : Morrow, [1969, c1970]</t>
        </is>
      </c>
      <c r="M150" t="inlineStr">
        <is>
          <t>1969</t>
        </is>
      </c>
      <c r="O150" t="inlineStr">
        <is>
          <t>eng</t>
        </is>
      </c>
      <c r="P150" t="inlineStr">
        <is>
          <t>nyu</t>
        </is>
      </c>
      <c r="R150" t="inlineStr">
        <is>
          <t xml:space="preserve">LA </t>
        </is>
      </c>
      <c r="S150" t="n">
        <v>5</v>
      </c>
      <c r="T150" t="n">
        <v>5</v>
      </c>
      <c r="U150" t="inlineStr">
        <is>
          <t>2004-12-12</t>
        </is>
      </c>
      <c r="V150" t="inlineStr">
        <is>
          <t>2004-12-12</t>
        </is>
      </c>
      <c r="W150" t="inlineStr">
        <is>
          <t>1990-02-23</t>
        </is>
      </c>
      <c r="X150" t="inlineStr">
        <is>
          <t>1990-02-23</t>
        </is>
      </c>
      <c r="Y150" t="n">
        <v>770</v>
      </c>
      <c r="Z150" t="n">
        <v>718</v>
      </c>
      <c r="AA150" t="n">
        <v>735</v>
      </c>
      <c r="AB150" t="n">
        <v>5</v>
      </c>
      <c r="AC150" t="n">
        <v>5</v>
      </c>
      <c r="AD150" t="n">
        <v>30</v>
      </c>
      <c r="AE150" t="n">
        <v>30</v>
      </c>
      <c r="AF150" t="n">
        <v>11</v>
      </c>
      <c r="AG150" t="n">
        <v>11</v>
      </c>
      <c r="AH150" t="n">
        <v>6</v>
      </c>
      <c r="AI150" t="n">
        <v>6</v>
      </c>
      <c r="AJ150" t="n">
        <v>14</v>
      </c>
      <c r="AK150" t="n">
        <v>14</v>
      </c>
      <c r="AL150" t="n">
        <v>4</v>
      </c>
      <c r="AM150" t="n">
        <v>4</v>
      </c>
      <c r="AN150" t="n">
        <v>1</v>
      </c>
      <c r="AO150" t="n">
        <v>1</v>
      </c>
      <c r="AP150" t="inlineStr">
        <is>
          <t>No</t>
        </is>
      </c>
      <c r="AQ150" t="inlineStr">
        <is>
          <t>Yes</t>
        </is>
      </c>
      <c r="AR150">
        <f>HYPERLINK("http://catalog.hathitrust.org/Record/001117241","HathiTrust Record")</f>
        <v/>
      </c>
      <c r="AS150">
        <f>HYPERLINK("https://creighton-primo.hosted.exlibrisgroup.com/primo-explore/search?tab=default_tab&amp;search_scope=EVERYTHING&amp;vid=01CRU&amp;lang=en_US&amp;offset=0&amp;query=any,contains,991000129869702656","Catalog Record")</f>
        <v/>
      </c>
      <c r="AT150">
        <f>HYPERLINK("http://www.worldcat.org/oclc/53691","WorldCat Record")</f>
        <v/>
      </c>
      <c r="AU150" t="inlineStr">
        <is>
          <t>1179198:eng</t>
        </is>
      </c>
      <c r="AV150" t="inlineStr">
        <is>
          <t>53691</t>
        </is>
      </c>
      <c r="AW150" t="inlineStr">
        <is>
          <t>991000129869702656</t>
        </is>
      </c>
      <c r="AX150" t="inlineStr">
        <is>
          <t>991000129869702656</t>
        </is>
      </c>
      <c r="AY150" t="inlineStr">
        <is>
          <t>2257427250002656</t>
        </is>
      </c>
      <c r="AZ150" t="inlineStr">
        <is>
          <t>BOOK</t>
        </is>
      </c>
      <c r="BC150" t="inlineStr">
        <is>
          <t>32285000061019</t>
        </is>
      </c>
      <c r="BD150" t="inlineStr">
        <is>
          <t>893327050</t>
        </is>
      </c>
    </row>
    <row r="151">
      <c r="A151" t="inlineStr">
        <is>
          <t>No</t>
        </is>
      </c>
      <c r="B151" t="inlineStr">
        <is>
          <t>LA229 .G27 1998</t>
        </is>
      </c>
      <c r="C151" t="inlineStr">
        <is>
          <t>0                      LA 0229000G  27          1998</t>
        </is>
      </c>
      <c r="D151" t="inlineStr">
        <is>
          <t>The senior year experience : facilitating integration, reflection, closure, and transition / John N. Gardner, Gretchen Van der Veer, and associates.</t>
        </is>
      </c>
      <c r="F151" t="inlineStr">
        <is>
          <t>No</t>
        </is>
      </c>
      <c r="G151" t="inlineStr">
        <is>
          <t>1</t>
        </is>
      </c>
      <c r="H151" t="inlineStr">
        <is>
          <t>No</t>
        </is>
      </c>
      <c r="I151" t="inlineStr">
        <is>
          <t>No</t>
        </is>
      </c>
      <c r="J151" t="inlineStr">
        <is>
          <t>0</t>
        </is>
      </c>
      <c r="K151" t="inlineStr">
        <is>
          <t>Gardner, John N.</t>
        </is>
      </c>
      <c r="L151" t="inlineStr">
        <is>
          <t>San Francisco : Jossey-Bass Publishers, c1998.</t>
        </is>
      </c>
      <c r="M151" t="inlineStr">
        <is>
          <t>1998</t>
        </is>
      </c>
      <c r="N151" t="inlineStr">
        <is>
          <t>1st ed.</t>
        </is>
      </c>
      <c r="O151" t="inlineStr">
        <is>
          <t>eng</t>
        </is>
      </c>
      <c r="P151" t="inlineStr">
        <is>
          <t>cau</t>
        </is>
      </c>
      <c r="Q151" t="inlineStr">
        <is>
          <t>The Jossey-Bass higher and adult education series</t>
        </is>
      </c>
      <c r="R151" t="inlineStr">
        <is>
          <t xml:space="preserve">LA </t>
        </is>
      </c>
      <c r="S151" t="n">
        <v>8</v>
      </c>
      <c r="T151" t="n">
        <v>8</v>
      </c>
      <c r="U151" t="inlineStr">
        <is>
          <t>2009-09-09</t>
        </is>
      </c>
      <c r="V151" t="inlineStr">
        <is>
          <t>2009-09-09</t>
        </is>
      </c>
      <c r="W151" t="inlineStr">
        <is>
          <t>1999-04-08</t>
        </is>
      </c>
      <c r="X151" t="inlineStr">
        <is>
          <t>1999-04-08</t>
        </is>
      </c>
      <c r="Y151" t="n">
        <v>524</v>
      </c>
      <c r="Z151" t="n">
        <v>472</v>
      </c>
      <c r="AA151" t="n">
        <v>479</v>
      </c>
      <c r="AB151" t="n">
        <v>4</v>
      </c>
      <c r="AC151" t="n">
        <v>4</v>
      </c>
      <c r="AD151" t="n">
        <v>30</v>
      </c>
      <c r="AE151" t="n">
        <v>30</v>
      </c>
      <c r="AF151" t="n">
        <v>14</v>
      </c>
      <c r="AG151" t="n">
        <v>14</v>
      </c>
      <c r="AH151" t="n">
        <v>8</v>
      </c>
      <c r="AI151" t="n">
        <v>8</v>
      </c>
      <c r="AJ151" t="n">
        <v>16</v>
      </c>
      <c r="AK151" t="n">
        <v>16</v>
      </c>
      <c r="AL151" t="n">
        <v>3</v>
      </c>
      <c r="AM151" t="n">
        <v>3</v>
      </c>
      <c r="AN151" t="n">
        <v>0</v>
      </c>
      <c r="AO151" t="n">
        <v>0</v>
      </c>
      <c r="AP151" t="inlineStr">
        <is>
          <t>No</t>
        </is>
      </c>
      <c r="AQ151" t="inlineStr">
        <is>
          <t>Yes</t>
        </is>
      </c>
      <c r="AR151">
        <f>HYPERLINK("http://catalog.hathitrust.org/Record/003950783","HathiTrust Record")</f>
        <v/>
      </c>
      <c r="AS151">
        <f>HYPERLINK("https://creighton-primo.hosted.exlibrisgroup.com/primo-explore/search?tab=default_tab&amp;search_scope=EVERYTHING&amp;vid=01CRU&amp;lang=en_US&amp;offset=0&amp;query=any,contains,991002801589702656","Catalog Record")</f>
        <v/>
      </c>
      <c r="AT151">
        <f>HYPERLINK("http://www.worldcat.org/oclc/36800670","WorldCat Record")</f>
        <v/>
      </c>
      <c r="AU151" t="inlineStr">
        <is>
          <t>1808758601:eng</t>
        </is>
      </c>
      <c r="AV151" t="inlineStr">
        <is>
          <t>36800670</t>
        </is>
      </c>
      <c r="AW151" t="inlineStr">
        <is>
          <t>991002801589702656</t>
        </is>
      </c>
      <c r="AX151" t="inlineStr">
        <is>
          <t>991002801589702656</t>
        </is>
      </c>
      <c r="AY151" t="inlineStr">
        <is>
          <t>2256467800002656</t>
        </is>
      </c>
      <c r="AZ151" t="inlineStr">
        <is>
          <t>BOOK</t>
        </is>
      </c>
      <c r="BB151" t="inlineStr">
        <is>
          <t>9780787909277</t>
        </is>
      </c>
      <c r="BC151" t="inlineStr">
        <is>
          <t>32285003550372</t>
        </is>
      </c>
      <c r="BD151" t="inlineStr">
        <is>
          <t>893335732</t>
        </is>
      </c>
    </row>
    <row r="152">
      <c r="A152" t="inlineStr">
        <is>
          <t>No</t>
        </is>
      </c>
      <c r="B152" t="inlineStr">
        <is>
          <t>LA229 .H39 2001</t>
        </is>
      </c>
      <c r="C152" t="inlineStr">
        <is>
          <t>0                      LA 0229000H  39          2001</t>
        </is>
      </c>
      <c r="D152" t="inlineStr">
        <is>
          <t>Put your bodies upon the wheels : student revolt in the 1960s / Kenneth J. Heineman.</t>
        </is>
      </c>
      <c r="F152" t="inlineStr">
        <is>
          <t>No</t>
        </is>
      </c>
      <c r="G152" t="inlineStr">
        <is>
          <t>1</t>
        </is>
      </c>
      <c r="H152" t="inlineStr">
        <is>
          <t>No</t>
        </is>
      </c>
      <c r="I152" t="inlineStr">
        <is>
          <t>No</t>
        </is>
      </c>
      <c r="J152" t="inlineStr">
        <is>
          <t>0</t>
        </is>
      </c>
      <c r="K152" t="inlineStr">
        <is>
          <t>Heineman, Kenneth J., 1962-</t>
        </is>
      </c>
      <c r="L152" t="inlineStr">
        <is>
          <t>Chicago : I.R. Dee, c2001.</t>
        </is>
      </c>
      <c r="M152" t="inlineStr">
        <is>
          <t>2001</t>
        </is>
      </c>
      <c r="O152" t="inlineStr">
        <is>
          <t>eng</t>
        </is>
      </c>
      <c r="P152" t="inlineStr">
        <is>
          <t>ilu</t>
        </is>
      </c>
      <c r="Q152" t="inlineStr">
        <is>
          <t>The American ways series</t>
        </is>
      </c>
      <c r="R152" t="inlineStr">
        <is>
          <t xml:space="preserve">LA </t>
        </is>
      </c>
      <c r="S152" t="n">
        <v>2</v>
      </c>
      <c r="T152" t="n">
        <v>2</v>
      </c>
      <c r="U152" t="inlineStr">
        <is>
          <t>2004-12-12</t>
        </is>
      </c>
      <c r="V152" t="inlineStr">
        <is>
          <t>2004-12-12</t>
        </is>
      </c>
      <c r="W152" t="inlineStr">
        <is>
          <t>2001-08-07</t>
        </is>
      </c>
      <c r="X152" t="inlineStr">
        <is>
          <t>2001-08-07</t>
        </is>
      </c>
      <c r="Y152" t="n">
        <v>605</v>
      </c>
      <c r="Z152" t="n">
        <v>550</v>
      </c>
      <c r="AA152" t="n">
        <v>557</v>
      </c>
      <c r="AB152" t="n">
        <v>3</v>
      </c>
      <c r="AC152" t="n">
        <v>3</v>
      </c>
      <c r="AD152" t="n">
        <v>20</v>
      </c>
      <c r="AE152" t="n">
        <v>20</v>
      </c>
      <c r="AF152" t="n">
        <v>8</v>
      </c>
      <c r="AG152" t="n">
        <v>8</v>
      </c>
      <c r="AH152" t="n">
        <v>4</v>
      </c>
      <c r="AI152" t="n">
        <v>4</v>
      </c>
      <c r="AJ152" t="n">
        <v>11</v>
      </c>
      <c r="AK152" t="n">
        <v>11</v>
      </c>
      <c r="AL152" t="n">
        <v>2</v>
      </c>
      <c r="AM152" t="n">
        <v>2</v>
      </c>
      <c r="AN152" t="n">
        <v>0</v>
      </c>
      <c r="AO152" t="n">
        <v>0</v>
      </c>
      <c r="AP152" t="inlineStr">
        <is>
          <t>No</t>
        </is>
      </c>
      <c r="AQ152" t="inlineStr">
        <is>
          <t>Yes</t>
        </is>
      </c>
      <c r="AR152">
        <f>HYPERLINK("http://catalog.hathitrust.org/Record/004169812","HathiTrust Record")</f>
        <v/>
      </c>
      <c r="AS152">
        <f>HYPERLINK("https://creighton-primo.hosted.exlibrisgroup.com/primo-explore/search?tab=default_tab&amp;search_scope=EVERYTHING&amp;vid=01CRU&amp;lang=en_US&amp;offset=0&amp;query=any,contains,991003597089702656","Catalog Record")</f>
        <v/>
      </c>
      <c r="AT152">
        <f>HYPERLINK("http://www.worldcat.org/oclc/45093795","WorldCat Record")</f>
        <v/>
      </c>
      <c r="AU152" t="inlineStr">
        <is>
          <t>904525802:eng</t>
        </is>
      </c>
      <c r="AV152" t="inlineStr">
        <is>
          <t>45093795</t>
        </is>
      </c>
      <c r="AW152" t="inlineStr">
        <is>
          <t>991003597089702656</t>
        </is>
      </c>
      <c r="AX152" t="inlineStr">
        <is>
          <t>991003597089702656</t>
        </is>
      </c>
      <c r="AY152" t="inlineStr">
        <is>
          <t>2260713870002656</t>
        </is>
      </c>
      <c r="AZ152" t="inlineStr">
        <is>
          <t>BOOK</t>
        </is>
      </c>
      <c r="BB152" t="inlineStr">
        <is>
          <t>9781566633512</t>
        </is>
      </c>
      <c r="BC152" t="inlineStr">
        <is>
          <t>32285004376108</t>
        </is>
      </c>
      <c r="BD152" t="inlineStr">
        <is>
          <t>893336684</t>
        </is>
      </c>
    </row>
    <row r="153">
      <c r="A153" t="inlineStr">
        <is>
          <t>No</t>
        </is>
      </c>
      <c r="B153" t="inlineStr">
        <is>
          <t>LA229 .U47</t>
        </is>
      </c>
      <c r="C153" t="inlineStr">
        <is>
          <t>0                      LA 0229000U  47</t>
        </is>
      </c>
      <c r="D153" t="inlineStr">
        <is>
          <t>The movement : a history of the American New Left, 1959-1972 / by Irwin Unger. With the assistance of Debi Unger.</t>
        </is>
      </c>
      <c r="F153" t="inlineStr">
        <is>
          <t>No</t>
        </is>
      </c>
      <c r="G153" t="inlineStr">
        <is>
          <t>1</t>
        </is>
      </c>
      <c r="H153" t="inlineStr">
        <is>
          <t>No</t>
        </is>
      </c>
      <c r="I153" t="inlineStr">
        <is>
          <t>No</t>
        </is>
      </c>
      <c r="J153" t="inlineStr">
        <is>
          <t>0</t>
        </is>
      </c>
      <c r="K153" t="inlineStr">
        <is>
          <t>Unger, Irwin.</t>
        </is>
      </c>
      <c r="L153" t="inlineStr">
        <is>
          <t>New York : Dodd, Mead, 1974.</t>
        </is>
      </c>
      <c r="M153" t="inlineStr">
        <is>
          <t>1974</t>
        </is>
      </c>
      <c r="O153" t="inlineStr">
        <is>
          <t>eng</t>
        </is>
      </c>
      <c r="P153" t="inlineStr">
        <is>
          <t>nyu</t>
        </is>
      </c>
      <c r="R153" t="inlineStr">
        <is>
          <t xml:space="preserve">LA </t>
        </is>
      </c>
      <c r="S153" t="n">
        <v>1</v>
      </c>
      <c r="T153" t="n">
        <v>1</v>
      </c>
      <c r="U153" t="inlineStr">
        <is>
          <t>2003-04-29</t>
        </is>
      </c>
      <c r="V153" t="inlineStr">
        <is>
          <t>2003-04-29</t>
        </is>
      </c>
      <c r="W153" t="inlineStr">
        <is>
          <t>1990-10-15</t>
        </is>
      </c>
      <c r="X153" t="inlineStr">
        <is>
          <t>1990-10-15</t>
        </is>
      </c>
      <c r="Y153" t="n">
        <v>724</v>
      </c>
      <c r="Z153" t="n">
        <v>639</v>
      </c>
      <c r="AA153" t="n">
        <v>796</v>
      </c>
      <c r="AB153" t="n">
        <v>2</v>
      </c>
      <c r="AC153" t="n">
        <v>5</v>
      </c>
      <c r="AD153" t="n">
        <v>22</v>
      </c>
      <c r="AE153" t="n">
        <v>33</v>
      </c>
      <c r="AF153" t="n">
        <v>11</v>
      </c>
      <c r="AG153" t="n">
        <v>14</v>
      </c>
      <c r="AH153" t="n">
        <v>7</v>
      </c>
      <c r="AI153" t="n">
        <v>8</v>
      </c>
      <c r="AJ153" t="n">
        <v>10</v>
      </c>
      <c r="AK153" t="n">
        <v>14</v>
      </c>
      <c r="AL153" t="n">
        <v>1</v>
      </c>
      <c r="AM153" t="n">
        <v>4</v>
      </c>
      <c r="AN153" t="n">
        <v>0</v>
      </c>
      <c r="AO153" t="n">
        <v>2</v>
      </c>
      <c r="AP153" t="inlineStr">
        <is>
          <t>No</t>
        </is>
      </c>
      <c r="AQ153" t="inlineStr">
        <is>
          <t>Yes</t>
        </is>
      </c>
      <c r="AR153">
        <f>HYPERLINK("http://catalog.hathitrust.org/Record/001064800","HathiTrust Record")</f>
        <v/>
      </c>
      <c r="AS153">
        <f>HYPERLINK("https://creighton-primo.hosted.exlibrisgroup.com/primo-explore/search?tab=default_tab&amp;search_scope=EVERYTHING&amp;vid=01CRU&amp;lang=en_US&amp;offset=0&amp;query=any,contains,991003435579702656","Catalog Record")</f>
        <v/>
      </c>
      <c r="AT153">
        <f>HYPERLINK("http://www.worldcat.org/oclc/970940","WorldCat Record")</f>
        <v/>
      </c>
      <c r="AU153" t="inlineStr">
        <is>
          <t>1928595:eng</t>
        </is>
      </c>
      <c r="AV153" t="inlineStr">
        <is>
          <t>970940</t>
        </is>
      </c>
      <c r="AW153" t="inlineStr">
        <is>
          <t>991003435579702656</t>
        </is>
      </c>
      <c r="AX153" t="inlineStr">
        <is>
          <t>991003435579702656</t>
        </is>
      </c>
      <c r="AY153" t="inlineStr">
        <is>
          <t>2257026350002656</t>
        </is>
      </c>
      <c r="AZ153" t="inlineStr">
        <is>
          <t>BOOK</t>
        </is>
      </c>
      <c r="BB153" t="inlineStr">
        <is>
          <t>9780396069409</t>
        </is>
      </c>
      <c r="BC153" t="inlineStr">
        <is>
          <t>32285000347384</t>
        </is>
      </c>
      <c r="BD153" t="inlineStr">
        <is>
          <t>893524807</t>
        </is>
      </c>
    </row>
    <row r="154">
      <c r="A154" t="inlineStr">
        <is>
          <t>No</t>
        </is>
      </c>
      <c r="B154" t="inlineStr">
        <is>
          <t>LA230.5.S6 E38</t>
        </is>
      </c>
      <c r="C154" t="inlineStr">
        <is>
          <t>0                      LA 0230500S  6                  E  38</t>
        </is>
      </c>
      <c r="D154" t="inlineStr">
        <is>
          <t>Education and the rise of the new South / edited by Ronald K. Goodenow and Arthur O. White.</t>
        </is>
      </c>
      <c r="F154" t="inlineStr">
        <is>
          <t>No</t>
        </is>
      </c>
      <c r="G154" t="inlineStr">
        <is>
          <t>1</t>
        </is>
      </c>
      <c r="H154" t="inlineStr">
        <is>
          <t>No</t>
        </is>
      </c>
      <c r="I154" t="inlineStr">
        <is>
          <t>No</t>
        </is>
      </c>
      <c r="J154" t="inlineStr">
        <is>
          <t>0</t>
        </is>
      </c>
      <c r="L154" t="inlineStr">
        <is>
          <t>Boston, Mass. : G.K. Hall, 1981.</t>
        </is>
      </c>
      <c r="M154" t="inlineStr">
        <is>
          <t>1981</t>
        </is>
      </c>
      <c r="O154" t="inlineStr">
        <is>
          <t>eng</t>
        </is>
      </c>
      <c r="P154" t="inlineStr">
        <is>
          <t>mau</t>
        </is>
      </c>
      <c r="R154" t="inlineStr">
        <is>
          <t xml:space="preserve">LA </t>
        </is>
      </c>
      <c r="S154" t="n">
        <v>9</v>
      </c>
      <c r="T154" t="n">
        <v>9</v>
      </c>
      <c r="U154" t="inlineStr">
        <is>
          <t>2003-05-01</t>
        </is>
      </c>
      <c r="V154" t="inlineStr">
        <is>
          <t>2003-05-01</t>
        </is>
      </c>
      <c r="W154" t="inlineStr">
        <is>
          <t>1992-05-06</t>
        </is>
      </c>
      <c r="X154" t="inlineStr">
        <is>
          <t>1992-05-06</t>
        </is>
      </c>
      <c r="Y154" t="n">
        <v>256</v>
      </c>
      <c r="Z154" t="n">
        <v>231</v>
      </c>
      <c r="AA154" t="n">
        <v>232</v>
      </c>
      <c r="AB154" t="n">
        <v>1</v>
      </c>
      <c r="AC154" t="n">
        <v>1</v>
      </c>
      <c r="AD154" t="n">
        <v>6</v>
      </c>
      <c r="AE154" t="n">
        <v>6</v>
      </c>
      <c r="AF154" t="n">
        <v>2</v>
      </c>
      <c r="AG154" t="n">
        <v>2</v>
      </c>
      <c r="AH154" t="n">
        <v>2</v>
      </c>
      <c r="AI154" t="n">
        <v>2</v>
      </c>
      <c r="AJ154" t="n">
        <v>3</v>
      </c>
      <c r="AK154" t="n">
        <v>3</v>
      </c>
      <c r="AL154" t="n">
        <v>0</v>
      </c>
      <c r="AM154" t="n">
        <v>0</v>
      </c>
      <c r="AN154" t="n">
        <v>0</v>
      </c>
      <c r="AO154" t="n">
        <v>0</v>
      </c>
      <c r="AP154" t="inlineStr">
        <is>
          <t>No</t>
        </is>
      </c>
      <c r="AQ154" t="inlineStr">
        <is>
          <t>Yes</t>
        </is>
      </c>
      <c r="AR154">
        <f>HYPERLINK("http://catalog.hathitrust.org/Record/000098418","HathiTrust Record")</f>
        <v/>
      </c>
      <c r="AS154">
        <f>HYPERLINK("https://creighton-primo.hosted.exlibrisgroup.com/primo-explore/search?tab=default_tab&amp;search_scope=EVERYTHING&amp;vid=01CRU&amp;lang=en_US&amp;offset=0&amp;query=any,contains,991005105589702656","Catalog Record")</f>
        <v/>
      </c>
      <c r="AT154">
        <f>HYPERLINK("http://www.worldcat.org/oclc/7329430","WorldCat Record")</f>
        <v/>
      </c>
      <c r="AU154" t="inlineStr">
        <is>
          <t>42842283:eng</t>
        </is>
      </c>
      <c r="AV154" t="inlineStr">
        <is>
          <t>7329430</t>
        </is>
      </c>
      <c r="AW154" t="inlineStr">
        <is>
          <t>991005105589702656</t>
        </is>
      </c>
      <c r="AX154" t="inlineStr">
        <is>
          <t>991005105589702656</t>
        </is>
      </c>
      <c r="AY154" t="inlineStr">
        <is>
          <t>2271516640002656</t>
        </is>
      </c>
      <c r="AZ154" t="inlineStr">
        <is>
          <t>BOOK</t>
        </is>
      </c>
      <c r="BB154" t="inlineStr">
        <is>
          <t>9780816190195</t>
        </is>
      </c>
      <c r="BC154" t="inlineStr">
        <is>
          <t>32285001120772</t>
        </is>
      </c>
      <c r="BD154" t="inlineStr">
        <is>
          <t>893430851</t>
        </is>
      </c>
    </row>
    <row r="155">
      <c r="A155" t="inlineStr">
        <is>
          <t>No</t>
        </is>
      </c>
      <c r="B155" t="inlineStr">
        <is>
          <t>LA2311 .R36 1985</t>
        </is>
      </c>
      <c r="C155" t="inlineStr">
        <is>
          <t>0                      LA 2311000R  36          1985</t>
        </is>
      </c>
      <c r="D155" t="inlineStr">
        <is>
          <t>The teacher's voice : a sense of who we are / Ray Raphael.</t>
        </is>
      </c>
      <c r="F155" t="inlineStr">
        <is>
          <t>No</t>
        </is>
      </c>
      <c r="G155" t="inlineStr">
        <is>
          <t>1</t>
        </is>
      </c>
      <c r="H155" t="inlineStr">
        <is>
          <t>No</t>
        </is>
      </c>
      <c r="I155" t="inlineStr">
        <is>
          <t>No</t>
        </is>
      </c>
      <c r="J155" t="inlineStr">
        <is>
          <t>0</t>
        </is>
      </c>
      <c r="K155" t="inlineStr">
        <is>
          <t>Raphael, Ray.</t>
        </is>
      </c>
      <c r="L155" t="inlineStr">
        <is>
          <t>Portsmouth, NH : Heinemann, c1985.</t>
        </is>
      </c>
      <c r="M155" t="inlineStr">
        <is>
          <t>1985</t>
        </is>
      </c>
      <c r="N155" t="inlineStr">
        <is>
          <t>1st ed.</t>
        </is>
      </c>
      <c r="O155" t="inlineStr">
        <is>
          <t>eng</t>
        </is>
      </c>
      <c r="P155" t="inlineStr">
        <is>
          <t>nhu</t>
        </is>
      </c>
      <c r="R155" t="inlineStr">
        <is>
          <t xml:space="preserve">LA </t>
        </is>
      </c>
      <c r="S155" t="n">
        <v>6</v>
      </c>
      <c r="T155" t="n">
        <v>6</v>
      </c>
      <c r="U155" t="inlineStr">
        <is>
          <t>2006-02-20</t>
        </is>
      </c>
      <c r="V155" t="inlineStr">
        <is>
          <t>2006-02-20</t>
        </is>
      </c>
      <c r="W155" t="inlineStr">
        <is>
          <t>1992-10-14</t>
        </is>
      </c>
      <c r="X155" t="inlineStr">
        <is>
          <t>1992-10-14</t>
        </is>
      </c>
      <c r="Y155" t="n">
        <v>508</v>
      </c>
      <c r="Z155" t="n">
        <v>480</v>
      </c>
      <c r="AA155" t="n">
        <v>481</v>
      </c>
      <c r="AB155" t="n">
        <v>3</v>
      </c>
      <c r="AC155" t="n">
        <v>3</v>
      </c>
      <c r="AD155" t="n">
        <v>25</v>
      </c>
      <c r="AE155" t="n">
        <v>25</v>
      </c>
      <c r="AF155" t="n">
        <v>13</v>
      </c>
      <c r="AG155" t="n">
        <v>13</v>
      </c>
      <c r="AH155" t="n">
        <v>3</v>
      </c>
      <c r="AI155" t="n">
        <v>3</v>
      </c>
      <c r="AJ155" t="n">
        <v>14</v>
      </c>
      <c r="AK155" t="n">
        <v>14</v>
      </c>
      <c r="AL155" t="n">
        <v>2</v>
      </c>
      <c r="AM155" t="n">
        <v>2</v>
      </c>
      <c r="AN155" t="n">
        <v>0</v>
      </c>
      <c r="AO155" t="n">
        <v>0</v>
      </c>
      <c r="AP155" t="inlineStr">
        <is>
          <t>No</t>
        </is>
      </c>
      <c r="AQ155" t="inlineStr">
        <is>
          <t>No</t>
        </is>
      </c>
      <c r="AS155">
        <f>HYPERLINK("https://creighton-primo.hosted.exlibrisgroup.com/primo-explore/search?tab=default_tab&amp;search_scope=EVERYTHING&amp;vid=01CRU&amp;lang=en_US&amp;offset=0&amp;query=any,contains,991000595409702656","Catalog Record")</f>
        <v/>
      </c>
      <c r="AT155">
        <f>HYPERLINK("http://www.worldcat.org/oclc/11812453","WorldCat Record")</f>
        <v/>
      </c>
      <c r="AU155" t="inlineStr">
        <is>
          <t>4380178:eng</t>
        </is>
      </c>
      <c r="AV155" t="inlineStr">
        <is>
          <t>11812453</t>
        </is>
      </c>
      <c r="AW155" t="inlineStr">
        <is>
          <t>991000595409702656</t>
        </is>
      </c>
      <c r="AX155" t="inlineStr">
        <is>
          <t>991000595409702656</t>
        </is>
      </c>
      <c r="AY155" t="inlineStr">
        <is>
          <t>2259930270002656</t>
        </is>
      </c>
      <c r="AZ155" t="inlineStr">
        <is>
          <t>BOOK</t>
        </is>
      </c>
      <c r="BB155" t="inlineStr">
        <is>
          <t>9780435082215</t>
        </is>
      </c>
      <c r="BC155" t="inlineStr">
        <is>
          <t>32285001348332</t>
        </is>
      </c>
      <c r="BD155" t="inlineStr">
        <is>
          <t>893413502</t>
        </is>
      </c>
    </row>
    <row r="156">
      <c r="A156" t="inlineStr">
        <is>
          <t>No</t>
        </is>
      </c>
      <c r="B156" t="inlineStr">
        <is>
          <t>LA2311 .R93 1986</t>
        </is>
      </c>
      <c r="C156" t="inlineStr">
        <is>
          <t>0                      LA 2311000R  93          1986</t>
        </is>
      </c>
      <c r="D156" t="inlineStr">
        <is>
          <t>The induction of new teachers / by Kevin Ryan.</t>
        </is>
      </c>
      <c r="F156" t="inlineStr">
        <is>
          <t>No</t>
        </is>
      </c>
      <c r="G156" t="inlineStr">
        <is>
          <t>1</t>
        </is>
      </c>
      <c r="H156" t="inlineStr">
        <is>
          <t>No</t>
        </is>
      </c>
      <c r="I156" t="inlineStr">
        <is>
          <t>No</t>
        </is>
      </c>
      <c r="J156" t="inlineStr">
        <is>
          <t>0</t>
        </is>
      </c>
      <c r="K156" t="inlineStr">
        <is>
          <t>Ryan, Kevin, 1932-</t>
        </is>
      </c>
      <c r="L156" t="inlineStr">
        <is>
          <t>Bloomington, Ind. : Phi Delta Kappa Educational Foundation, c1986.</t>
        </is>
      </c>
      <c r="M156" t="inlineStr">
        <is>
          <t>1986</t>
        </is>
      </c>
      <c r="O156" t="inlineStr">
        <is>
          <t>eng</t>
        </is>
      </c>
      <c r="P156" t="inlineStr">
        <is>
          <t>inu</t>
        </is>
      </c>
      <c r="Q156" t="inlineStr">
        <is>
          <t>Fastback ; 237</t>
        </is>
      </c>
      <c r="R156" t="inlineStr">
        <is>
          <t xml:space="preserve">LA </t>
        </is>
      </c>
      <c r="S156" t="n">
        <v>7</v>
      </c>
      <c r="T156" t="n">
        <v>7</v>
      </c>
      <c r="U156" t="inlineStr">
        <is>
          <t>1996-06-23</t>
        </is>
      </c>
      <c r="V156" t="inlineStr">
        <is>
          <t>1996-06-23</t>
        </is>
      </c>
      <c r="W156" t="inlineStr">
        <is>
          <t>1992-10-14</t>
        </is>
      </c>
      <c r="X156" t="inlineStr">
        <is>
          <t>1992-10-14</t>
        </is>
      </c>
      <c r="Y156" t="n">
        <v>271</v>
      </c>
      <c r="Z156" t="n">
        <v>245</v>
      </c>
      <c r="AA156" t="n">
        <v>247</v>
      </c>
      <c r="AB156" t="n">
        <v>4</v>
      </c>
      <c r="AC156" t="n">
        <v>4</v>
      </c>
      <c r="AD156" t="n">
        <v>9</v>
      </c>
      <c r="AE156" t="n">
        <v>9</v>
      </c>
      <c r="AF156" t="n">
        <v>2</v>
      </c>
      <c r="AG156" t="n">
        <v>2</v>
      </c>
      <c r="AH156" t="n">
        <v>2</v>
      </c>
      <c r="AI156" t="n">
        <v>2</v>
      </c>
      <c r="AJ156" t="n">
        <v>4</v>
      </c>
      <c r="AK156" t="n">
        <v>4</v>
      </c>
      <c r="AL156" t="n">
        <v>3</v>
      </c>
      <c r="AM156" t="n">
        <v>3</v>
      </c>
      <c r="AN156" t="n">
        <v>0</v>
      </c>
      <c r="AO156" t="n">
        <v>0</v>
      </c>
      <c r="AP156" t="inlineStr">
        <is>
          <t>No</t>
        </is>
      </c>
      <c r="AQ156" t="inlineStr">
        <is>
          <t>Yes</t>
        </is>
      </c>
      <c r="AR156">
        <f>HYPERLINK("http://catalog.hathitrust.org/Record/009919156","HathiTrust Record")</f>
        <v/>
      </c>
      <c r="AS156">
        <f>HYPERLINK("https://creighton-primo.hosted.exlibrisgroup.com/primo-explore/search?tab=default_tab&amp;search_scope=EVERYTHING&amp;vid=01CRU&amp;lang=en_US&amp;offset=0&amp;query=any,contains,991000846999702656","Catalog Record")</f>
        <v/>
      </c>
      <c r="AT156">
        <f>HYPERLINK("http://www.worldcat.org/oclc/13563597","WorldCat Record")</f>
        <v/>
      </c>
      <c r="AU156" t="inlineStr">
        <is>
          <t>7041940:eng</t>
        </is>
      </c>
      <c r="AV156" t="inlineStr">
        <is>
          <t>13563597</t>
        </is>
      </c>
      <c r="AW156" t="inlineStr">
        <is>
          <t>991000846999702656</t>
        </is>
      </c>
      <c r="AX156" t="inlineStr">
        <is>
          <t>991000846999702656</t>
        </is>
      </c>
      <c r="AY156" t="inlineStr">
        <is>
          <t>2255201150002656</t>
        </is>
      </c>
      <c r="AZ156" t="inlineStr">
        <is>
          <t>BOOK</t>
        </is>
      </c>
      <c r="BB156" t="inlineStr">
        <is>
          <t>9780873672375</t>
        </is>
      </c>
      <c r="BC156" t="inlineStr">
        <is>
          <t>32285001348340</t>
        </is>
      </c>
      <c r="BD156" t="inlineStr">
        <is>
          <t>893522067</t>
        </is>
      </c>
    </row>
    <row r="157">
      <c r="A157" t="inlineStr">
        <is>
          <t>No</t>
        </is>
      </c>
      <c r="B157" t="inlineStr">
        <is>
          <t>LA2317.C336 C65 1989</t>
        </is>
      </c>
      <c r="C157" t="inlineStr">
        <is>
          <t>0                      LA 2317000C  336                C  65          1989</t>
        </is>
      </c>
      <c r="D157" t="inlineStr">
        <is>
          <t>Exit the rainmaker / Jonathan Coleman.</t>
        </is>
      </c>
      <c r="F157" t="inlineStr">
        <is>
          <t>No</t>
        </is>
      </c>
      <c r="G157" t="inlineStr">
        <is>
          <t>1</t>
        </is>
      </c>
      <c r="H157" t="inlineStr">
        <is>
          <t>No</t>
        </is>
      </c>
      <c r="I157" t="inlineStr">
        <is>
          <t>No</t>
        </is>
      </c>
      <c r="J157" t="inlineStr">
        <is>
          <t>0</t>
        </is>
      </c>
      <c r="K157" t="inlineStr">
        <is>
          <t>Coleman, Jonathan.</t>
        </is>
      </c>
      <c r="L157" t="inlineStr">
        <is>
          <t>New York : Atheneum, 1989.</t>
        </is>
      </c>
      <c r="M157" t="inlineStr">
        <is>
          <t>1989</t>
        </is>
      </c>
      <c r="O157" t="inlineStr">
        <is>
          <t>eng</t>
        </is>
      </c>
      <c r="P157" t="inlineStr">
        <is>
          <t>nyu</t>
        </is>
      </c>
      <c r="R157" t="inlineStr">
        <is>
          <t xml:space="preserve">LA </t>
        </is>
      </c>
      <c r="S157" t="n">
        <v>3</v>
      </c>
      <c r="T157" t="n">
        <v>3</v>
      </c>
      <c r="U157" t="inlineStr">
        <is>
          <t>2009-01-16</t>
        </is>
      </c>
      <c r="V157" t="inlineStr">
        <is>
          <t>2009-01-16</t>
        </is>
      </c>
      <c r="W157" t="inlineStr">
        <is>
          <t>1989-10-23</t>
        </is>
      </c>
      <c r="X157" t="inlineStr">
        <is>
          <t>1989-10-23</t>
        </is>
      </c>
      <c r="Y157" t="n">
        <v>746</v>
      </c>
      <c r="Z157" t="n">
        <v>726</v>
      </c>
      <c r="AA157" t="n">
        <v>767</v>
      </c>
      <c r="AB157" t="n">
        <v>4</v>
      </c>
      <c r="AC157" t="n">
        <v>5</v>
      </c>
      <c r="AD157" t="n">
        <v>6</v>
      </c>
      <c r="AE157" t="n">
        <v>6</v>
      </c>
      <c r="AF157" t="n">
        <v>0</v>
      </c>
      <c r="AG157" t="n">
        <v>0</v>
      </c>
      <c r="AH157" t="n">
        <v>1</v>
      </c>
      <c r="AI157" t="n">
        <v>1</v>
      </c>
      <c r="AJ157" t="n">
        <v>6</v>
      </c>
      <c r="AK157" t="n">
        <v>6</v>
      </c>
      <c r="AL157" t="n">
        <v>0</v>
      </c>
      <c r="AM157" t="n">
        <v>0</v>
      </c>
      <c r="AN157" t="n">
        <v>0</v>
      </c>
      <c r="AO157" t="n">
        <v>0</v>
      </c>
      <c r="AP157" t="inlineStr">
        <is>
          <t>No</t>
        </is>
      </c>
      <c r="AQ157" t="inlineStr">
        <is>
          <t>Yes</t>
        </is>
      </c>
      <c r="AR157">
        <f>HYPERLINK("http://catalog.hathitrust.org/Record/001545127","HathiTrust Record")</f>
        <v/>
      </c>
      <c r="AS157">
        <f>HYPERLINK("https://creighton-primo.hosted.exlibrisgroup.com/primo-explore/search?tab=default_tab&amp;search_scope=EVERYTHING&amp;vid=01CRU&amp;lang=en_US&amp;offset=0&amp;query=any,contains,991001480809702656","Catalog Record")</f>
        <v/>
      </c>
      <c r="AT157">
        <f>HYPERLINK("http://www.worldcat.org/oclc/19624945","WorldCat Record")</f>
        <v/>
      </c>
      <c r="AU157" t="inlineStr">
        <is>
          <t>21503812:eng</t>
        </is>
      </c>
      <c r="AV157" t="inlineStr">
        <is>
          <t>19624945</t>
        </is>
      </c>
      <c r="AW157" t="inlineStr">
        <is>
          <t>991001480809702656</t>
        </is>
      </c>
      <c r="AX157" t="inlineStr">
        <is>
          <t>991001480809702656</t>
        </is>
      </c>
      <c r="AY157" t="inlineStr">
        <is>
          <t>2263630970002656</t>
        </is>
      </c>
      <c r="AZ157" t="inlineStr">
        <is>
          <t>BOOK</t>
        </is>
      </c>
      <c r="BB157" t="inlineStr">
        <is>
          <t>9780689118777</t>
        </is>
      </c>
      <c r="BC157" t="inlineStr">
        <is>
          <t>32285000003813</t>
        </is>
      </c>
      <c r="BD157" t="inlineStr">
        <is>
          <t>893346546</t>
        </is>
      </c>
    </row>
    <row r="158">
      <c r="A158" t="inlineStr">
        <is>
          <t>No</t>
        </is>
      </c>
      <c r="B158" t="inlineStr">
        <is>
          <t>LA2317.E78 A3 2003</t>
        </is>
      </c>
      <c r="C158" t="inlineStr">
        <is>
          <t>0                      LA 2317000E  78                 A  3           2003</t>
        </is>
      </c>
      <c r="D158" t="inlineStr">
        <is>
          <t>There are no shortcuts / Rafe Esquith.</t>
        </is>
      </c>
      <c r="F158" t="inlineStr">
        <is>
          <t>No</t>
        </is>
      </c>
      <c r="G158" t="inlineStr">
        <is>
          <t>1</t>
        </is>
      </c>
      <c r="H158" t="inlineStr">
        <is>
          <t>No</t>
        </is>
      </c>
      <c r="I158" t="inlineStr">
        <is>
          <t>No</t>
        </is>
      </c>
      <c r="J158" t="inlineStr">
        <is>
          <t>0</t>
        </is>
      </c>
      <c r="K158" t="inlineStr">
        <is>
          <t>Esquith, Rafe.</t>
        </is>
      </c>
      <c r="L158" t="inlineStr">
        <is>
          <t>New York : Pantheon Books, c2003.</t>
        </is>
      </c>
      <c r="M158" t="inlineStr">
        <is>
          <t>2003</t>
        </is>
      </c>
      <c r="N158" t="inlineStr">
        <is>
          <t>1st ed.</t>
        </is>
      </c>
      <c r="O158" t="inlineStr">
        <is>
          <t>eng</t>
        </is>
      </c>
      <c r="P158" t="inlineStr">
        <is>
          <t>nyu</t>
        </is>
      </c>
      <c r="R158" t="inlineStr">
        <is>
          <t xml:space="preserve">LA </t>
        </is>
      </c>
      <c r="S158" t="n">
        <v>2</v>
      </c>
      <c r="T158" t="n">
        <v>2</v>
      </c>
      <c r="U158" t="inlineStr">
        <is>
          <t>2003-06-19</t>
        </is>
      </c>
      <c r="V158" t="inlineStr">
        <is>
          <t>2003-06-19</t>
        </is>
      </c>
      <c r="W158" t="inlineStr">
        <is>
          <t>2003-06-19</t>
        </is>
      </c>
      <c r="X158" t="inlineStr">
        <is>
          <t>2003-06-19</t>
        </is>
      </c>
      <c r="Y158" t="n">
        <v>876</v>
      </c>
      <c r="Z158" t="n">
        <v>827</v>
      </c>
      <c r="AA158" t="n">
        <v>1082</v>
      </c>
      <c r="AB158" t="n">
        <v>9</v>
      </c>
      <c r="AC158" t="n">
        <v>12</v>
      </c>
      <c r="AD158" t="n">
        <v>19</v>
      </c>
      <c r="AE158" t="n">
        <v>28</v>
      </c>
      <c r="AF158" t="n">
        <v>8</v>
      </c>
      <c r="AG158" t="n">
        <v>14</v>
      </c>
      <c r="AH158" t="n">
        <v>4</v>
      </c>
      <c r="AI158" t="n">
        <v>5</v>
      </c>
      <c r="AJ158" t="n">
        <v>11</v>
      </c>
      <c r="AK158" t="n">
        <v>11</v>
      </c>
      <c r="AL158" t="n">
        <v>3</v>
      </c>
      <c r="AM158" t="n">
        <v>6</v>
      </c>
      <c r="AN158" t="n">
        <v>0</v>
      </c>
      <c r="AO158" t="n">
        <v>0</v>
      </c>
      <c r="AP158" t="inlineStr">
        <is>
          <t>No</t>
        </is>
      </c>
      <c r="AQ158" t="inlineStr">
        <is>
          <t>Yes</t>
        </is>
      </c>
      <c r="AR158">
        <f>HYPERLINK("http://catalog.hathitrust.org/Record/004320837","HathiTrust Record")</f>
        <v/>
      </c>
      <c r="AS158">
        <f>HYPERLINK("https://creighton-primo.hosted.exlibrisgroup.com/primo-explore/search?tab=default_tab&amp;search_scope=EVERYTHING&amp;vid=01CRU&amp;lang=en_US&amp;offset=0&amp;query=any,contains,991004074839702656","Catalog Record")</f>
        <v/>
      </c>
      <c r="AT158">
        <f>HYPERLINK("http://www.worldcat.org/oclc/49977206","WorldCat Record")</f>
        <v/>
      </c>
      <c r="AU158" t="inlineStr">
        <is>
          <t>934829:eng</t>
        </is>
      </c>
      <c r="AV158" t="inlineStr">
        <is>
          <t>49977206</t>
        </is>
      </c>
      <c r="AW158" t="inlineStr">
        <is>
          <t>991004074839702656</t>
        </is>
      </c>
      <c r="AX158" t="inlineStr">
        <is>
          <t>991004074839702656</t>
        </is>
      </c>
      <c r="AY158" t="inlineStr">
        <is>
          <t>2262983690002656</t>
        </is>
      </c>
      <c r="AZ158" t="inlineStr">
        <is>
          <t>BOOK</t>
        </is>
      </c>
      <c r="BB158" t="inlineStr">
        <is>
          <t>9780375422027</t>
        </is>
      </c>
      <c r="BC158" t="inlineStr">
        <is>
          <t>32285004753991</t>
        </is>
      </c>
      <c r="BD158" t="inlineStr">
        <is>
          <t>893318768</t>
        </is>
      </c>
    </row>
    <row r="159">
      <c r="A159" t="inlineStr">
        <is>
          <t>No</t>
        </is>
      </c>
      <c r="B159" t="inlineStr">
        <is>
          <t>LA2317.K64 A33 1984</t>
        </is>
      </c>
      <c r="C159" t="inlineStr">
        <is>
          <t>0                      LA 2317000K  64                 A  33          1984</t>
        </is>
      </c>
      <c r="D159" t="inlineStr">
        <is>
          <t>Growing minds : on becoming a teacher / Herbert Kohl ; foreword by Joseph Featherstone.</t>
        </is>
      </c>
      <c r="F159" t="inlineStr">
        <is>
          <t>No</t>
        </is>
      </c>
      <c r="G159" t="inlineStr">
        <is>
          <t>1</t>
        </is>
      </c>
      <c r="H159" t="inlineStr">
        <is>
          <t>No</t>
        </is>
      </c>
      <c r="I159" t="inlineStr">
        <is>
          <t>No</t>
        </is>
      </c>
      <c r="J159" t="inlineStr">
        <is>
          <t>0</t>
        </is>
      </c>
      <c r="K159" t="inlineStr">
        <is>
          <t>Kohl, Herbert R.</t>
        </is>
      </c>
      <c r="L159" t="inlineStr">
        <is>
          <t>New York : Harper &amp; Row, c1984.</t>
        </is>
      </c>
      <c r="M159" t="inlineStr">
        <is>
          <t>1984</t>
        </is>
      </c>
      <c r="N159" t="inlineStr">
        <is>
          <t>1st ed.</t>
        </is>
      </c>
      <c r="O159" t="inlineStr">
        <is>
          <t>eng</t>
        </is>
      </c>
      <c r="P159" t="inlineStr">
        <is>
          <t>nyu</t>
        </is>
      </c>
      <c r="Q159" t="inlineStr">
        <is>
          <t>Harper &amp; Row series on the professions</t>
        </is>
      </c>
      <c r="R159" t="inlineStr">
        <is>
          <t xml:space="preserve">LA </t>
        </is>
      </c>
      <c r="S159" t="n">
        <v>3</v>
      </c>
      <c r="T159" t="n">
        <v>3</v>
      </c>
      <c r="U159" t="inlineStr">
        <is>
          <t>2002-02-18</t>
        </is>
      </c>
      <c r="V159" t="inlineStr">
        <is>
          <t>2002-02-18</t>
        </is>
      </c>
      <c r="W159" t="inlineStr">
        <is>
          <t>1992-01-24</t>
        </is>
      </c>
      <c r="X159" t="inlineStr">
        <is>
          <t>1992-01-24</t>
        </is>
      </c>
      <c r="Y159" t="n">
        <v>981</v>
      </c>
      <c r="Z159" t="n">
        <v>901</v>
      </c>
      <c r="AA159" t="n">
        <v>1011</v>
      </c>
      <c r="AB159" t="n">
        <v>4</v>
      </c>
      <c r="AC159" t="n">
        <v>4</v>
      </c>
      <c r="AD159" t="n">
        <v>26</v>
      </c>
      <c r="AE159" t="n">
        <v>30</v>
      </c>
      <c r="AF159" t="n">
        <v>12</v>
      </c>
      <c r="AG159" t="n">
        <v>15</v>
      </c>
      <c r="AH159" t="n">
        <v>6</v>
      </c>
      <c r="AI159" t="n">
        <v>7</v>
      </c>
      <c r="AJ159" t="n">
        <v>13</v>
      </c>
      <c r="AK159" t="n">
        <v>14</v>
      </c>
      <c r="AL159" t="n">
        <v>3</v>
      </c>
      <c r="AM159" t="n">
        <v>3</v>
      </c>
      <c r="AN159" t="n">
        <v>0</v>
      </c>
      <c r="AO159" t="n">
        <v>0</v>
      </c>
      <c r="AP159" t="inlineStr">
        <is>
          <t>No</t>
        </is>
      </c>
      <c r="AQ159" t="inlineStr">
        <is>
          <t>Yes</t>
        </is>
      </c>
      <c r="AR159">
        <f>HYPERLINK("http://catalog.hathitrust.org/Record/000280639","HathiTrust Record")</f>
        <v/>
      </c>
      <c r="AS159">
        <f>HYPERLINK("https://creighton-primo.hosted.exlibrisgroup.com/primo-explore/search?tab=default_tab&amp;search_scope=EVERYTHING&amp;vid=01CRU&amp;lang=en_US&amp;offset=0&amp;query=any,contains,991000258399702656","Catalog Record")</f>
        <v/>
      </c>
      <c r="AT159">
        <f>HYPERLINK("http://www.worldcat.org/oclc/9785193","WorldCat Record")</f>
        <v/>
      </c>
      <c r="AU159" t="inlineStr">
        <is>
          <t>325804:eng</t>
        </is>
      </c>
      <c r="AV159" t="inlineStr">
        <is>
          <t>9785193</t>
        </is>
      </c>
      <c r="AW159" t="inlineStr">
        <is>
          <t>991000258399702656</t>
        </is>
      </c>
      <c r="AX159" t="inlineStr">
        <is>
          <t>991000258399702656</t>
        </is>
      </c>
      <c r="AY159" t="inlineStr">
        <is>
          <t>2259847170002656</t>
        </is>
      </c>
      <c r="AZ159" t="inlineStr">
        <is>
          <t>BOOK</t>
        </is>
      </c>
      <c r="BB159" t="inlineStr">
        <is>
          <t>9780060152574</t>
        </is>
      </c>
      <c r="BC159" t="inlineStr">
        <is>
          <t>32285000918283</t>
        </is>
      </c>
      <c r="BD159" t="inlineStr">
        <is>
          <t>893419332</t>
        </is>
      </c>
    </row>
    <row r="160">
      <c r="A160" t="inlineStr">
        <is>
          <t>No</t>
        </is>
      </c>
      <c r="B160" t="inlineStr">
        <is>
          <t>LA2317.M36 A3 2005</t>
        </is>
      </c>
      <c r="C160" t="inlineStr">
        <is>
          <t>0                      LA 2317000M  36                 A  3           2005</t>
        </is>
      </c>
      <c r="D160" t="inlineStr">
        <is>
          <t>Teacher man : a memoir / Frank McCourt.</t>
        </is>
      </c>
      <c r="F160" t="inlineStr">
        <is>
          <t>No</t>
        </is>
      </c>
      <c r="G160" t="inlineStr">
        <is>
          <t>1</t>
        </is>
      </c>
      <c r="H160" t="inlineStr">
        <is>
          <t>No</t>
        </is>
      </c>
      <c r="I160" t="inlineStr">
        <is>
          <t>No</t>
        </is>
      </c>
      <c r="J160" t="inlineStr">
        <is>
          <t>0</t>
        </is>
      </c>
      <c r="K160" t="inlineStr">
        <is>
          <t>McCourt, Frank.</t>
        </is>
      </c>
      <c r="L160" t="inlineStr">
        <is>
          <t>New York : Scribner, c2005.</t>
        </is>
      </c>
      <c r="M160" t="inlineStr">
        <is>
          <t>2005</t>
        </is>
      </c>
      <c r="O160" t="inlineStr">
        <is>
          <t>eng</t>
        </is>
      </c>
      <c r="P160" t="inlineStr">
        <is>
          <t>nyu</t>
        </is>
      </c>
      <c r="R160" t="inlineStr">
        <is>
          <t xml:space="preserve">LA </t>
        </is>
      </c>
      <c r="S160" t="n">
        <v>7</v>
      </c>
      <c r="T160" t="n">
        <v>7</v>
      </c>
      <c r="U160" t="inlineStr">
        <is>
          <t>2009-06-02</t>
        </is>
      </c>
      <c r="V160" t="inlineStr">
        <is>
          <t>2009-06-02</t>
        </is>
      </c>
      <c r="W160" t="inlineStr">
        <is>
          <t>2005-12-01</t>
        </is>
      </c>
      <c r="X160" t="inlineStr">
        <is>
          <t>2005-12-01</t>
        </is>
      </c>
      <c r="Y160" t="n">
        <v>3603</v>
      </c>
      <c r="Z160" t="n">
        <v>3394</v>
      </c>
      <c r="AA160" t="n">
        <v>3752</v>
      </c>
      <c r="AB160" t="n">
        <v>42</v>
      </c>
      <c r="AC160" t="n">
        <v>45</v>
      </c>
      <c r="AD160" t="n">
        <v>57</v>
      </c>
      <c r="AE160" t="n">
        <v>58</v>
      </c>
      <c r="AF160" t="n">
        <v>28</v>
      </c>
      <c r="AG160" t="n">
        <v>28</v>
      </c>
      <c r="AH160" t="n">
        <v>9</v>
      </c>
      <c r="AI160" t="n">
        <v>9</v>
      </c>
      <c r="AJ160" t="n">
        <v>23</v>
      </c>
      <c r="AK160" t="n">
        <v>23</v>
      </c>
      <c r="AL160" t="n">
        <v>9</v>
      </c>
      <c r="AM160" t="n">
        <v>10</v>
      </c>
      <c r="AN160" t="n">
        <v>1</v>
      </c>
      <c r="AO160" t="n">
        <v>1</v>
      </c>
      <c r="AP160" t="inlineStr">
        <is>
          <t>No</t>
        </is>
      </c>
      <c r="AQ160" t="inlineStr">
        <is>
          <t>No</t>
        </is>
      </c>
      <c r="AS160">
        <f>HYPERLINK("https://creighton-primo.hosted.exlibrisgroup.com/primo-explore/search?tab=default_tab&amp;search_scope=EVERYTHING&amp;vid=01CRU&amp;lang=en_US&amp;offset=0&amp;query=any,contains,991004662659702656","Catalog Record")</f>
        <v/>
      </c>
      <c r="AT160">
        <f>HYPERLINK("http://www.worldcat.org/oclc/61694896","WorldCat Record")</f>
        <v/>
      </c>
      <c r="AU160" t="inlineStr">
        <is>
          <t>46243626:eng</t>
        </is>
      </c>
      <c r="AV160" t="inlineStr">
        <is>
          <t>61694896</t>
        </is>
      </c>
      <c r="AW160" t="inlineStr">
        <is>
          <t>991004662659702656</t>
        </is>
      </c>
      <c r="AX160" t="inlineStr">
        <is>
          <t>991004662659702656</t>
        </is>
      </c>
      <c r="AY160" t="inlineStr">
        <is>
          <t>2266228020002656</t>
        </is>
      </c>
      <c r="AZ160" t="inlineStr">
        <is>
          <t>BOOK</t>
        </is>
      </c>
      <c r="BB160" t="inlineStr">
        <is>
          <t>9780743243773</t>
        </is>
      </c>
      <c r="BC160" t="inlineStr">
        <is>
          <t>32285005150304</t>
        </is>
      </c>
      <c r="BD160" t="inlineStr">
        <is>
          <t>893229674</t>
        </is>
      </c>
    </row>
    <row r="161">
      <c r="A161" t="inlineStr">
        <is>
          <t>No</t>
        </is>
      </c>
      <c r="B161" t="inlineStr">
        <is>
          <t>LA2317.T65 A3 1997</t>
        </is>
      </c>
      <c r="C161" t="inlineStr">
        <is>
          <t>0                      LA 2317000T  65                 A  3           1997</t>
        </is>
      </c>
      <c r="D161" t="inlineStr">
        <is>
          <t>A life in school : what the teacher learned / Jane Tompkins.</t>
        </is>
      </c>
      <c r="F161" t="inlineStr">
        <is>
          <t>No</t>
        </is>
      </c>
      <c r="G161" t="inlineStr">
        <is>
          <t>1</t>
        </is>
      </c>
      <c r="H161" t="inlineStr">
        <is>
          <t>No</t>
        </is>
      </c>
      <c r="I161" t="inlineStr">
        <is>
          <t>No</t>
        </is>
      </c>
      <c r="J161" t="inlineStr">
        <is>
          <t>0</t>
        </is>
      </c>
      <c r="K161" t="inlineStr">
        <is>
          <t>Tompkins, Jane P.</t>
        </is>
      </c>
      <c r="L161" t="inlineStr">
        <is>
          <t>Reading, Mass. : Addison-Wesley Pub. Co., 1997, c1996.</t>
        </is>
      </c>
      <c r="M161" t="inlineStr">
        <is>
          <t>1997</t>
        </is>
      </c>
      <c r="O161" t="inlineStr">
        <is>
          <t>eng</t>
        </is>
      </c>
      <c r="P161" t="inlineStr">
        <is>
          <t>mau</t>
        </is>
      </c>
      <c r="R161" t="inlineStr">
        <is>
          <t xml:space="preserve">LA </t>
        </is>
      </c>
      <c r="S161" t="n">
        <v>4</v>
      </c>
      <c r="T161" t="n">
        <v>4</v>
      </c>
      <c r="U161" t="inlineStr">
        <is>
          <t>2003-03-31</t>
        </is>
      </c>
      <c r="V161" t="inlineStr">
        <is>
          <t>2003-03-31</t>
        </is>
      </c>
      <c r="W161" t="inlineStr">
        <is>
          <t>1997-12-23</t>
        </is>
      </c>
      <c r="X161" t="inlineStr">
        <is>
          <t>1997-12-23</t>
        </is>
      </c>
      <c r="Y161" t="n">
        <v>60</v>
      </c>
      <c r="Z161" t="n">
        <v>56</v>
      </c>
      <c r="AA161" t="n">
        <v>642</v>
      </c>
      <c r="AB161" t="n">
        <v>1</v>
      </c>
      <c r="AC161" t="n">
        <v>6</v>
      </c>
      <c r="AD161" t="n">
        <v>3</v>
      </c>
      <c r="AE161" t="n">
        <v>28</v>
      </c>
      <c r="AF161" t="n">
        <v>3</v>
      </c>
      <c r="AG161" t="n">
        <v>13</v>
      </c>
      <c r="AH161" t="n">
        <v>0</v>
      </c>
      <c r="AI161" t="n">
        <v>7</v>
      </c>
      <c r="AJ161" t="n">
        <v>1</v>
      </c>
      <c r="AK161" t="n">
        <v>10</v>
      </c>
      <c r="AL161" t="n">
        <v>0</v>
      </c>
      <c r="AM161" t="n">
        <v>5</v>
      </c>
      <c r="AN161" t="n">
        <v>0</v>
      </c>
      <c r="AO161" t="n">
        <v>0</v>
      </c>
      <c r="AP161" t="inlineStr">
        <is>
          <t>No</t>
        </is>
      </c>
      <c r="AQ161" t="inlineStr">
        <is>
          <t>No</t>
        </is>
      </c>
      <c r="AS161">
        <f>HYPERLINK("https://creighton-primo.hosted.exlibrisgroup.com/primo-explore/search?tab=default_tab&amp;search_scope=EVERYTHING&amp;vid=01CRU&amp;lang=en_US&amp;offset=0&amp;query=any,contains,991002870299702656","Catalog Record")</f>
        <v/>
      </c>
      <c r="AT161">
        <f>HYPERLINK("http://www.worldcat.org/oclc/37838690","WorldCat Record")</f>
        <v/>
      </c>
      <c r="AU161" t="inlineStr">
        <is>
          <t>600187:eng</t>
        </is>
      </c>
      <c r="AV161" t="inlineStr">
        <is>
          <t>37838690</t>
        </is>
      </c>
      <c r="AW161" t="inlineStr">
        <is>
          <t>991002870299702656</t>
        </is>
      </c>
      <c r="AX161" t="inlineStr">
        <is>
          <t>991002870299702656</t>
        </is>
      </c>
      <c r="AY161" t="inlineStr">
        <is>
          <t>2269228540002656</t>
        </is>
      </c>
      <c r="AZ161" t="inlineStr">
        <is>
          <t>BOOK</t>
        </is>
      </c>
      <c r="BB161" t="inlineStr">
        <is>
          <t>9780201327991</t>
        </is>
      </c>
      <c r="BC161" t="inlineStr">
        <is>
          <t>32285003284345</t>
        </is>
      </c>
      <c r="BD161" t="inlineStr">
        <is>
          <t>893793034</t>
        </is>
      </c>
    </row>
    <row r="162">
      <c r="A162" t="inlineStr">
        <is>
          <t>No</t>
        </is>
      </c>
      <c r="B162" t="inlineStr">
        <is>
          <t>LA2383.J32 T787 1992</t>
        </is>
      </c>
      <c r="C162" t="inlineStr">
        <is>
          <t>0                      LA 2383000J  32                 T  787         1992</t>
        </is>
      </c>
      <c r="D162" t="inlineStr">
        <is>
          <t>Tsuda Umeko and women's education in Japan / Barbara Rose.</t>
        </is>
      </c>
      <c r="F162" t="inlineStr">
        <is>
          <t>No</t>
        </is>
      </c>
      <c r="G162" t="inlineStr">
        <is>
          <t>1</t>
        </is>
      </c>
      <c r="H162" t="inlineStr">
        <is>
          <t>No</t>
        </is>
      </c>
      <c r="I162" t="inlineStr">
        <is>
          <t>No</t>
        </is>
      </c>
      <c r="J162" t="inlineStr">
        <is>
          <t>0</t>
        </is>
      </c>
      <c r="K162" t="inlineStr">
        <is>
          <t>Rose, Barbara, 1958-</t>
        </is>
      </c>
      <c r="L162" t="inlineStr">
        <is>
          <t>New Haven : Yale University Press, c1992.</t>
        </is>
      </c>
      <c r="M162" t="inlineStr">
        <is>
          <t>1992</t>
        </is>
      </c>
      <c r="O162" t="inlineStr">
        <is>
          <t>eng</t>
        </is>
      </c>
      <c r="P162" t="inlineStr">
        <is>
          <t>ctu</t>
        </is>
      </c>
      <c r="R162" t="inlineStr">
        <is>
          <t xml:space="preserve">LA </t>
        </is>
      </c>
      <c r="S162" t="n">
        <v>4</v>
      </c>
      <c r="T162" t="n">
        <v>4</v>
      </c>
      <c r="U162" t="inlineStr">
        <is>
          <t>1996-04-23</t>
        </is>
      </c>
      <c r="V162" t="inlineStr">
        <is>
          <t>1996-04-23</t>
        </is>
      </c>
      <c r="W162" t="inlineStr">
        <is>
          <t>1994-10-31</t>
        </is>
      </c>
      <c r="X162" t="inlineStr">
        <is>
          <t>1994-10-31</t>
        </is>
      </c>
      <c r="Y162" t="n">
        <v>437</v>
      </c>
      <c r="Z162" t="n">
        <v>339</v>
      </c>
      <c r="AA162" t="n">
        <v>512</v>
      </c>
      <c r="AB162" t="n">
        <v>3</v>
      </c>
      <c r="AC162" t="n">
        <v>3</v>
      </c>
      <c r="AD162" t="n">
        <v>20</v>
      </c>
      <c r="AE162" t="n">
        <v>29</v>
      </c>
      <c r="AF162" t="n">
        <v>6</v>
      </c>
      <c r="AG162" t="n">
        <v>12</v>
      </c>
      <c r="AH162" t="n">
        <v>8</v>
      </c>
      <c r="AI162" t="n">
        <v>10</v>
      </c>
      <c r="AJ162" t="n">
        <v>9</v>
      </c>
      <c r="AK162" t="n">
        <v>14</v>
      </c>
      <c r="AL162" t="n">
        <v>2</v>
      </c>
      <c r="AM162" t="n">
        <v>2</v>
      </c>
      <c r="AN162" t="n">
        <v>0</v>
      </c>
      <c r="AO162" t="n">
        <v>0</v>
      </c>
      <c r="AP162" t="inlineStr">
        <is>
          <t>No</t>
        </is>
      </c>
      <c r="AQ162" t="inlineStr">
        <is>
          <t>No</t>
        </is>
      </c>
      <c r="AS162">
        <f>HYPERLINK("https://creighton-primo.hosted.exlibrisgroup.com/primo-explore/search?tab=default_tab&amp;search_scope=EVERYTHING&amp;vid=01CRU&amp;lang=en_US&amp;offset=0&amp;query=any,contains,991001895669702656","Catalog Record")</f>
        <v/>
      </c>
      <c r="AT162">
        <f>HYPERLINK("http://www.worldcat.org/oclc/23941303","WorldCat Record")</f>
        <v/>
      </c>
      <c r="AU162" t="inlineStr">
        <is>
          <t>365184083:eng</t>
        </is>
      </c>
      <c r="AV162" t="inlineStr">
        <is>
          <t>23941303</t>
        </is>
      </c>
      <c r="AW162" t="inlineStr">
        <is>
          <t>991001895669702656</t>
        </is>
      </c>
      <c r="AX162" t="inlineStr">
        <is>
          <t>991001895669702656</t>
        </is>
      </c>
      <c r="AY162" t="inlineStr">
        <is>
          <t>2270524370002656</t>
        </is>
      </c>
      <c r="AZ162" t="inlineStr">
        <is>
          <t>BOOK</t>
        </is>
      </c>
      <c r="BB162" t="inlineStr">
        <is>
          <t>9780300051773</t>
        </is>
      </c>
      <c r="BC162" t="inlineStr">
        <is>
          <t>32285001955870</t>
        </is>
      </c>
      <c r="BD162" t="inlineStr">
        <is>
          <t>893238419</t>
        </is>
      </c>
    </row>
    <row r="163">
      <c r="A163" t="inlineStr">
        <is>
          <t>No</t>
        </is>
      </c>
      <c r="B163" t="inlineStr">
        <is>
          <t>LA2388.S62 P377</t>
        </is>
      </c>
      <c r="C163" t="inlineStr">
        <is>
          <t>0                      LA 2388000S  62                 P  377</t>
        </is>
      </c>
      <c r="D163" t="inlineStr">
        <is>
          <t>Towards the mountain : an autobiography / Alan Paton.</t>
        </is>
      </c>
      <c r="F163" t="inlineStr">
        <is>
          <t>No</t>
        </is>
      </c>
      <c r="G163" t="inlineStr">
        <is>
          <t>1</t>
        </is>
      </c>
      <c r="H163" t="inlineStr">
        <is>
          <t>No</t>
        </is>
      </c>
      <c r="I163" t="inlineStr">
        <is>
          <t>No</t>
        </is>
      </c>
      <c r="J163" t="inlineStr">
        <is>
          <t>0</t>
        </is>
      </c>
      <c r="K163" t="inlineStr">
        <is>
          <t>Paton, Alan.</t>
        </is>
      </c>
      <c r="L163" t="inlineStr">
        <is>
          <t>New York : Scribner, c1980.</t>
        </is>
      </c>
      <c r="M163" t="inlineStr">
        <is>
          <t>1980</t>
        </is>
      </c>
      <c r="O163" t="inlineStr">
        <is>
          <t>eng</t>
        </is>
      </c>
      <c r="P163" t="inlineStr">
        <is>
          <t>nyu</t>
        </is>
      </c>
      <c r="R163" t="inlineStr">
        <is>
          <t xml:space="preserve">LA </t>
        </is>
      </c>
      <c r="S163" t="n">
        <v>7</v>
      </c>
      <c r="T163" t="n">
        <v>7</v>
      </c>
      <c r="U163" t="inlineStr">
        <is>
          <t>2007-12-04</t>
        </is>
      </c>
      <c r="V163" t="inlineStr">
        <is>
          <t>2007-12-04</t>
        </is>
      </c>
      <c r="W163" t="inlineStr">
        <is>
          <t>1992-01-27</t>
        </is>
      </c>
      <c r="X163" t="inlineStr">
        <is>
          <t>1992-01-27</t>
        </is>
      </c>
      <c r="Y163" t="n">
        <v>1075</v>
      </c>
      <c r="Z163" t="n">
        <v>965</v>
      </c>
      <c r="AA163" t="n">
        <v>995</v>
      </c>
      <c r="AB163" t="n">
        <v>7</v>
      </c>
      <c r="AC163" t="n">
        <v>7</v>
      </c>
      <c r="AD163" t="n">
        <v>26</v>
      </c>
      <c r="AE163" t="n">
        <v>27</v>
      </c>
      <c r="AF163" t="n">
        <v>10</v>
      </c>
      <c r="AG163" t="n">
        <v>11</v>
      </c>
      <c r="AH163" t="n">
        <v>6</v>
      </c>
      <c r="AI163" t="n">
        <v>6</v>
      </c>
      <c r="AJ163" t="n">
        <v>15</v>
      </c>
      <c r="AK163" t="n">
        <v>15</v>
      </c>
      <c r="AL163" t="n">
        <v>3</v>
      </c>
      <c r="AM163" t="n">
        <v>3</v>
      </c>
      <c r="AN163" t="n">
        <v>1</v>
      </c>
      <c r="AO163" t="n">
        <v>1</v>
      </c>
      <c r="AP163" t="inlineStr">
        <is>
          <t>No</t>
        </is>
      </c>
      <c r="AQ163" t="inlineStr">
        <is>
          <t>Yes</t>
        </is>
      </c>
      <c r="AR163">
        <f>HYPERLINK("http://catalog.hathitrust.org/Record/000736392","HathiTrust Record")</f>
        <v/>
      </c>
      <c r="AS163">
        <f>HYPERLINK("https://creighton-primo.hosted.exlibrisgroup.com/primo-explore/search?tab=default_tab&amp;search_scope=EVERYTHING&amp;vid=01CRU&amp;lang=en_US&amp;offset=0&amp;query=any,contains,991005011699702656","Catalog Record")</f>
        <v/>
      </c>
      <c r="AT163">
        <f>HYPERLINK("http://www.worldcat.org/oclc/6603133","WorldCat Record")</f>
        <v/>
      </c>
      <c r="AU163" t="inlineStr">
        <is>
          <t>17760256:eng</t>
        </is>
      </c>
      <c r="AV163" t="inlineStr">
        <is>
          <t>6603133</t>
        </is>
      </c>
      <c r="AW163" t="inlineStr">
        <is>
          <t>991005011699702656</t>
        </is>
      </c>
      <c r="AX163" t="inlineStr">
        <is>
          <t>991005011699702656</t>
        </is>
      </c>
      <c r="AY163" t="inlineStr">
        <is>
          <t>2254784590002656</t>
        </is>
      </c>
      <c r="AZ163" t="inlineStr">
        <is>
          <t>BOOK</t>
        </is>
      </c>
      <c r="BB163" t="inlineStr">
        <is>
          <t>9780684165967</t>
        </is>
      </c>
      <c r="BC163" t="inlineStr">
        <is>
          <t>32285000898592</t>
        </is>
      </c>
      <c r="BD163" t="inlineStr">
        <is>
          <t>893437025</t>
        </is>
      </c>
    </row>
    <row r="164">
      <c r="A164" t="inlineStr">
        <is>
          <t>No</t>
        </is>
      </c>
      <c r="B164" t="inlineStr">
        <is>
          <t>LA269.C4 H48 1991</t>
        </is>
      </c>
      <c r="C164" t="inlineStr">
        <is>
          <t>0                      LA 0269000C  4                  H  48          1991</t>
        </is>
      </c>
      <c r="D164" t="inlineStr">
        <is>
          <t>School restructuring, Chicago style / G. Alfred Hess, Jr.</t>
        </is>
      </c>
      <c r="F164" t="inlineStr">
        <is>
          <t>No</t>
        </is>
      </c>
      <c r="G164" t="inlineStr">
        <is>
          <t>1</t>
        </is>
      </c>
      <c r="H164" t="inlineStr">
        <is>
          <t>No</t>
        </is>
      </c>
      <c r="I164" t="inlineStr">
        <is>
          <t>No</t>
        </is>
      </c>
      <c r="J164" t="inlineStr">
        <is>
          <t>0</t>
        </is>
      </c>
      <c r="K164" t="inlineStr">
        <is>
          <t>Hess, G. Alfred, 1938-</t>
        </is>
      </c>
      <c r="L164" t="inlineStr">
        <is>
          <t>Newbury Park, Calif. : Corwin Press, c1991.</t>
        </is>
      </c>
      <c r="M164" t="inlineStr">
        <is>
          <t>1991</t>
        </is>
      </c>
      <c r="O164" t="inlineStr">
        <is>
          <t>eng</t>
        </is>
      </c>
      <c r="P164" t="inlineStr">
        <is>
          <t>cau</t>
        </is>
      </c>
      <c r="R164" t="inlineStr">
        <is>
          <t xml:space="preserve">LA </t>
        </is>
      </c>
      <c r="S164" t="n">
        <v>3</v>
      </c>
      <c r="T164" t="n">
        <v>3</v>
      </c>
      <c r="U164" t="inlineStr">
        <is>
          <t>2001-11-02</t>
        </is>
      </c>
      <c r="V164" t="inlineStr">
        <is>
          <t>2001-11-02</t>
        </is>
      </c>
      <c r="W164" t="inlineStr">
        <is>
          <t>1992-04-30</t>
        </is>
      </c>
      <c r="X164" t="inlineStr">
        <is>
          <t>1992-04-30</t>
        </is>
      </c>
      <c r="Y164" t="n">
        <v>278</v>
      </c>
      <c r="Z164" t="n">
        <v>243</v>
      </c>
      <c r="AA164" t="n">
        <v>252</v>
      </c>
      <c r="AB164" t="n">
        <v>3</v>
      </c>
      <c r="AC164" t="n">
        <v>3</v>
      </c>
      <c r="AD164" t="n">
        <v>13</v>
      </c>
      <c r="AE164" t="n">
        <v>13</v>
      </c>
      <c r="AF164" t="n">
        <v>4</v>
      </c>
      <c r="AG164" t="n">
        <v>4</v>
      </c>
      <c r="AH164" t="n">
        <v>3</v>
      </c>
      <c r="AI164" t="n">
        <v>3</v>
      </c>
      <c r="AJ164" t="n">
        <v>8</v>
      </c>
      <c r="AK164" t="n">
        <v>8</v>
      </c>
      <c r="AL164" t="n">
        <v>2</v>
      </c>
      <c r="AM164" t="n">
        <v>2</v>
      </c>
      <c r="AN164" t="n">
        <v>0</v>
      </c>
      <c r="AO164" t="n">
        <v>0</v>
      </c>
      <c r="AP164" t="inlineStr">
        <is>
          <t>No</t>
        </is>
      </c>
      <c r="AQ164" t="inlineStr">
        <is>
          <t>Yes</t>
        </is>
      </c>
      <c r="AR164">
        <f>HYPERLINK("http://catalog.hathitrust.org/Record/002466603","HathiTrust Record")</f>
        <v/>
      </c>
      <c r="AS164">
        <f>HYPERLINK("https://creighton-primo.hosted.exlibrisgroup.com/primo-explore/search?tab=default_tab&amp;search_scope=EVERYTHING&amp;vid=01CRU&amp;lang=en_US&amp;offset=0&amp;query=any,contains,991001826659702656","Catalog Record")</f>
        <v/>
      </c>
      <c r="AT164">
        <f>HYPERLINK("http://www.worldcat.org/oclc/22952811","WorldCat Record")</f>
        <v/>
      </c>
      <c r="AU164" t="inlineStr">
        <is>
          <t>23974480:eng</t>
        </is>
      </c>
      <c r="AV164" t="inlineStr">
        <is>
          <t>22952811</t>
        </is>
      </c>
      <c r="AW164" t="inlineStr">
        <is>
          <t>991001826659702656</t>
        </is>
      </c>
      <c r="AX164" t="inlineStr">
        <is>
          <t>991001826659702656</t>
        </is>
      </c>
      <c r="AY164" t="inlineStr">
        <is>
          <t>2260904260002656</t>
        </is>
      </c>
      <c r="AZ164" t="inlineStr">
        <is>
          <t>BOOK</t>
        </is>
      </c>
      <c r="BB164" t="inlineStr">
        <is>
          <t>9780803960015</t>
        </is>
      </c>
      <c r="BC164" t="inlineStr">
        <is>
          <t>32285001037521</t>
        </is>
      </c>
      <c r="BD164" t="inlineStr">
        <is>
          <t>893516604</t>
        </is>
      </c>
    </row>
    <row r="165">
      <c r="A165" t="inlineStr">
        <is>
          <t>No</t>
        </is>
      </c>
      <c r="B165" t="inlineStr">
        <is>
          <t>LA31 .M32</t>
        </is>
      </c>
      <c r="C165" t="inlineStr">
        <is>
          <t>0                      LA 0031000M  32</t>
        </is>
      </c>
      <c r="D165" t="inlineStr">
        <is>
          <t>A history of education in antiquity. Translated by George Lamb.</t>
        </is>
      </c>
      <c r="F165" t="inlineStr">
        <is>
          <t>No</t>
        </is>
      </c>
      <c r="G165" t="inlineStr">
        <is>
          <t>1</t>
        </is>
      </c>
      <c r="H165" t="inlineStr">
        <is>
          <t>No</t>
        </is>
      </c>
      <c r="I165" t="inlineStr">
        <is>
          <t>No</t>
        </is>
      </c>
      <c r="J165" t="inlineStr">
        <is>
          <t>0</t>
        </is>
      </c>
      <c r="K165" t="inlineStr">
        <is>
          <t>Marrou, Henri Irénée.</t>
        </is>
      </c>
      <c r="L165" t="inlineStr">
        <is>
          <t>New York, Sheed and Ward [1956]</t>
        </is>
      </c>
      <c r="M165" t="inlineStr">
        <is>
          <t>1956</t>
        </is>
      </c>
      <c r="O165" t="inlineStr">
        <is>
          <t>eng</t>
        </is>
      </c>
      <c r="P165" t="inlineStr">
        <is>
          <t>nyu</t>
        </is>
      </c>
      <c r="R165" t="inlineStr">
        <is>
          <t xml:space="preserve">LA </t>
        </is>
      </c>
      <c r="S165" t="n">
        <v>10</v>
      </c>
      <c r="T165" t="n">
        <v>10</v>
      </c>
      <c r="U165" t="inlineStr">
        <is>
          <t>2007-03-08</t>
        </is>
      </c>
      <c r="V165" t="inlineStr">
        <is>
          <t>2007-03-08</t>
        </is>
      </c>
      <c r="W165" t="inlineStr">
        <is>
          <t>1997-04-22</t>
        </is>
      </c>
      <c r="X165" t="inlineStr">
        <is>
          <t>1997-04-22</t>
        </is>
      </c>
      <c r="Y165" t="n">
        <v>946</v>
      </c>
      <c r="Z165" t="n">
        <v>817</v>
      </c>
      <c r="AA165" t="n">
        <v>1153</v>
      </c>
      <c r="AB165" t="n">
        <v>8</v>
      </c>
      <c r="AC165" t="n">
        <v>8</v>
      </c>
      <c r="AD165" t="n">
        <v>44</v>
      </c>
      <c r="AE165" t="n">
        <v>53</v>
      </c>
      <c r="AF165" t="n">
        <v>17</v>
      </c>
      <c r="AG165" t="n">
        <v>22</v>
      </c>
      <c r="AH165" t="n">
        <v>8</v>
      </c>
      <c r="AI165" t="n">
        <v>10</v>
      </c>
      <c r="AJ165" t="n">
        <v>23</v>
      </c>
      <c r="AK165" t="n">
        <v>27</v>
      </c>
      <c r="AL165" t="n">
        <v>7</v>
      </c>
      <c r="AM165" t="n">
        <v>7</v>
      </c>
      <c r="AN165" t="n">
        <v>0</v>
      </c>
      <c r="AO165" t="n">
        <v>0</v>
      </c>
      <c r="AP165" t="inlineStr">
        <is>
          <t>No</t>
        </is>
      </c>
      <c r="AQ165" t="inlineStr">
        <is>
          <t>Yes</t>
        </is>
      </c>
      <c r="AR165">
        <f>HYPERLINK("http://catalog.hathitrust.org/Record/001279203","HathiTrust Record")</f>
        <v/>
      </c>
      <c r="AS165">
        <f>HYPERLINK("https://creighton-primo.hosted.exlibrisgroup.com/primo-explore/search?tab=default_tab&amp;search_scope=EVERYTHING&amp;vid=01CRU&amp;lang=en_US&amp;offset=0&amp;query=any,contains,991001034459702656","Catalog Record")</f>
        <v/>
      </c>
      <c r="AT165">
        <f>HYPERLINK("http://www.worldcat.org/oclc/175522","WorldCat Record")</f>
        <v/>
      </c>
      <c r="AU165" t="inlineStr">
        <is>
          <t>434587:eng</t>
        </is>
      </c>
      <c r="AV165" t="inlineStr">
        <is>
          <t>175522</t>
        </is>
      </c>
      <c r="AW165" t="inlineStr">
        <is>
          <t>991001034459702656</t>
        </is>
      </c>
      <c r="AX165" t="inlineStr">
        <is>
          <t>991001034459702656</t>
        </is>
      </c>
      <c r="AY165" t="inlineStr">
        <is>
          <t>2265313380002656</t>
        </is>
      </c>
      <c r="AZ165" t="inlineStr">
        <is>
          <t>BOOK</t>
        </is>
      </c>
      <c r="BC165" t="inlineStr">
        <is>
          <t>32285002554870</t>
        </is>
      </c>
      <c r="BD165" t="inlineStr">
        <is>
          <t>893426266</t>
        </is>
      </c>
    </row>
    <row r="166">
      <c r="A166" t="inlineStr">
        <is>
          <t>No</t>
        </is>
      </c>
      <c r="B166" t="inlineStr">
        <is>
          <t>LA412 .Q344 1988</t>
        </is>
      </c>
      <c r="C166" t="inlineStr">
        <is>
          <t>0                      LA 0412000Q  344         1988</t>
        </is>
      </c>
      <c r="D166" t="inlineStr">
        <is>
          <t>Quality in Canadian public education : a critical assessment / contributing editors, Hugh A. Stevenson, J. Donald Wilson.</t>
        </is>
      </c>
      <c r="F166" t="inlineStr">
        <is>
          <t>No</t>
        </is>
      </c>
      <c r="G166" t="inlineStr">
        <is>
          <t>1</t>
        </is>
      </c>
      <c r="H166" t="inlineStr">
        <is>
          <t>No</t>
        </is>
      </c>
      <c r="I166" t="inlineStr">
        <is>
          <t>No</t>
        </is>
      </c>
      <c r="J166" t="inlineStr">
        <is>
          <t>0</t>
        </is>
      </c>
      <c r="L166" t="inlineStr">
        <is>
          <t>London ; New York : Falmer Press, 1988.</t>
        </is>
      </c>
      <c r="M166" t="inlineStr">
        <is>
          <t>1988</t>
        </is>
      </c>
      <c r="O166" t="inlineStr">
        <is>
          <t>eng</t>
        </is>
      </c>
      <c r="P166" t="inlineStr">
        <is>
          <t>enk</t>
        </is>
      </c>
      <c r="R166" t="inlineStr">
        <is>
          <t xml:space="preserve">LA </t>
        </is>
      </c>
      <c r="S166" t="n">
        <v>9</v>
      </c>
      <c r="T166" t="n">
        <v>9</v>
      </c>
      <c r="U166" t="inlineStr">
        <is>
          <t>1996-10-11</t>
        </is>
      </c>
      <c r="V166" t="inlineStr">
        <is>
          <t>1996-10-11</t>
        </is>
      </c>
      <c r="W166" t="inlineStr">
        <is>
          <t>1992-05-07</t>
        </is>
      </c>
      <c r="X166" t="inlineStr">
        <is>
          <t>1992-05-07</t>
        </is>
      </c>
      <c r="Y166" t="n">
        <v>175</v>
      </c>
      <c r="Z166" t="n">
        <v>92</v>
      </c>
      <c r="AA166" t="n">
        <v>94</v>
      </c>
      <c r="AB166" t="n">
        <v>1</v>
      </c>
      <c r="AC166" t="n">
        <v>1</v>
      </c>
      <c r="AD166" t="n">
        <v>5</v>
      </c>
      <c r="AE166" t="n">
        <v>5</v>
      </c>
      <c r="AF166" t="n">
        <v>1</v>
      </c>
      <c r="AG166" t="n">
        <v>1</v>
      </c>
      <c r="AH166" t="n">
        <v>1</v>
      </c>
      <c r="AI166" t="n">
        <v>1</v>
      </c>
      <c r="AJ166" t="n">
        <v>5</v>
      </c>
      <c r="AK166" t="n">
        <v>5</v>
      </c>
      <c r="AL166" t="n">
        <v>0</v>
      </c>
      <c r="AM166" t="n">
        <v>0</v>
      </c>
      <c r="AN166" t="n">
        <v>0</v>
      </c>
      <c r="AO166" t="n">
        <v>0</v>
      </c>
      <c r="AP166" t="inlineStr">
        <is>
          <t>No</t>
        </is>
      </c>
      <c r="AQ166" t="inlineStr">
        <is>
          <t>Yes</t>
        </is>
      </c>
      <c r="AR166">
        <f>HYPERLINK("http://catalog.hathitrust.org/Record/000920933","HathiTrust Record")</f>
        <v/>
      </c>
      <c r="AS166">
        <f>HYPERLINK("https://creighton-primo.hosted.exlibrisgroup.com/primo-explore/search?tab=default_tab&amp;search_scope=EVERYTHING&amp;vid=01CRU&amp;lang=en_US&amp;offset=0&amp;query=any,contains,991001185539702656","Catalog Record")</f>
        <v/>
      </c>
      <c r="AT166">
        <f>HYPERLINK("http://www.worldcat.org/oclc/17202355","WorldCat Record")</f>
        <v/>
      </c>
      <c r="AU166" t="inlineStr">
        <is>
          <t>836736999:eng</t>
        </is>
      </c>
      <c r="AV166" t="inlineStr">
        <is>
          <t>17202355</t>
        </is>
      </c>
      <c r="AW166" t="inlineStr">
        <is>
          <t>991001185539702656</t>
        </is>
      </c>
      <c r="AX166" t="inlineStr">
        <is>
          <t>991001185539702656</t>
        </is>
      </c>
      <c r="AY166" t="inlineStr">
        <is>
          <t>2258852000002656</t>
        </is>
      </c>
      <c r="AZ166" t="inlineStr">
        <is>
          <t>BOOK</t>
        </is>
      </c>
      <c r="BB166" t="inlineStr">
        <is>
          <t>9781850003267</t>
        </is>
      </c>
      <c r="BC166" t="inlineStr">
        <is>
          <t>32285001105229</t>
        </is>
      </c>
      <c r="BD166" t="inlineStr">
        <is>
          <t>893621136</t>
        </is>
      </c>
    </row>
    <row r="167">
      <c r="A167" t="inlineStr">
        <is>
          <t>No</t>
        </is>
      </c>
      <c r="B167" t="inlineStr">
        <is>
          <t>LA417 .B49 1995</t>
        </is>
      </c>
      <c r="C167" t="inlineStr">
        <is>
          <t>0                      LA 0417000B  49          1995</t>
        </is>
      </c>
      <c r="D167" t="inlineStr">
        <is>
          <t>Beyond political correctness : toward the inclusive university / edited by Stephen Richer and Lorna Weir.</t>
        </is>
      </c>
      <c r="F167" t="inlineStr">
        <is>
          <t>No</t>
        </is>
      </c>
      <c r="G167" t="inlineStr">
        <is>
          <t>1</t>
        </is>
      </c>
      <c r="H167" t="inlineStr">
        <is>
          <t>No</t>
        </is>
      </c>
      <c r="I167" t="inlineStr">
        <is>
          <t>No</t>
        </is>
      </c>
      <c r="J167" t="inlineStr">
        <is>
          <t>0</t>
        </is>
      </c>
      <c r="L167" t="inlineStr">
        <is>
          <t>Toronto ; Buffalo : University of Toronto Press, c1995.</t>
        </is>
      </c>
      <c r="M167" t="inlineStr">
        <is>
          <t>1995</t>
        </is>
      </c>
      <c r="O167" t="inlineStr">
        <is>
          <t>eng</t>
        </is>
      </c>
      <c r="P167" t="inlineStr">
        <is>
          <t>onc</t>
        </is>
      </c>
      <c r="R167" t="inlineStr">
        <is>
          <t xml:space="preserve">LA </t>
        </is>
      </c>
      <c r="S167" t="n">
        <v>1</v>
      </c>
      <c r="T167" t="n">
        <v>1</v>
      </c>
      <c r="U167" t="inlineStr">
        <is>
          <t>2001-03-24</t>
        </is>
      </c>
      <c r="V167" t="inlineStr">
        <is>
          <t>2001-03-24</t>
        </is>
      </c>
      <c r="W167" t="inlineStr">
        <is>
          <t>1996-12-06</t>
        </is>
      </c>
      <c r="X167" t="inlineStr">
        <is>
          <t>1996-12-06</t>
        </is>
      </c>
      <c r="Y167" t="n">
        <v>367</v>
      </c>
      <c r="Z167" t="n">
        <v>251</v>
      </c>
      <c r="AA167" t="n">
        <v>306</v>
      </c>
      <c r="AB167" t="n">
        <v>3</v>
      </c>
      <c r="AC167" t="n">
        <v>3</v>
      </c>
      <c r="AD167" t="n">
        <v>16</v>
      </c>
      <c r="AE167" t="n">
        <v>20</v>
      </c>
      <c r="AF167" t="n">
        <v>5</v>
      </c>
      <c r="AG167" t="n">
        <v>8</v>
      </c>
      <c r="AH167" t="n">
        <v>3</v>
      </c>
      <c r="AI167" t="n">
        <v>3</v>
      </c>
      <c r="AJ167" t="n">
        <v>7</v>
      </c>
      <c r="AK167" t="n">
        <v>8</v>
      </c>
      <c r="AL167" t="n">
        <v>2</v>
      </c>
      <c r="AM167" t="n">
        <v>2</v>
      </c>
      <c r="AN167" t="n">
        <v>2</v>
      </c>
      <c r="AO167" t="n">
        <v>2</v>
      </c>
      <c r="AP167" t="inlineStr">
        <is>
          <t>No</t>
        </is>
      </c>
      <c r="AQ167" t="inlineStr">
        <is>
          <t>Yes</t>
        </is>
      </c>
      <c r="AR167">
        <f>HYPERLINK("http://catalog.hathitrust.org/Record/100071899","HathiTrust Record")</f>
        <v/>
      </c>
      <c r="AS167">
        <f>HYPERLINK("https://creighton-primo.hosted.exlibrisgroup.com/primo-explore/search?tab=default_tab&amp;search_scope=EVERYTHING&amp;vid=01CRU&amp;lang=en_US&amp;offset=0&amp;query=any,contains,991002438169702656","Catalog Record")</f>
        <v/>
      </c>
      <c r="AT167">
        <f>HYPERLINK("http://www.worldcat.org/oclc/31779417","WorldCat Record")</f>
        <v/>
      </c>
      <c r="AU167" t="inlineStr">
        <is>
          <t>894493441:eng</t>
        </is>
      </c>
      <c r="AV167" t="inlineStr">
        <is>
          <t>31779417</t>
        </is>
      </c>
      <c r="AW167" t="inlineStr">
        <is>
          <t>991002438169702656</t>
        </is>
      </c>
      <c r="AX167" t="inlineStr">
        <is>
          <t>991002438169702656</t>
        </is>
      </c>
      <c r="AY167" t="inlineStr">
        <is>
          <t>2258882150002656</t>
        </is>
      </c>
      <c r="AZ167" t="inlineStr">
        <is>
          <t>BOOK</t>
        </is>
      </c>
      <c r="BB167" t="inlineStr">
        <is>
          <t>9780802050250</t>
        </is>
      </c>
      <c r="BC167" t="inlineStr">
        <is>
          <t>32285002388782</t>
        </is>
      </c>
      <c r="BD167" t="inlineStr">
        <is>
          <t>893445161</t>
        </is>
      </c>
    </row>
    <row r="168">
      <c r="A168" t="inlineStr">
        <is>
          <t>No</t>
        </is>
      </c>
      <c r="B168" t="inlineStr">
        <is>
          <t>LA422 .K6 1973</t>
        </is>
      </c>
      <c r="C168" t="inlineStr">
        <is>
          <t>0                      LA 0422000K  6           1973</t>
        </is>
      </c>
      <c r="D168" t="inlineStr">
        <is>
          <t>The education of the Mexican nation / [by] George F. Kneller.</t>
        </is>
      </c>
      <c r="F168" t="inlineStr">
        <is>
          <t>No</t>
        </is>
      </c>
      <c r="G168" t="inlineStr">
        <is>
          <t>1</t>
        </is>
      </c>
      <c r="H168" t="inlineStr">
        <is>
          <t>No</t>
        </is>
      </c>
      <c r="I168" t="inlineStr">
        <is>
          <t>No</t>
        </is>
      </c>
      <c r="J168" t="inlineStr">
        <is>
          <t>0</t>
        </is>
      </c>
      <c r="K168" t="inlineStr">
        <is>
          <t>Kneller, George F. (George Frederick), 1908-</t>
        </is>
      </c>
      <c r="L168" t="inlineStr">
        <is>
          <t>New York : Octagon Books, 1973 [c1951]</t>
        </is>
      </c>
      <c r="M168" t="inlineStr">
        <is>
          <t>1973</t>
        </is>
      </c>
      <c r="O168" t="inlineStr">
        <is>
          <t>eng</t>
        </is>
      </c>
      <c r="P168" t="inlineStr">
        <is>
          <t>nyu</t>
        </is>
      </c>
      <c r="R168" t="inlineStr">
        <is>
          <t xml:space="preserve">LA </t>
        </is>
      </c>
      <c r="S168" t="n">
        <v>5</v>
      </c>
      <c r="T168" t="n">
        <v>5</v>
      </c>
      <c r="U168" t="inlineStr">
        <is>
          <t>2001-03-20</t>
        </is>
      </c>
      <c r="V168" t="inlineStr">
        <is>
          <t>2001-03-20</t>
        </is>
      </c>
      <c r="W168" t="inlineStr">
        <is>
          <t>1994-12-08</t>
        </is>
      </c>
      <c r="X168" t="inlineStr">
        <is>
          <t>1994-12-08</t>
        </is>
      </c>
      <c r="Y168" t="n">
        <v>196</v>
      </c>
      <c r="Z168" t="n">
        <v>172</v>
      </c>
      <c r="AA168" t="n">
        <v>397</v>
      </c>
      <c r="AB168" t="n">
        <v>1</v>
      </c>
      <c r="AC168" t="n">
        <v>4</v>
      </c>
      <c r="AD168" t="n">
        <v>5</v>
      </c>
      <c r="AE168" t="n">
        <v>18</v>
      </c>
      <c r="AF168" t="n">
        <v>1</v>
      </c>
      <c r="AG168" t="n">
        <v>4</v>
      </c>
      <c r="AH168" t="n">
        <v>4</v>
      </c>
      <c r="AI168" t="n">
        <v>6</v>
      </c>
      <c r="AJ168" t="n">
        <v>3</v>
      </c>
      <c r="AK168" t="n">
        <v>10</v>
      </c>
      <c r="AL168" t="n">
        <v>0</v>
      </c>
      <c r="AM168" t="n">
        <v>3</v>
      </c>
      <c r="AN168" t="n">
        <v>0</v>
      </c>
      <c r="AO168" t="n">
        <v>0</v>
      </c>
      <c r="AP168" t="inlineStr">
        <is>
          <t>No</t>
        </is>
      </c>
      <c r="AQ168" t="inlineStr">
        <is>
          <t>Yes</t>
        </is>
      </c>
      <c r="AR168">
        <f>HYPERLINK("http://catalog.hathitrust.org/Record/004419711","HathiTrust Record")</f>
        <v/>
      </c>
      <c r="AS168">
        <f>HYPERLINK("https://creighton-primo.hosted.exlibrisgroup.com/primo-explore/search?tab=default_tab&amp;search_scope=EVERYTHING&amp;vid=01CRU&amp;lang=en_US&amp;offset=0&amp;query=any,contains,991003012379702656","Catalog Record")</f>
        <v/>
      </c>
      <c r="AT168">
        <f>HYPERLINK("http://www.worldcat.org/oclc/578863","WorldCat Record")</f>
        <v/>
      </c>
      <c r="AU168" t="inlineStr">
        <is>
          <t>1718467:eng</t>
        </is>
      </c>
      <c r="AV168" t="inlineStr">
        <is>
          <t>578863</t>
        </is>
      </c>
      <c r="AW168" t="inlineStr">
        <is>
          <t>991003012379702656</t>
        </is>
      </c>
      <c r="AX168" t="inlineStr">
        <is>
          <t>991003012379702656</t>
        </is>
      </c>
      <c r="AY168" t="inlineStr">
        <is>
          <t>2258559620002656</t>
        </is>
      </c>
      <c r="AZ168" t="inlineStr">
        <is>
          <t>BOOK</t>
        </is>
      </c>
      <c r="BB168" t="inlineStr">
        <is>
          <t>9780374945954</t>
        </is>
      </c>
      <c r="BC168" t="inlineStr">
        <is>
          <t>32285001981116</t>
        </is>
      </c>
      <c r="BD168" t="inlineStr">
        <is>
          <t>893352643</t>
        </is>
      </c>
    </row>
    <row r="169">
      <c r="A169" t="inlineStr">
        <is>
          <t>No</t>
        </is>
      </c>
      <c r="B169" t="inlineStr">
        <is>
          <t>LA435 .W34</t>
        </is>
      </c>
      <c r="C169" t="inlineStr">
        <is>
          <t>0                      LA 0435000W  34</t>
        </is>
      </c>
      <c r="D169" t="inlineStr">
        <is>
          <t>Education in Central America / by George R. Waggoner and Barbara Ashton Waggoner.</t>
        </is>
      </c>
      <c r="F169" t="inlineStr">
        <is>
          <t>No</t>
        </is>
      </c>
      <c r="G169" t="inlineStr">
        <is>
          <t>1</t>
        </is>
      </c>
      <c r="H169" t="inlineStr">
        <is>
          <t>No</t>
        </is>
      </c>
      <c r="I169" t="inlineStr">
        <is>
          <t>No</t>
        </is>
      </c>
      <c r="J169" t="inlineStr">
        <is>
          <t>0</t>
        </is>
      </c>
      <c r="K169" t="inlineStr">
        <is>
          <t>Waggoner, George R., 1916-</t>
        </is>
      </c>
      <c r="L169" t="inlineStr">
        <is>
          <t>Lawrence : University Press of Kansas, [1971]</t>
        </is>
      </c>
      <c r="M169" t="inlineStr">
        <is>
          <t>1971</t>
        </is>
      </c>
      <c r="O169" t="inlineStr">
        <is>
          <t>eng</t>
        </is>
      </c>
      <c r="P169" t="inlineStr">
        <is>
          <t>ksu</t>
        </is>
      </c>
      <c r="R169" t="inlineStr">
        <is>
          <t xml:space="preserve">LA </t>
        </is>
      </c>
      <c r="S169" t="n">
        <v>1</v>
      </c>
      <c r="T169" t="n">
        <v>1</v>
      </c>
      <c r="U169" t="inlineStr">
        <is>
          <t>2005-08-29</t>
        </is>
      </c>
      <c r="V169" t="inlineStr">
        <is>
          <t>2005-08-29</t>
        </is>
      </c>
      <c r="W169" t="inlineStr">
        <is>
          <t>1995-04-26</t>
        </is>
      </c>
      <c r="X169" t="inlineStr">
        <is>
          <t>1995-04-26</t>
        </is>
      </c>
      <c r="Y169" t="n">
        <v>408</v>
      </c>
      <c r="Z169" t="n">
        <v>348</v>
      </c>
      <c r="AA169" t="n">
        <v>351</v>
      </c>
      <c r="AB169" t="n">
        <v>2</v>
      </c>
      <c r="AC169" t="n">
        <v>2</v>
      </c>
      <c r="AD169" t="n">
        <v>15</v>
      </c>
      <c r="AE169" t="n">
        <v>15</v>
      </c>
      <c r="AF169" t="n">
        <v>2</v>
      </c>
      <c r="AG169" t="n">
        <v>2</v>
      </c>
      <c r="AH169" t="n">
        <v>6</v>
      </c>
      <c r="AI169" t="n">
        <v>6</v>
      </c>
      <c r="AJ169" t="n">
        <v>9</v>
      </c>
      <c r="AK169" t="n">
        <v>9</v>
      </c>
      <c r="AL169" t="n">
        <v>1</v>
      </c>
      <c r="AM169" t="n">
        <v>1</v>
      </c>
      <c r="AN169" t="n">
        <v>0</v>
      </c>
      <c r="AO169" t="n">
        <v>0</v>
      </c>
      <c r="AP169" t="inlineStr">
        <is>
          <t>No</t>
        </is>
      </c>
      <c r="AQ169" t="inlineStr">
        <is>
          <t>Yes</t>
        </is>
      </c>
      <c r="AR169">
        <f>HYPERLINK("http://catalog.hathitrust.org/Record/001065239","HathiTrust Record")</f>
        <v/>
      </c>
      <c r="AS169">
        <f>HYPERLINK("https://creighton-primo.hosted.exlibrisgroup.com/primo-explore/search?tab=default_tab&amp;search_scope=EVERYTHING&amp;vid=01CRU&amp;lang=en_US&amp;offset=0&amp;query=any,contains,991000827059702656","Catalog Record")</f>
        <v/>
      </c>
      <c r="AT169">
        <f>HYPERLINK("http://www.worldcat.org/oclc/146434","WorldCat Record")</f>
        <v/>
      </c>
      <c r="AU169" t="inlineStr">
        <is>
          <t>1326215:eng</t>
        </is>
      </c>
      <c r="AV169" t="inlineStr">
        <is>
          <t>146434</t>
        </is>
      </c>
      <c r="AW169" t="inlineStr">
        <is>
          <t>991000827059702656</t>
        </is>
      </c>
      <c r="AX169" t="inlineStr">
        <is>
          <t>991000827059702656</t>
        </is>
      </c>
      <c r="AY169" t="inlineStr">
        <is>
          <t>2256339360002656</t>
        </is>
      </c>
      <c r="AZ169" t="inlineStr">
        <is>
          <t>BOOK</t>
        </is>
      </c>
      <c r="BB169" t="inlineStr">
        <is>
          <t>9780700600779</t>
        </is>
      </c>
      <c r="BC169" t="inlineStr">
        <is>
          <t>32285002029394</t>
        </is>
      </c>
      <c r="BD169" t="inlineStr">
        <is>
          <t>893803103</t>
        </is>
      </c>
    </row>
    <row r="170">
      <c r="A170" t="inlineStr">
        <is>
          <t>No</t>
        </is>
      </c>
      <c r="B170" t="inlineStr">
        <is>
          <t>LA461 .A75 1986</t>
        </is>
      </c>
      <c r="C170" t="inlineStr">
        <is>
          <t>0                      LA 0461000A  75          1986</t>
        </is>
      </c>
      <c r="D170" t="inlineStr">
        <is>
          <t>Education and revolution in Nicaragua / Robert F. Arnove.</t>
        </is>
      </c>
      <c r="F170" t="inlineStr">
        <is>
          <t>No</t>
        </is>
      </c>
      <c r="G170" t="inlineStr">
        <is>
          <t>1</t>
        </is>
      </c>
      <c r="H170" t="inlineStr">
        <is>
          <t>No</t>
        </is>
      </c>
      <c r="I170" t="inlineStr">
        <is>
          <t>No</t>
        </is>
      </c>
      <c r="J170" t="inlineStr">
        <is>
          <t>0</t>
        </is>
      </c>
      <c r="K170" t="inlineStr">
        <is>
          <t>Arnove, Robert F.</t>
        </is>
      </c>
      <c r="L170" t="inlineStr">
        <is>
          <t>New York : Praeger, 1986.</t>
        </is>
      </c>
      <c r="M170" t="inlineStr">
        <is>
          <t>1986</t>
        </is>
      </c>
      <c r="O170" t="inlineStr">
        <is>
          <t>eng</t>
        </is>
      </c>
      <c r="P170" t="inlineStr">
        <is>
          <t>nyu</t>
        </is>
      </c>
      <c r="Q170" t="inlineStr">
        <is>
          <t>Praeger special studies series in comparative education</t>
        </is>
      </c>
      <c r="R170" t="inlineStr">
        <is>
          <t xml:space="preserve">LA </t>
        </is>
      </c>
      <c r="S170" t="n">
        <v>5</v>
      </c>
      <c r="T170" t="n">
        <v>5</v>
      </c>
      <c r="U170" t="inlineStr">
        <is>
          <t>2005-08-29</t>
        </is>
      </c>
      <c r="V170" t="inlineStr">
        <is>
          <t>2005-08-29</t>
        </is>
      </c>
      <c r="W170" t="inlineStr">
        <is>
          <t>1992-10-13</t>
        </is>
      </c>
      <c r="X170" t="inlineStr">
        <is>
          <t>1992-10-13</t>
        </is>
      </c>
      <c r="Y170" t="n">
        <v>449</v>
      </c>
      <c r="Z170" t="n">
        <v>357</v>
      </c>
      <c r="AA170" t="n">
        <v>360</v>
      </c>
      <c r="AB170" t="n">
        <v>3</v>
      </c>
      <c r="AC170" t="n">
        <v>3</v>
      </c>
      <c r="AD170" t="n">
        <v>13</v>
      </c>
      <c r="AE170" t="n">
        <v>13</v>
      </c>
      <c r="AF170" t="n">
        <v>4</v>
      </c>
      <c r="AG170" t="n">
        <v>4</v>
      </c>
      <c r="AH170" t="n">
        <v>3</v>
      </c>
      <c r="AI170" t="n">
        <v>3</v>
      </c>
      <c r="AJ170" t="n">
        <v>8</v>
      </c>
      <c r="AK170" t="n">
        <v>8</v>
      </c>
      <c r="AL170" t="n">
        <v>2</v>
      </c>
      <c r="AM170" t="n">
        <v>2</v>
      </c>
      <c r="AN170" t="n">
        <v>0</v>
      </c>
      <c r="AO170" t="n">
        <v>0</v>
      </c>
      <c r="AP170" t="inlineStr">
        <is>
          <t>No</t>
        </is>
      </c>
      <c r="AQ170" t="inlineStr">
        <is>
          <t>Yes</t>
        </is>
      </c>
      <c r="AR170">
        <f>HYPERLINK("http://catalog.hathitrust.org/Record/000556900","HathiTrust Record")</f>
        <v/>
      </c>
      <c r="AS170">
        <f>HYPERLINK("https://creighton-primo.hosted.exlibrisgroup.com/primo-explore/search?tab=default_tab&amp;search_scope=EVERYTHING&amp;vid=01CRU&amp;lang=en_US&amp;offset=0&amp;query=any,contains,991000831799702656","Catalog Record")</f>
        <v/>
      </c>
      <c r="AT170">
        <f>HYPERLINK("http://www.worldcat.org/oclc/13455676","WorldCat Record")</f>
        <v/>
      </c>
      <c r="AU170" t="inlineStr">
        <is>
          <t>2561814:eng</t>
        </is>
      </c>
      <c r="AV170" t="inlineStr">
        <is>
          <t>13455676</t>
        </is>
      </c>
      <c r="AW170" t="inlineStr">
        <is>
          <t>991000831799702656</t>
        </is>
      </c>
      <c r="AX170" t="inlineStr">
        <is>
          <t>991000831799702656</t>
        </is>
      </c>
      <c r="AY170" t="inlineStr">
        <is>
          <t>2263649060002656</t>
        </is>
      </c>
      <c r="AZ170" t="inlineStr">
        <is>
          <t>BOOK</t>
        </is>
      </c>
      <c r="BB170" t="inlineStr">
        <is>
          <t>9780275921385</t>
        </is>
      </c>
      <c r="BC170" t="inlineStr">
        <is>
          <t>32285001347490</t>
        </is>
      </c>
      <c r="BD170" t="inlineStr">
        <is>
          <t>893407565</t>
        </is>
      </c>
    </row>
    <row r="171">
      <c r="A171" t="inlineStr">
        <is>
          <t>No</t>
        </is>
      </c>
      <c r="B171" t="inlineStr">
        <is>
          <t>LA476 .M55 1992</t>
        </is>
      </c>
      <c r="C171" t="inlineStr">
        <is>
          <t>0                      LA 0476000M  55          1992</t>
        </is>
      </c>
      <c r="D171" t="inlineStr">
        <is>
          <t>Education for all : Caribbean perspectives and imperatives / by Errol Miller.</t>
        </is>
      </c>
      <c r="F171" t="inlineStr">
        <is>
          <t>No</t>
        </is>
      </c>
      <c r="G171" t="inlineStr">
        <is>
          <t>1</t>
        </is>
      </c>
      <c r="H171" t="inlineStr">
        <is>
          <t>No</t>
        </is>
      </c>
      <c r="I171" t="inlineStr">
        <is>
          <t>No</t>
        </is>
      </c>
      <c r="J171" t="inlineStr">
        <is>
          <t>0</t>
        </is>
      </c>
      <c r="K171" t="inlineStr">
        <is>
          <t>Miller, Errol.</t>
        </is>
      </c>
      <c r="L171" t="inlineStr">
        <is>
          <t>Washington, D.C. : Inter-American Development Bank ; Baltimore, Md. : Distributed by the Johns Hopkins University Press, [1992]</t>
        </is>
      </c>
      <c r="M171" t="inlineStr">
        <is>
          <t>1992</t>
        </is>
      </c>
      <c r="O171" t="inlineStr">
        <is>
          <t>eng</t>
        </is>
      </c>
      <c r="P171" t="inlineStr">
        <is>
          <t>dcu</t>
        </is>
      </c>
      <c r="R171" t="inlineStr">
        <is>
          <t xml:space="preserve">LA </t>
        </is>
      </c>
      <c r="S171" t="n">
        <v>1</v>
      </c>
      <c r="T171" t="n">
        <v>1</v>
      </c>
      <c r="U171" t="inlineStr">
        <is>
          <t>1996-06-16</t>
        </is>
      </c>
      <c r="V171" t="inlineStr">
        <is>
          <t>1996-06-16</t>
        </is>
      </c>
      <c r="W171" t="inlineStr">
        <is>
          <t>1996-01-10</t>
        </is>
      </c>
      <c r="X171" t="inlineStr">
        <is>
          <t>1996-01-10</t>
        </is>
      </c>
      <c r="Y171" t="n">
        <v>175</v>
      </c>
      <c r="Z171" t="n">
        <v>124</v>
      </c>
      <c r="AA171" t="n">
        <v>126</v>
      </c>
      <c r="AB171" t="n">
        <v>2</v>
      </c>
      <c r="AC171" t="n">
        <v>2</v>
      </c>
      <c r="AD171" t="n">
        <v>7</v>
      </c>
      <c r="AE171" t="n">
        <v>7</v>
      </c>
      <c r="AF171" t="n">
        <v>0</v>
      </c>
      <c r="AG171" t="n">
        <v>0</v>
      </c>
      <c r="AH171" t="n">
        <v>4</v>
      </c>
      <c r="AI171" t="n">
        <v>4</v>
      </c>
      <c r="AJ171" t="n">
        <v>5</v>
      </c>
      <c r="AK171" t="n">
        <v>5</v>
      </c>
      <c r="AL171" t="n">
        <v>1</v>
      </c>
      <c r="AM171" t="n">
        <v>1</v>
      </c>
      <c r="AN171" t="n">
        <v>0</v>
      </c>
      <c r="AO171" t="n">
        <v>0</v>
      </c>
      <c r="AP171" t="inlineStr">
        <is>
          <t>No</t>
        </is>
      </c>
      <c r="AQ171" t="inlineStr">
        <is>
          <t>Yes</t>
        </is>
      </c>
      <c r="AR171">
        <f>HYPERLINK("http://catalog.hathitrust.org/Record/002561229","HathiTrust Record")</f>
        <v/>
      </c>
      <c r="AS171">
        <f>HYPERLINK("https://creighton-primo.hosted.exlibrisgroup.com/primo-explore/search?tab=default_tab&amp;search_scope=EVERYTHING&amp;vid=01CRU&amp;lang=en_US&amp;offset=0&amp;query=any,contains,991002031239702656","Catalog Record")</f>
        <v/>
      </c>
      <c r="AT171">
        <f>HYPERLINK("http://www.worldcat.org/oclc/25863394","WorldCat Record")</f>
        <v/>
      </c>
      <c r="AU171" t="inlineStr">
        <is>
          <t>375259430:eng</t>
        </is>
      </c>
      <c r="AV171" t="inlineStr">
        <is>
          <t>25863394</t>
        </is>
      </c>
      <c r="AW171" t="inlineStr">
        <is>
          <t>991002031239702656</t>
        </is>
      </c>
      <c r="AX171" t="inlineStr">
        <is>
          <t>991002031239702656</t>
        </is>
      </c>
      <c r="AY171" t="inlineStr">
        <is>
          <t>2258123600002656</t>
        </is>
      </c>
      <c r="AZ171" t="inlineStr">
        <is>
          <t>BOOK</t>
        </is>
      </c>
      <c r="BB171" t="inlineStr">
        <is>
          <t>9780940602458</t>
        </is>
      </c>
      <c r="BC171" t="inlineStr">
        <is>
          <t>32285002115755</t>
        </is>
      </c>
      <c r="BD171" t="inlineStr">
        <is>
          <t>893340956</t>
        </is>
      </c>
    </row>
    <row r="172">
      <c r="A172" t="inlineStr">
        <is>
          <t>No</t>
        </is>
      </c>
      <c r="B172" t="inlineStr">
        <is>
          <t>LA486 .K69</t>
        </is>
      </c>
      <c r="C172" t="inlineStr">
        <is>
          <t>0                      LA 0486000K  69</t>
        </is>
      </c>
      <c r="D172" t="inlineStr">
        <is>
          <t>Children of the revolution : a Yankee teacher in the Cuban schools / Jonathan Kozol.</t>
        </is>
      </c>
      <c r="F172" t="inlineStr">
        <is>
          <t>No</t>
        </is>
      </c>
      <c r="G172" t="inlineStr">
        <is>
          <t>1</t>
        </is>
      </c>
      <c r="H172" t="inlineStr">
        <is>
          <t>No</t>
        </is>
      </c>
      <c r="I172" t="inlineStr">
        <is>
          <t>No</t>
        </is>
      </c>
      <c r="J172" t="inlineStr">
        <is>
          <t>0</t>
        </is>
      </c>
      <c r="K172" t="inlineStr">
        <is>
          <t>Kozol, Jonathan.</t>
        </is>
      </c>
      <c r="L172" t="inlineStr">
        <is>
          <t>New York : Delacorte Press, c1978.</t>
        </is>
      </c>
      <c r="M172" t="inlineStr">
        <is>
          <t>1978</t>
        </is>
      </c>
      <c r="O172" t="inlineStr">
        <is>
          <t>eng</t>
        </is>
      </c>
      <c r="P172" t="inlineStr">
        <is>
          <t>nyu</t>
        </is>
      </c>
      <c r="R172" t="inlineStr">
        <is>
          <t xml:space="preserve">LA </t>
        </is>
      </c>
      <c r="S172" t="n">
        <v>9</v>
      </c>
      <c r="T172" t="n">
        <v>9</v>
      </c>
      <c r="U172" t="inlineStr">
        <is>
          <t>2005-03-22</t>
        </is>
      </c>
      <c r="V172" t="inlineStr">
        <is>
          <t>2005-03-22</t>
        </is>
      </c>
      <c r="W172" t="inlineStr">
        <is>
          <t>1995-04-20</t>
        </is>
      </c>
      <c r="X172" t="inlineStr">
        <is>
          <t>1995-04-20</t>
        </is>
      </c>
      <c r="Y172" t="n">
        <v>815</v>
      </c>
      <c r="Z172" t="n">
        <v>755</v>
      </c>
      <c r="AA172" t="n">
        <v>818</v>
      </c>
      <c r="AB172" t="n">
        <v>6</v>
      </c>
      <c r="AC172" t="n">
        <v>7</v>
      </c>
      <c r="AD172" t="n">
        <v>24</v>
      </c>
      <c r="AE172" t="n">
        <v>28</v>
      </c>
      <c r="AF172" t="n">
        <v>8</v>
      </c>
      <c r="AG172" t="n">
        <v>10</v>
      </c>
      <c r="AH172" t="n">
        <v>5</v>
      </c>
      <c r="AI172" t="n">
        <v>6</v>
      </c>
      <c r="AJ172" t="n">
        <v>9</v>
      </c>
      <c r="AK172" t="n">
        <v>10</v>
      </c>
      <c r="AL172" t="n">
        <v>5</v>
      </c>
      <c r="AM172" t="n">
        <v>6</v>
      </c>
      <c r="AN172" t="n">
        <v>0</v>
      </c>
      <c r="AO172" t="n">
        <v>0</v>
      </c>
      <c r="AP172" t="inlineStr">
        <is>
          <t>No</t>
        </is>
      </c>
      <c r="AQ172" t="inlineStr">
        <is>
          <t>Yes</t>
        </is>
      </c>
      <c r="AR172">
        <f>HYPERLINK("http://catalog.hathitrust.org/Record/000176742","HathiTrust Record")</f>
        <v/>
      </c>
      <c r="AS172">
        <f>HYPERLINK("https://creighton-primo.hosted.exlibrisgroup.com/primo-explore/search?tab=default_tab&amp;search_scope=EVERYTHING&amp;vid=01CRU&amp;lang=en_US&amp;offset=0&amp;query=any,contains,991004566689702656","Catalog Record")</f>
        <v/>
      </c>
      <c r="AT172">
        <f>HYPERLINK("http://www.worldcat.org/oclc/4004674","WorldCat Record")</f>
        <v/>
      </c>
      <c r="AU172" t="inlineStr">
        <is>
          <t>456441:eng</t>
        </is>
      </c>
      <c r="AV172" t="inlineStr">
        <is>
          <t>4004674</t>
        </is>
      </c>
      <c r="AW172" t="inlineStr">
        <is>
          <t>991004566689702656</t>
        </is>
      </c>
      <c r="AX172" t="inlineStr">
        <is>
          <t>991004566689702656</t>
        </is>
      </c>
      <c r="AY172" t="inlineStr">
        <is>
          <t>2264878480002656</t>
        </is>
      </c>
      <c r="AZ172" t="inlineStr">
        <is>
          <t>BOOK</t>
        </is>
      </c>
      <c r="BB172" t="inlineStr">
        <is>
          <t>9780440009825</t>
        </is>
      </c>
      <c r="BC172" t="inlineStr">
        <is>
          <t>32285000617927</t>
        </is>
      </c>
      <c r="BD172" t="inlineStr">
        <is>
          <t>893712773</t>
        </is>
      </c>
    </row>
    <row r="173">
      <c r="A173" t="inlineStr">
        <is>
          <t>No</t>
        </is>
      </c>
      <c r="B173" t="inlineStr">
        <is>
          <t>LA541 .E277 1985</t>
        </is>
      </c>
      <c r="C173" t="inlineStr">
        <is>
          <t>0                      LA 0541000E  277         1985</t>
        </is>
      </c>
      <c r="D173" t="inlineStr">
        <is>
          <t>Education in Latin America / edited by Colin Brock and Hugh Lawlor.</t>
        </is>
      </c>
      <c r="F173" t="inlineStr">
        <is>
          <t>No</t>
        </is>
      </c>
      <c r="G173" t="inlineStr">
        <is>
          <t>1</t>
        </is>
      </c>
      <c r="H173" t="inlineStr">
        <is>
          <t>No</t>
        </is>
      </c>
      <c r="I173" t="inlineStr">
        <is>
          <t>No</t>
        </is>
      </c>
      <c r="J173" t="inlineStr">
        <is>
          <t>0</t>
        </is>
      </c>
      <c r="L173" t="inlineStr">
        <is>
          <t>London ; Dover, N.H. : Croom Helm, c1985.</t>
        </is>
      </c>
      <c r="M173" t="inlineStr">
        <is>
          <t>1985</t>
        </is>
      </c>
      <c r="O173" t="inlineStr">
        <is>
          <t>eng</t>
        </is>
      </c>
      <c r="P173" t="inlineStr">
        <is>
          <t>enk</t>
        </is>
      </c>
      <c r="R173" t="inlineStr">
        <is>
          <t xml:space="preserve">LA </t>
        </is>
      </c>
      <c r="S173" t="n">
        <v>6</v>
      </c>
      <c r="T173" t="n">
        <v>6</v>
      </c>
      <c r="U173" t="inlineStr">
        <is>
          <t>2001-03-20</t>
        </is>
      </c>
      <c r="V173" t="inlineStr">
        <is>
          <t>2001-03-20</t>
        </is>
      </c>
      <c r="W173" t="inlineStr">
        <is>
          <t>1992-01-03</t>
        </is>
      </c>
      <c r="X173" t="inlineStr">
        <is>
          <t>1992-01-03</t>
        </is>
      </c>
      <c r="Y173" t="n">
        <v>365</v>
      </c>
      <c r="Z173" t="n">
        <v>253</v>
      </c>
      <c r="AA173" t="n">
        <v>275</v>
      </c>
      <c r="AB173" t="n">
        <v>3</v>
      </c>
      <c r="AC173" t="n">
        <v>3</v>
      </c>
      <c r="AD173" t="n">
        <v>8</v>
      </c>
      <c r="AE173" t="n">
        <v>8</v>
      </c>
      <c r="AF173" t="n">
        <v>2</v>
      </c>
      <c r="AG173" t="n">
        <v>2</v>
      </c>
      <c r="AH173" t="n">
        <v>2</v>
      </c>
      <c r="AI173" t="n">
        <v>2</v>
      </c>
      <c r="AJ173" t="n">
        <v>5</v>
      </c>
      <c r="AK173" t="n">
        <v>5</v>
      </c>
      <c r="AL173" t="n">
        <v>2</v>
      </c>
      <c r="AM173" t="n">
        <v>2</v>
      </c>
      <c r="AN173" t="n">
        <v>0</v>
      </c>
      <c r="AO173" t="n">
        <v>0</v>
      </c>
      <c r="AP173" t="inlineStr">
        <is>
          <t>No</t>
        </is>
      </c>
      <c r="AQ173" t="inlineStr">
        <is>
          <t>No</t>
        </is>
      </c>
      <c r="AS173">
        <f>HYPERLINK("https://creighton-primo.hosted.exlibrisgroup.com/primo-explore/search?tab=default_tab&amp;search_scope=EVERYTHING&amp;vid=01CRU&amp;lang=en_US&amp;offset=0&amp;query=any,contains,991000579709702656","Catalog Record")</f>
        <v/>
      </c>
      <c r="AT173">
        <f>HYPERLINK("http://www.worldcat.org/oclc/11727206","WorldCat Record")</f>
        <v/>
      </c>
      <c r="AU173" t="inlineStr">
        <is>
          <t>355383711:eng</t>
        </is>
      </c>
      <c r="AV173" t="inlineStr">
        <is>
          <t>11727206</t>
        </is>
      </c>
      <c r="AW173" t="inlineStr">
        <is>
          <t>991000579709702656</t>
        </is>
      </c>
      <c r="AX173" t="inlineStr">
        <is>
          <t>991000579709702656</t>
        </is>
      </c>
      <c r="AY173" t="inlineStr">
        <is>
          <t>2255099400002656</t>
        </is>
      </c>
      <c r="AZ173" t="inlineStr">
        <is>
          <t>BOOK</t>
        </is>
      </c>
      <c r="BB173" t="inlineStr">
        <is>
          <t>9780709932734</t>
        </is>
      </c>
      <c r="BC173" t="inlineStr">
        <is>
          <t>32285000882604</t>
        </is>
      </c>
      <c r="BD173" t="inlineStr">
        <is>
          <t>893333596</t>
        </is>
      </c>
    </row>
    <row r="174">
      <c r="A174" t="inlineStr">
        <is>
          <t>No</t>
        </is>
      </c>
      <c r="B174" t="inlineStr">
        <is>
          <t>LA631 .G37 1978</t>
        </is>
      </c>
      <c r="C174" t="inlineStr">
        <is>
          <t>0                      LA 0631000G  37          1978</t>
        </is>
      </c>
      <c r="D174" t="inlineStr">
        <is>
          <t>The old school tie : the phenomenon of the English public school / Jonathan Gathorne-Hardy.</t>
        </is>
      </c>
      <c r="F174" t="inlineStr">
        <is>
          <t>No</t>
        </is>
      </c>
      <c r="G174" t="inlineStr">
        <is>
          <t>1</t>
        </is>
      </c>
      <c r="H174" t="inlineStr">
        <is>
          <t>No</t>
        </is>
      </c>
      <c r="I174" t="inlineStr">
        <is>
          <t>No</t>
        </is>
      </c>
      <c r="J174" t="inlineStr">
        <is>
          <t>0</t>
        </is>
      </c>
      <c r="K174" t="inlineStr">
        <is>
          <t>Gathorne-Hardy, Jonathan.</t>
        </is>
      </c>
      <c r="L174" t="inlineStr">
        <is>
          <t>New York : Viking Press, 1978, c1977.</t>
        </is>
      </c>
      <c r="M174" t="inlineStr">
        <is>
          <t>1978</t>
        </is>
      </c>
      <c r="O174" t="inlineStr">
        <is>
          <t>eng</t>
        </is>
      </c>
      <c r="P174" t="inlineStr">
        <is>
          <t>nyu</t>
        </is>
      </c>
      <c r="R174" t="inlineStr">
        <is>
          <t xml:space="preserve">LA </t>
        </is>
      </c>
      <c r="S174" t="n">
        <v>2</v>
      </c>
      <c r="T174" t="n">
        <v>2</v>
      </c>
      <c r="U174" t="inlineStr">
        <is>
          <t>2009-04-18</t>
        </is>
      </c>
      <c r="V174" t="inlineStr">
        <is>
          <t>2009-04-18</t>
        </is>
      </c>
      <c r="W174" t="inlineStr">
        <is>
          <t>1992-10-13</t>
        </is>
      </c>
      <c r="X174" t="inlineStr">
        <is>
          <t>1992-10-13</t>
        </is>
      </c>
      <c r="Y174" t="n">
        <v>531</v>
      </c>
      <c r="Z174" t="n">
        <v>483</v>
      </c>
      <c r="AA174" t="n">
        <v>492</v>
      </c>
      <c r="AB174" t="n">
        <v>1</v>
      </c>
      <c r="AC174" t="n">
        <v>1</v>
      </c>
      <c r="AD174" t="n">
        <v>16</v>
      </c>
      <c r="AE174" t="n">
        <v>16</v>
      </c>
      <c r="AF174" t="n">
        <v>8</v>
      </c>
      <c r="AG174" t="n">
        <v>8</v>
      </c>
      <c r="AH174" t="n">
        <v>2</v>
      </c>
      <c r="AI174" t="n">
        <v>2</v>
      </c>
      <c r="AJ174" t="n">
        <v>12</v>
      </c>
      <c r="AK174" t="n">
        <v>12</v>
      </c>
      <c r="AL174" t="n">
        <v>0</v>
      </c>
      <c r="AM174" t="n">
        <v>0</v>
      </c>
      <c r="AN174" t="n">
        <v>0</v>
      </c>
      <c r="AO174" t="n">
        <v>0</v>
      </c>
      <c r="AP174" t="inlineStr">
        <is>
          <t>No</t>
        </is>
      </c>
      <c r="AQ174" t="inlineStr">
        <is>
          <t>Yes</t>
        </is>
      </c>
      <c r="AR174">
        <f>HYPERLINK("http://catalog.hathitrust.org/Record/000092833","HathiTrust Record")</f>
        <v/>
      </c>
      <c r="AS174">
        <f>HYPERLINK("https://creighton-primo.hosted.exlibrisgroup.com/primo-explore/search?tab=default_tab&amp;search_scope=EVERYTHING&amp;vid=01CRU&amp;lang=en_US&amp;offset=0&amp;query=any,contains,991004486919702656","Catalog Record")</f>
        <v/>
      </c>
      <c r="AT174">
        <f>HYPERLINK("http://www.worldcat.org/oclc/3649666","WorldCat Record")</f>
        <v/>
      </c>
      <c r="AU174" t="inlineStr">
        <is>
          <t>353315422:eng</t>
        </is>
      </c>
      <c r="AV174" t="inlineStr">
        <is>
          <t>3649666</t>
        </is>
      </c>
      <c r="AW174" t="inlineStr">
        <is>
          <t>991004486919702656</t>
        </is>
      </c>
      <c r="AX174" t="inlineStr">
        <is>
          <t>991004486919702656</t>
        </is>
      </c>
      <c r="AY174" t="inlineStr">
        <is>
          <t>2255787130002656</t>
        </is>
      </c>
      <c r="AZ174" t="inlineStr">
        <is>
          <t>BOOK</t>
        </is>
      </c>
      <c r="BB174" t="inlineStr">
        <is>
          <t>9780670523160</t>
        </is>
      </c>
      <c r="BC174" t="inlineStr">
        <is>
          <t>32285001347573</t>
        </is>
      </c>
      <c r="BD174" t="inlineStr">
        <is>
          <t>893442669</t>
        </is>
      </c>
    </row>
    <row r="175">
      <c r="A175" t="inlineStr">
        <is>
          <t>No</t>
        </is>
      </c>
      <c r="B175" t="inlineStr">
        <is>
          <t>LA631.7 .S5</t>
        </is>
      </c>
      <c r="C175" t="inlineStr">
        <is>
          <t>0                      LA 0631700S  5</t>
        </is>
      </c>
      <c r="D175" t="inlineStr">
        <is>
          <t>Studies in the history of education, 1780-1870.</t>
        </is>
      </c>
      <c r="F175" t="inlineStr">
        <is>
          <t>No</t>
        </is>
      </c>
      <c r="G175" t="inlineStr">
        <is>
          <t>1</t>
        </is>
      </c>
      <c r="H175" t="inlineStr">
        <is>
          <t>No</t>
        </is>
      </c>
      <c r="I175" t="inlineStr">
        <is>
          <t>No</t>
        </is>
      </c>
      <c r="J175" t="inlineStr">
        <is>
          <t>0</t>
        </is>
      </c>
      <c r="K175" t="inlineStr">
        <is>
          <t>Simon, Brian.</t>
        </is>
      </c>
      <c r="L175" t="inlineStr">
        <is>
          <t>London, Lawrence &amp; Wishart, 1960.</t>
        </is>
      </c>
      <c r="M175" t="inlineStr">
        <is>
          <t>1960</t>
        </is>
      </c>
      <c r="O175" t="inlineStr">
        <is>
          <t>eng</t>
        </is>
      </c>
      <c r="P175" t="inlineStr">
        <is>
          <t xml:space="preserve">xx </t>
        </is>
      </c>
      <c r="R175" t="inlineStr">
        <is>
          <t xml:space="preserve">LA </t>
        </is>
      </c>
      <c r="S175" t="n">
        <v>1</v>
      </c>
      <c r="T175" t="n">
        <v>1</v>
      </c>
      <c r="U175" t="inlineStr">
        <is>
          <t>1997-11-26</t>
        </is>
      </c>
      <c r="V175" t="inlineStr">
        <is>
          <t>1997-11-26</t>
        </is>
      </c>
      <c r="W175" t="inlineStr">
        <is>
          <t>1997-04-21</t>
        </is>
      </c>
      <c r="X175" t="inlineStr">
        <is>
          <t>1997-04-21</t>
        </is>
      </c>
      <c r="Y175" t="n">
        <v>341</v>
      </c>
      <c r="Z175" t="n">
        <v>190</v>
      </c>
      <c r="AA175" t="n">
        <v>207</v>
      </c>
      <c r="AB175" t="n">
        <v>2</v>
      </c>
      <c r="AC175" t="n">
        <v>2</v>
      </c>
      <c r="AD175" t="n">
        <v>11</v>
      </c>
      <c r="AE175" t="n">
        <v>11</v>
      </c>
      <c r="AF175" t="n">
        <v>4</v>
      </c>
      <c r="AG175" t="n">
        <v>4</v>
      </c>
      <c r="AH175" t="n">
        <v>2</v>
      </c>
      <c r="AI175" t="n">
        <v>2</v>
      </c>
      <c r="AJ175" t="n">
        <v>6</v>
      </c>
      <c r="AK175" t="n">
        <v>6</v>
      </c>
      <c r="AL175" t="n">
        <v>1</v>
      </c>
      <c r="AM175" t="n">
        <v>1</v>
      </c>
      <c r="AN175" t="n">
        <v>0</v>
      </c>
      <c r="AO175" t="n">
        <v>0</v>
      </c>
      <c r="AP175" t="inlineStr">
        <is>
          <t>No</t>
        </is>
      </c>
      <c r="AQ175" t="inlineStr">
        <is>
          <t>Yes</t>
        </is>
      </c>
      <c r="AR175">
        <f>HYPERLINK("http://catalog.hathitrust.org/Record/001117279","HathiTrust Record")</f>
        <v/>
      </c>
      <c r="AS175">
        <f>HYPERLINK("https://creighton-primo.hosted.exlibrisgroup.com/primo-explore/search?tab=default_tab&amp;search_scope=EVERYTHING&amp;vid=01CRU&amp;lang=en_US&amp;offset=0&amp;query=any,contains,991004426549702656","Catalog Record")</f>
        <v/>
      </c>
      <c r="AT175">
        <f>HYPERLINK("http://www.worldcat.org/oclc/3401253","WorldCat Record")</f>
        <v/>
      </c>
      <c r="AU175" t="inlineStr">
        <is>
          <t>2139235:eng</t>
        </is>
      </c>
      <c r="AV175" t="inlineStr">
        <is>
          <t>3401253</t>
        </is>
      </c>
      <c r="AW175" t="inlineStr">
        <is>
          <t>991004426549702656</t>
        </is>
      </c>
      <c r="AX175" t="inlineStr">
        <is>
          <t>991004426549702656</t>
        </is>
      </c>
      <c r="AY175" t="inlineStr">
        <is>
          <t>2256262140002656</t>
        </is>
      </c>
      <c r="AZ175" t="inlineStr">
        <is>
          <t>BOOK</t>
        </is>
      </c>
      <c r="BC175" t="inlineStr">
        <is>
          <t>32285002559416</t>
        </is>
      </c>
      <c r="BD175" t="inlineStr">
        <is>
          <t>893706403</t>
        </is>
      </c>
    </row>
    <row r="176">
      <c r="A176" t="inlineStr">
        <is>
          <t>No</t>
        </is>
      </c>
      <c r="B176" t="inlineStr">
        <is>
          <t>LA632 .H55 1982</t>
        </is>
      </c>
      <c r="C176" t="inlineStr">
        <is>
          <t>0                      LA 0632000H  55          1982</t>
        </is>
      </c>
      <c r="D176" t="inlineStr">
        <is>
          <t>An English temper : essays on education, culture, and communications / Richard Hoggart.</t>
        </is>
      </c>
      <c r="F176" t="inlineStr">
        <is>
          <t>No</t>
        </is>
      </c>
      <c r="G176" t="inlineStr">
        <is>
          <t>1</t>
        </is>
      </c>
      <c r="H176" t="inlineStr">
        <is>
          <t>No</t>
        </is>
      </c>
      <c r="I176" t="inlineStr">
        <is>
          <t>No</t>
        </is>
      </c>
      <c r="J176" t="inlineStr">
        <is>
          <t>0</t>
        </is>
      </c>
      <c r="K176" t="inlineStr">
        <is>
          <t>Hoggart, Richard, 1918-2014.</t>
        </is>
      </c>
      <c r="L176" t="inlineStr">
        <is>
          <t>New York : Oxford University Press, 1982.</t>
        </is>
      </c>
      <c r="M176" t="inlineStr">
        <is>
          <t>1982</t>
        </is>
      </c>
      <c r="O176" t="inlineStr">
        <is>
          <t>eng</t>
        </is>
      </c>
      <c r="P176" t="inlineStr">
        <is>
          <t>nyu</t>
        </is>
      </c>
      <c r="R176" t="inlineStr">
        <is>
          <t xml:space="preserve">LA </t>
        </is>
      </c>
      <c r="S176" t="n">
        <v>2</v>
      </c>
      <c r="T176" t="n">
        <v>2</v>
      </c>
      <c r="U176" t="inlineStr">
        <is>
          <t>1998-02-10</t>
        </is>
      </c>
      <c r="V176" t="inlineStr">
        <is>
          <t>1998-02-10</t>
        </is>
      </c>
      <c r="W176" t="inlineStr">
        <is>
          <t>1992-10-13</t>
        </is>
      </c>
      <c r="X176" t="inlineStr">
        <is>
          <t>1992-10-13</t>
        </is>
      </c>
      <c r="Y176" t="n">
        <v>206</v>
      </c>
      <c r="Z176" t="n">
        <v>192</v>
      </c>
      <c r="AA176" t="n">
        <v>221</v>
      </c>
      <c r="AB176" t="n">
        <v>1</v>
      </c>
      <c r="AC176" t="n">
        <v>1</v>
      </c>
      <c r="AD176" t="n">
        <v>7</v>
      </c>
      <c r="AE176" t="n">
        <v>7</v>
      </c>
      <c r="AF176" t="n">
        <v>2</v>
      </c>
      <c r="AG176" t="n">
        <v>2</v>
      </c>
      <c r="AH176" t="n">
        <v>2</v>
      </c>
      <c r="AI176" t="n">
        <v>2</v>
      </c>
      <c r="AJ176" t="n">
        <v>6</v>
      </c>
      <c r="AK176" t="n">
        <v>6</v>
      </c>
      <c r="AL176" t="n">
        <v>0</v>
      </c>
      <c r="AM176" t="n">
        <v>0</v>
      </c>
      <c r="AN176" t="n">
        <v>0</v>
      </c>
      <c r="AO176" t="n">
        <v>0</v>
      </c>
      <c r="AP176" t="inlineStr">
        <is>
          <t>No</t>
        </is>
      </c>
      <c r="AQ176" t="inlineStr">
        <is>
          <t>No</t>
        </is>
      </c>
      <c r="AS176">
        <f>HYPERLINK("https://creighton-primo.hosted.exlibrisgroup.com/primo-explore/search?tab=default_tab&amp;search_scope=EVERYTHING&amp;vid=01CRU&amp;lang=en_US&amp;offset=0&amp;query=any,contains,991000013819702656","Catalog Record")</f>
        <v/>
      </c>
      <c r="AT176">
        <f>HYPERLINK("http://www.worldcat.org/oclc/8550396","WorldCat Record")</f>
        <v/>
      </c>
      <c r="AU176" t="inlineStr">
        <is>
          <t>415463:eng</t>
        </is>
      </c>
      <c r="AV176" t="inlineStr">
        <is>
          <t>8550396</t>
        </is>
      </c>
      <c r="AW176" t="inlineStr">
        <is>
          <t>991000013819702656</t>
        </is>
      </c>
      <c r="AX176" t="inlineStr">
        <is>
          <t>991000013819702656</t>
        </is>
      </c>
      <c r="AY176" t="inlineStr">
        <is>
          <t>2258369220002656</t>
        </is>
      </c>
      <c r="AZ176" t="inlineStr">
        <is>
          <t>BOOK</t>
        </is>
      </c>
      <c r="BB176" t="inlineStr">
        <is>
          <t>9780195203769</t>
        </is>
      </c>
      <c r="BC176" t="inlineStr">
        <is>
          <t>32285001347631</t>
        </is>
      </c>
      <c r="BD176" t="inlineStr">
        <is>
          <t>893890323</t>
        </is>
      </c>
    </row>
    <row r="177">
      <c r="A177" t="inlineStr">
        <is>
          <t>No</t>
        </is>
      </c>
      <c r="B177" t="inlineStr">
        <is>
          <t>LA632 .J57 1987</t>
        </is>
      </c>
      <c r="C177" t="inlineStr">
        <is>
          <t>0                      LA 0632000J  57          1987</t>
        </is>
      </c>
      <c r="D177" t="inlineStr">
        <is>
          <t>Private schools and state schools : two systems or one? / Daphne Johnson.</t>
        </is>
      </c>
      <c r="F177" t="inlineStr">
        <is>
          <t>No</t>
        </is>
      </c>
      <c r="G177" t="inlineStr">
        <is>
          <t>1</t>
        </is>
      </c>
      <c r="H177" t="inlineStr">
        <is>
          <t>No</t>
        </is>
      </c>
      <c r="I177" t="inlineStr">
        <is>
          <t>No</t>
        </is>
      </c>
      <c r="J177" t="inlineStr">
        <is>
          <t>0</t>
        </is>
      </c>
      <c r="K177" t="inlineStr">
        <is>
          <t>Johnson, Daphne.</t>
        </is>
      </c>
      <c r="L177" t="inlineStr">
        <is>
          <t>Milton Keynes, England ; Philadelphia : Open University Press, 1987.</t>
        </is>
      </c>
      <c r="M177" t="inlineStr">
        <is>
          <t>1987</t>
        </is>
      </c>
      <c r="O177" t="inlineStr">
        <is>
          <t>eng</t>
        </is>
      </c>
      <c r="P177" t="inlineStr">
        <is>
          <t>enk</t>
        </is>
      </c>
      <c r="R177" t="inlineStr">
        <is>
          <t xml:space="preserve">LA </t>
        </is>
      </c>
      <c r="S177" t="n">
        <v>12</v>
      </c>
      <c r="T177" t="n">
        <v>12</v>
      </c>
      <c r="U177" t="inlineStr">
        <is>
          <t>2008-02-03</t>
        </is>
      </c>
      <c r="V177" t="inlineStr">
        <is>
          <t>2008-02-03</t>
        </is>
      </c>
      <c r="W177" t="inlineStr">
        <is>
          <t>1992-10-13</t>
        </is>
      </c>
      <c r="X177" t="inlineStr">
        <is>
          <t>1992-10-13</t>
        </is>
      </c>
      <c r="Y177" t="n">
        <v>200</v>
      </c>
      <c r="Z177" t="n">
        <v>102</v>
      </c>
      <c r="AA177" t="n">
        <v>109</v>
      </c>
      <c r="AB177" t="n">
        <v>2</v>
      </c>
      <c r="AC177" t="n">
        <v>2</v>
      </c>
      <c r="AD177" t="n">
        <v>4</v>
      </c>
      <c r="AE177" t="n">
        <v>4</v>
      </c>
      <c r="AF177" t="n">
        <v>0</v>
      </c>
      <c r="AG177" t="n">
        <v>0</v>
      </c>
      <c r="AH177" t="n">
        <v>1</v>
      </c>
      <c r="AI177" t="n">
        <v>1</v>
      </c>
      <c r="AJ177" t="n">
        <v>3</v>
      </c>
      <c r="AK177" t="n">
        <v>3</v>
      </c>
      <c r="AL177" t="n">
        <v>1</v>
      </c>
      <c r="AM177" t="n">
        <v>1</v>
      </c>
      <c r="AN177" t="n">
        <v>0</v>
      </c>
      <c r="AO177" t="n">
        <v>0</v>
      </c>
      <c r="AP177" t="inlineStr">
        <is>
          <t>No</t>
        </is>
      </c>
      <c r="AQ177" t="inlineStr">
        <is>
          <t>Yes</t>
        </is>
      </c>
      <c r="AR177">
        <f>HYPERLINK("http://catalog.hathitrust.org/Record/000834411","HathiTrust Record")</f>
        <v/>
      </c>
      <c r="AS177">
        <f>HYPERLINK("https://creighton-primo.hosted.exlibrisgroup.com/primo-explore/search?tab=default_tab&amp;search_scope=EVERYTHING&amp;vid=01CRU&amp;lang=en_US&amp;offset=0&amp;query=any,contains,991000978459702656","Catalog Record")</f>
        <v/>
      </c>
      <c r="AT177">
        <f>HYPERLINK("http://www.worldcat.org/oclc/15017397","WorldCat Record")</f>
        <v/>
      </c>
      <c r="AU177" t="inlineStr">
        <is>
          <t>836699738:eng</t>
        </is>
      </c>
      <c r="AV177" t="inlineStr">
        <is>
          <t>15017397</t>
        </is>
      </c>
      <c r="AW177" t="inlineStr">
        <is>
          <t>991000978459702656</t>
        </is>
      </c>
      <c r="AX177" t="inlineStr">
        <is>
          <t>991000978459702656</t>
        </is>
      </c>
      <c r="AY177" t="inlineStr">
        <is>
          <t>2265051060002656</t>
        </is>
      </c>
      <c r="AZ177" t="inlineStr">
        <is>
          <t>BOOK</t>
        </is>
      </c>
      <c r="BB177" t="inlineStr">
        <is>
          <t>9780335159970</t>
        </is>
      </c>
      <c r="BC177" t="inlineStr">
        <is>
          <t>32285001347649</t>
        </is>
      </c>
      <c r="BD177" t="inlineStr">
        <is>
          <t>893496730</t>
        </is>
      </c>
    </row>
    <row r="178">
      <c r="A178" t="inlineStr">
        <is>
          <t>No</t>
        </is>
      </c>
      <c r="B178" t="inlineStr">
        <is>
          <t>LA633 .H68 1986</t>
        </is>
      </c>
      <c r="C178" t="inlineStr">
        <is>
          <t>0                      LA 0633000H  68          1986</t>
        </is>
      </c>
      <c r="D178" t="inlineStr">
        <is>
          <t>Cultural diversity in the primary school / David Houlton.</t>
        </is>
      </c>
      <c r="F178" t="inlineStr">
        <is>
          <t>No</t>
        </is>
      </c>
      <c r="G178" t="inlineStr">
        <is>
          <t>1</t>
        </is>
      </c>
      <c r="H178" t="inlineStr">
        <is>
          <t>No</t>
        </is>
      </c>
      <c r="I178" t="inlineStr">
        <is>
          <t>No</t>
        </is>
      </c>
      <c r="J178" t="inlineStr">
        <is>
          <t>0</t>
        </is>
      </c>
      <c r="K178" t="inlineStr">
        <is>
          <t>Houlton, David.</t>
        </is>
      </c>
      <c r="L178" t="inlineStr">
        <is>
          <t>London : Batsford, 1986.</t>
        </is>
      </c>
      <c r="M178" t="inlineStr">
        <is>
          <t>1986</t>
        </is>
      </c>
      <c r="O178" t="inlineStr">
        <is>
          <t>eng</t>
        </is>
      </c>
      <c r="P178" t="inlineStr">
        <is>
          <t>enk</t>
        </is>
      </c>
      <c r="Q178" t="inlineStr">
        <is>
          <t>Education in a multicultural society</t>
        </is>
      </c>
      <c r="R178" t="inlineStr">
        <is>
          <t xml:space="preserve">LA </t>
        </is>
      </c>
      <c r="S178" t="n">
        <v>4</v>
      </c>
      <c r="T178" t="n">
        <v>4</v>
      </c>
      <c r="U178" t="inlineStr">
        <is>
          <t>2001-03-20</t>
        </is>
      </c>
      <c r="V178" t="inlineStr">
        <is>
          <t>2001-03-20</t>
        </is>
      </c>
      <c r="W178" t="inlineStr">
        <is>
          <t>1992-08-19</t>
        </is>
      </c>
      <c r="X178" t="inlineStr">
        <is>
          <t>1992-08-19</t>
        </is>
      </c>
      <c r="Y178" t="n">
        <v>201</v>
      </c>
      <c r="Z178" t="n">
        <v>95</v>
      </c>
      <c r="AA178" t="n">
        <v>96</v>
      </c>
      <c r="AB178" t="n">
        <v>2</v>
      </c>
      <c r="AC178" t="n">
        <v>2</v>
      </c>
      <c r="AD178" t="n">
        <v>4</v>
      </c>
      <c r="AE178" t="n">
        <v>4</v>
      </c>
      <c r="AF178" t="n">
        <v>2</v>
      </c>
      <c r="AG178" t="n">
        <v>2</v>
      </c>
      <c r="AH178" t="n">
        <v>1</v>
      </c>
      <c r="AI178" t="n">
        <v>1</v>
      </c>
      <c r="AJ178" t="n">
        <v>3</v>
      </c>
      <c r="AK178" t="n">
        <v>3</v>
      </c>
      <c r="AL178" t="n">
        <v>1</v>
      </c>
      <c r="AM178" t="n">
        <v>1</v>
      </c>
      <c r="AN178" t="n">
        <v>0</v>
      </c>
      <c r="AO178" t="n">
        <v>0</v>
      </c>
      <c r="AP178" t="inlineStr">
        <is>
          <t>No</t>
        </is>
      </c>
      <c r="AQ178" t="inlineStr">
        <is>
          <t>Yes</t>
        </is>
      </c>
      <c r="AR178">
        <f>HYPERLINK("http://catalog.hathitrust.org/Record/000634409","HathiTrust Record")</f>
        <v/>
      </c>
      <c r="AS178">
        <f>HYPERLINK("https://creighton-primo.hosted.exlibrisgroup.com/primo-explore/search?tab=default_tab&amp;search_scope=EVERYTHING&amp;vid=01CRU&amp;lang=en_US&amp;offset=0&amp;query=any,contains,991000875279702656","Catalog Record")</f>
        <v/>
      </c>
      <c r="AT178">
        <f>HYPERLINK("http://www.worldcat.org/oclc/28375839","WorldCat Record")</f>
        <v/>
      </c>
      <c r="AU178" t="inlineStr">
        <is>
          <t>7973049:eng</t>
        </is>
      </c>
      <c r="AV178" t="inlineStr">
        <is>
          <t>28375839</t>
        </is>
      </c>
      <c r="AW178" t="inlineStr">
        <is>
          <t>991000875279702656</t>
        </is>
      </c>
      <c r="AX178" t="inlineStr">
        <is>
          <t>991000875279702656</t>
        </is>
      </c>
      <c r="AY178" t="inlineStr">
        <is>
          <t>2270835800002656</t>
        </is>
      </c>
      <c r="AZ178" t="inlineStr">
        <is>
          <t>BOOK</t>
        </is>
      </c>
      <c r="BB178" t="inlineStr">
        <is>
          <t>9780713448658</t>
        </is>
      </c>
      <c r="BC178" t="inlineStr">
        <is>
          <t>32285001246650</t>
        </is>
      </c>
      <c r="BD178" t="inlineStr">
        <is>
          <t>893509188</t>
        </is>
      </c>
    </row>
    <row r="179">
      <c r="A179" t="inlineStr">
        <is>
          <t>No</t>
        </is>
      </c>
      <c r="B179" t="inlineStr">
        <is>
          <t>LA634 .C49 1984</t>
        </is>
      </c>
      <c r="C179" t="inlineStr">
        <is>
          <t>0                      LA 0634000C  49          1984</t>
        </is>
      </c>
      <c r="D179" t="inlineStr">
        <is>
          <t>Boys together : English public schools, 1800-1864 / John Chandos.</t>
        </is>
      </c>
      <c r="F179" t="inlineStr">
        <is>
          <t>No</t>
        </is>
      </c>
      <c r="G179" t="inlineStr">
        <is>
          <t>1</t>
        </is>
      </c>
      <c r="H179" t="inlineStr">
        <is>
          <t>No</t>
        </is>
      </c>
      <c r="I179" t="inlineStr">
        <is>
          <t>No</t>
        </is>
      </c>
      <c r="J179" t="inlineStr">
        <is>
          <t>0</t>
        </is>
      </c>
      <c r="K179" t="inlineStr">
        <is>
          <t>Chandos, John.</t>
        </is>
      </c>
      <c r="L179" t="inlineStr">
        <is>
          <t>London : Hutchinson, 1984.</t>
        </is>
      </c>
      <c r="M179" t="inlineStr">
        <is>
          <t>1984</t>
        </is>
      </c>
      <c r="O179" t="inlineStr">
        <is>
          <t>eng</t>
        </is>
      </c>
      <c r="P179" t="inlineStr">
        <is>
          <t>enk</t>
        </is>
      </c>
      <c r="R179" t="inlineStr">
        <is>
          <t xml:space="preserve">LA </t>
        </is>
      </c>
      <c r="S179" t="n">
        <v>1</v>
      </c>
      <c r="T179" t="n">
        <v>1</v>
      </c>
      <c r="U179" t="inlineStr">
        <is>
          <t>2009-04-18</t>
        </is>
      </c>
      <c r="V179" t="inlineStr">
        <is>
          <t>2009-04-18</t>
        </is>
      </c>
      <c r="W179" t="inlineStr">
        <is>
          <t>1990-06-19</t>
        </is>
      </c>
      <c r="X179" t="inlineStr">
        <is>
          <t>1990-06-19</t>
        </is>
      </c>
      <c r="Y179" t="n">
        <v>223</v>
      </c>
      <c r="Z179" t="n">
        <v>96</v>
      </c>
      <c r="AA179" t="n">
        <v>581</v>
      </c>
      <c r="AB179" t="n">
        <v>1</v>
      </c>
      <c r="AC179" t="n">
        <v>3</v>
      </c>
      <c r="AD179" t="n">
        <v>5</v>
      </c>
      <c r="AE179" t="n">
        <v>28</v>
      </c>
      <c r="AF179" t="n">
        <v>2</v>
      </c>
      <c r="AG179" t="n">
        <v>10</v>
      </c>
      <c r="AH179" t="n">
        <v>3</v>
      </c>
      <c r="AI179" t="n">
        <v>7</v>
      </c>
      <c r="AJ179" t="n">
        <v>3</v>
      </c>
      <c r="AK179" t="n">
        <v>20</v>
      </c>
      <c r="AL179" t="n">
        <v>0</v>
      </c>
      <c r="AM179" t="n">
        <v>2</v>
      </c>
      <c r="AN179" t="n">
        <v>0</v>
      </c>
      <c r="AO179" t="n">
        <v>0</v>
      </c>
      <c r="AP179" t="inlineStr">
        <is>
          <t>No</t>
        </is>
      </c>
      <c r="AQ179" t="inlineStr">
        <is>
          <t>No</t>
        </is>
      </c>
      <c r="AS179">
        <f>HYPERLINK("https://creighton-primo.hosted.exlibrisgroup.com/primo-explore/search?tab=default_tab&amp;search_scope=EVERYTHING&amp;vid=01CRU&amp;lang=en_US&amp;offset=0&amp;query=any,contains,991000421889702656","Catalog Record")</f>
        <v/>
      </c>
      <c r="AT179">
        <f>HYPERLINK("http://www.worldcat.org/oclc/10747845","WorldCat Record")</f>
        <v/>
      </c>
      <c r="AU179" t="inlineStr">
        <is>
          <t>3775406:eng</t>
        </is>
      </c>
      <c r="AV179" t="inlineStr">
        <is>
          <t>10747845</t>
        </is>
      </c>
      <c r="AW179" t="inlineStr">
        <is>
          <t>991000421889702656</t>
        </is>
      </c>
      <c r="AX179" t="inlineStr">
        <is>
          <t>991000421889702656</t>
        </is>
      </c>
      <c r="AY179" t="inlineStr">
        <is>
          <t>2260129640002656</t>
        </is>
      </c>
      <c r="AZ179" t="inlineStr">
        <is>
          <t>BOOK</t>
        </is>
      </c>
      <c r="BB179" t="inlineStr">
        <is>
          <t>9780091392406</t>
        </is>
      </c>
      <c r="BC179" t="inlineStr">
        <is>
          <t>32285000198845</t>
        </is>
      </c>
      <c r="BD179" t="inlineStr">
        <is>
          <t>893702086</t>
        </is>
      </c>
    </row>
    <row r="180">
      <c r="A180" t="inlineStr">
        <is>
          <t>No</t>
        </is>
      </c>
      <c r="B180" t="inlineStr">
        <is>
          <t>LA698 .W44 1983</t>
        </is>
      </c>
      <c r="C180" t="inlineStr">
        <is>
          <t>0                      LA 0698000W  44          1983</t>
        </is>
      </c>
      <c r="D180" t="inlineStr">
        <is>
          <t>The emergence of modern universities in France, 1863-1914 / George Weisz.</t>
        </is>
      </c>
      <c r="F180" t="inlineStr">
        <is>
          <t>No</t>
        </is>
      </c>
      <c r="G180" t="inlineStr">
        <is>
          <t>1</t>
        </is>
      </c>
      <c r="H180" t="inlineStr">
        <is>
          <t>No</t>
        </is>
      </c>
      <c r="I180" t="inlineStr">
        <is>
          <t>No</t>
        </is>
      </c>
      <c r="J180" t="inlineStr">
        <is>
          <t>0</t>
        </is>
      </c>
      <c r="K180" t="inlineStr">
        <is>
          <t>Weisz, George.</t>
        </is>
      </c>
      <c r="L180" t="inlineStr">
        <is>
          <t>Princeton, N.J. : Princeton University Press, c1983.</t>
        </is>
      </c>
      <c r="M180" t="inlineStr">
        <is>
          <t>1983</t>
        </is>
      </c>
      <c r="O180" t="inlineStr">
        <is>
          <t>eng</t>
        </is>
      </c>
      <c r="P180" t="inlineStr">
        <is>
          <t>nju</t>
        </is>
      </c>
      <c r="R180" t="inlineStr">
        <is>
          <t xml:space="preserve">LA </t>
        </is>
      </c>
      <c r="S180" t="n">
        <v>2</v>
      </c>
      <c r="T180" t="n">
        <v>2</v>
      </c>
      <c r="U180" t="inlineStr">
        <is>
          <t>1997-04-11</t>
        </is>
      </c>
      <c r="V180" t="inlineStr">
        <is>
          <t>1997-04-11</t>
        </is>
      </c>
      <c r="W180" t="inlineStr">
        <is>
          <t>1992-10-14</t>
        </is>
      </c>
      <c r="X180" t="inlineStr">
        <is>
          <t>1992-10-14</t>
        </is>
      </c>
      <c r="Y180" t="n">
        <v>435</v>
      </c>
      <c r="Z180" t="n">
        <v>305</v>
      </c>
      <c r="AA180" t="n">
        <v>544</v>
      </c>
      <c r="AB180" t="n">
        <v>2</v>
      </c>
      <c r="AC180" t="n">
        <v>4</v>
      </c>
      <c r="AD180" t="n">
        <v>18</v>
      </c>
      <c r="AE180" t="n">
        <v>30</v>
      </c>
      <c r="AF180" t="n">
        <v>4</v>
      </c>
      <c r="AG180" t="n">
        <v>12</v>
      </c>
      <c r="AH180" t="n">
        <v>4</v>
      </c>
      <c r="AI180" t="n">
        <v>8</v>
      </c>
      <c r="AJ180" t="n">
        <v>13</v>
      </c>
      <c r="AK180" t="n">
        <v>16</v>
      </c>
      <c r="AL180" t="n">
        <v>1</v>
      </c>
      <c r="AM180" t="n">
        <v>2</v>
      </c>
      <c r="AN180" t="n">
        <v>0</v>
      </c>
      <c r="AO180" t="n">
        <v>0</v>
      </c>
      <c r="AP180" t="inlineStr">
        <is>
          <t>No</t>
        </is>
      </c>
      <c r="AQ180" t="inlineStr">
        <is>
          <t>No</t>
        </is>
      </c>
      <c r="AS180">
        <f>HYPERLINK("https://creighton-primo.hosted.exlibrisgroup.com/primo-explore/search?tab=default_tab&amp;search_scope=EVERYTHING&amp;vid=01CRU&amp;lang=en_US&amp;offset=0&amp;query=any,contains,991000047599702656","Catalog Record")</f>
        <v/>
      </c>
      <c r="AT180">
        <f>HYPERLINK("http://www.worldcat.org/oclc/8670126","WorldCat Record")</f>
        <v/>
      </c>
      <c r="AU180" t="inlineStr">
        <is>
          <t>441592:eng</t>
        </is>
      </c>
      <c r="AV180" t="inlineStr">
        <is>
          <t>8670126</t>
        </is>
      </c>
      <c r="AW180" t="inlineStr">
        <is>
          <t>991000047599702656</t>
        </is>
      </c>
      <c r="AX180" t="inlineStr">
        <is>
          <t>991000047599702656</t>
        </is>
      </c>
      <c r="AY180" t="inlineStr">
        <is>
          <t>2267709560002656</t>
        </is>
      </c>
      <c r="AZ180" t="inlineStr">
        <is>
          <t>BOOK</t>
        </is>
      </c>
      <c r="BB180" t="inlineStr">
        <is>
          <t>9780691053752</t>
        </is>
      </c>
      <c r="BC180" t="inlineStr">
        <is>
          <t>32285001347904</t>
        </is>
      </c>
      <c r="BD180" t="inlineStr">
        <is>
          <t>893802442</t>
        </is>
      </c>
    </row>
    <row r="181">
      <c r="A181" t="inlineStr">
        <is>
          <t>No</t>
        </is>
      </c>
      <c r="B181" t="inlineStr">
        <is>
          <t>LA721 .P313 1976</t>
        </is>
      </c>
      <c r="C181" t="inlineStr">
        <is>
          <t>0                      LA 0721000P  313         1976</t>
        </is>
      </c>
      <c r="D181" t="inlineStr">
        <is>
          <t>German education past and present / by Friedrich Paulsen ; translated by T. Lorenz.</t>
        </is>
      </c>
      <c r="F181" t="inlineStr">
        <is>
          <t>No</t>
        </is>
      </c>
      <c r="G181" t="inlineStr">
        <is>
          <t>1</t>
        </is>
      </c>
      <c r="H181" t="inlineStr">
        <is>
          <t>No</t>
        </is>
      </c>
      <c r="I181" t="inlineStr">
        <is>
          <t>No</t>
        </is>
      </c>
      <c r="J181" t="inlineStr">
        <is>
          <t>0</t>
        </is>
      </c>
      <c r="K181" t="inlineStr">
        <is>
          <t>Paulsen, Friedrich, 1846-1908.</t>
        </is>
      </c>
      <c r="L181" t="inlineStr">
        <is>
          <t>New York : AMS Press, 1976.</t>
        </is>
      </c>
      <c r="M181" t="inlineStr">
        <is>
          <t>1976</t>
        </is>
      </c>
      <c r="O181" t="inlineStr">
        <is>
          <t>eng</t>
        </is>
      </c>
      <c r="P181" t="inlineStr">
        <is>
          <t>nyu</t>
        </is>
      </c>
      <c r="R181" t="inlineStr">
        <is>
          <t xml:space="preserve">LA </t>
        </is>
      </c>
      <c r="S181" t="n">
        <v>10</v>
      </c>
      <c r="T181" t="n">
        <v>10</v>
      </c>
      <c r="U181" t="inlineStr">
        <is>
          <t>2004-01-22</t>
        </is>
      </c>
      <c r="V181" t="inlineStr">
        <is>
          <t>2004-01-22</t>
        </is>
      </c>
      <c r="W181" t="inlineStr">
        <is>
          <t>1991-12-16</t>
        </is>
      </c>
      <c r="X181" t="inlineStr">
        <is>
          <t>1991-12-16</t>
        </is>
      </c>
      <c r="Y181" t="n">
        <v>103</v>
      </c>
      <c r="Z181" t="n">
        <v>90</v>
      </c>
      <c r="AA181" t="n">
        <v>373</v>
      </c>
      <c r="AB181" t="n">
        <v>2</v>
      </c>
      <c r="AC181" t="n">
        <v>4</v>
      </c>
      <c r="AD181" t="n">
        <v>3</v>
      </c>
      <c r="AE181" t="n">
        <v>15</v>
      </c>
      <c r="AF181" t="n">
        <v>1</v>
      </c>
      <c r="AG181" t="n">
        <v>6</v>
      </c>
      <c r="AH181" t="n">
        <v>1</v>
      </c>
      <c r="AI181" t="n">
        <v>3</v>
      </c>
      <c r="AJ181" t="n">
        <v>1</v>
      </c>
      <c r="AK181" t="n">
        <v>6</v>
      </c>
      <c r="AL181" t="n">
        <v>1</v>
      </c>
      <c r="AM181" t="n">
        <v>3</v>
      </c>
      <c r="AN181" t="n">
        <v>0</v>
      </c>
      <c r="AO181" t="n">
        <v>0</v>
      </c>
      <c r="AP181" t="inlineStr">
        <is>
          <t>No</t>
        </is>
      </c>
      <c r="AQ181" t="inlineStr">
        <is>
          <t>Yes</t>
        </is>
      </c>
      <c r="AR181">
        <f>HYPERLINK("http://catalog.hathitrust.org/Record/004419813","HathiTrust Record")</f>
        <v/>
      </c>
      <c r="AS181">
        <f>HYPERLINK("https://creighton-primo.hosted.exlibrisgroup.com/primo-explore/search?tab=default_tab&amp;search_scope=EVERYTHING&amp;vid=01CRU&amp;lang=en_US&amp;offset=0&amp;query=any,contains,991004100799702656","Catalog Record")</f>
        <v/>
      </c>
      <c r="AT181">
        <f>HYPERLINK("http://www.worldcat.org/oclc/2372222","WorldCat Record")</f>
        <v/>
      </c>
      <c r="AU181" t="inlineStr">
        <is>
          <t>4461040385:eng</t>
        </is>
      </c>
      <c r="AV181" t="inlineStr">
        <is>
          <t>2372222</t>
        </is>
      </c>
      <c r="AW181" t="inlineStr">
        <is>
          <t>991004100799702656</t>
        </is>
      </c>
      <c r="AX181" t="inlineStr">
        <is>
          <t>991004100799702656</t>
        </is>
      </c>
      <c r="AY181" t="inlineStr">
        <is>
          <t>2255393050002656</t>
        </is>
      </c>
      <c r="AZ181" t="inlineStr">
        <is>
          <t>BOOK</t>
        </is>
      </c>
      <c r="BB181" t="inlineStr">
        <is>
          <t>9780404146931</t>
        </is>
      </c>
      <c r="BC181" t="inlineStr">
        <is>
          <t>32285000877323</t>
        </is>
      </c>
      <c r="BD181" t="inlineStr">
        <is>
          <t>893611918</t>
        </is>
      </c>
    </row>
    <row r="182">
      <c r="A182" t="inlineStr">
        <is>
          <t>No</t>
        </is>
      </c>
      <c r="B182" t="inlineStr">
        <is>
          <t>LA721 .R6 1961</t>
        </is>
      </c>
      <c r="C182" t="inlineStr">
        <is>
          <t>0                      LA 0721000R  6           1961</t>
        </is>
      </c>
      <c r="D182" t="inlineStr">
        <is>
          <t>Die Entstehung des modernen Erziehungswesens in Deutschland / Wilhelm Roessler.</t>
        </is>
      </c>
      <c r="F182" t="inlineStr">
        <is>
          <t>No</t>
        </is>
      </c>
      <c r="G182" t="inlineStr">
        <is>
          <t>1</t>
        </is>
      </c>
      <c r="H182" t="inlineStr">
        <is>
          <t>No</t>
        </is>
      </c>
      <c r="I182" t="inlineStr">
        <is>
          <t>No</t>
        </is>
      </c>
      <c r="J182" t="inlineStr">
        <is>
          <t>0</t>
        </is>
      </c>
      <c r="K182" t="inlineStr">
        <is>
          <t>Roessler, Wilhelm.</t>
        </is>
      </c>
      <c r="L182" t="inlineStr">
        <is>
          <t>Stuttgart : Kohlhammer, 1961.</t>
        </is>
      </c>
      <c r="M182" t="inlineStr">
        <is>
          <t>1961</t>
        </is>
      </c>
      <c r="O182" t="inlineStr">
        <is>
          <t>ger</t>
        </is>
      </c>
      <c r="P182" t="inlineStr">
        <is>
          <t xml:space="preserve">gw </t>
        </is>
      </c>
      <c r="R182" t="inlineStr">
        <is>
          <t xml:space="preserve">LA </t>
        </is>
      </c>
      <c r="S182" t="n">
        <v>7</v>
      </c>
      <c r="T182" t="n">
        <v>7</v>
      </c>
      <c r="U182" t="inlineStr">
        <is>
          <t>2009-03-30</t>
        </is>
      </c>
      <c r="V182" t="inlineStr">
        <is>
          <t>2009-03-30</t>
        </is>
      </c>
      <c r="W182" t="inlineStr">
        <is>
          <t>2003-02-12</t>
        </is>
      </c>
      <c r="X182" t="inlineStr">
        <is>
          <t>2003-02-12</t>
        </is>
      </c>
      <c r="Y182" t="n">
        <v>139</v>
      </c>
      <c r="Z182" t="n">
        <v>50</v>
      </c>
      <c r="AA182" t="n">
        <v>51</v>
      </c>
      <c r="AB182" t="n">
        <v>1</v>
      </c>
      <c r="AC182" t="n">
        <v>1</v>
      </c>
      <c r="AD182" t="n">
        <v>2</v>
      </c>
      <c r="AE182" t="n">
        <v>2</v>
      </c>
      <c r="AF182" t="n">
        <v>0</v>
      </c>
      <c r="AG182" t="n">
        <v>0</v>
      </c>
      <c r="AH182" t="n">
        <v>1</v>
      </c>
      <c r="AI182" t="n">
        <v>1</v>
      </c>
      <c r="AJ182" t="n">
        <v>1</v>
      </c>
      <c r="AK182" t="n">
        <v>1</v>
      </c>
      <c r="AL182" t="n">
        <v>0</v>
      </c>
      <c r="AM182" t="n">
        <v>0</v>
      </c>
      <c r="AN182" t="n">
        <v>0</v>
      </c>
      <c r="AO182" t="n">
        <v>0</v>
      </c>
      <c r="AP182" t="inlineStr">
        <is>
          <t>No</t>
        </is>
      </c>
      <c r="AQ182" t="inlineStr">
        <is>
          <t>Yes</t>
        </is>
      </c>
      <c r="AR182">
        <f>HYPERLINK("http://catalog.hathitrust.org/Record/001065682","HathiTrust Record")</f>
        <v/>
      </c>
      <c r="AS182">
        <f>HYPERLINK("https://creighton-primo.hosted.exlibrisgroup.com/primo-explore/search?tab=default_tab&amp;search_scope=EVERYTHING&amp;vid=01CRU&amp;lang=en_US&amp;offset=0&amp;query=any,contains,991003994299702656","Catalog Record")</f>
        <v/>
      </c>
      <c r="AT182">
        <f>HYPERLINK("http://www.worldcat.org/oclc/2956523","WorldCat Record")</f>
        <v/>
      </c>
      <c r="AU182" t="inlineStr">
        <is>
          <t>365494650:ger</t>
        </is>
      </c>
      <c r="AV182" t="inlineStr">
        <is>
          <t>2956523</t>
        </is>
      </c>
      <c r="AW182" t="inlineStr">
        <is>
          <t>991003994299702656</t>
        </is>
      </c>
      <c r="AX182" t="inlineStr">
        <is>
          <t>991003994299702656</t>
        </is>
      </c>
      <c r="AY182" t="inlineStr">
        <is>
          <t>2268490110002656</t>
        </is>
      </c>
      <c r="AZ182" t="inlineStr">
        <is>
          <t>BOOK</t>
        </is>
      </c>
      <c r="BC182" t="inlineStr">
        <is>
          <t>32285004698493</t>
        </is>
      </c>
      <c r="BD182" t="inlineStr">
        <is>
          <t>893904658</t>
        </is>
      </c>
    </row>
    <row r="183">
      <c r="A183" t="inlineStr">
        <is>
          <t>No</t>
        </is>
      </c>
      <c r="B183" t="inlineStr">
        <is>
          <t>LA721 .S3 1971</t>
        </is>
      </c>
      <c r="C183" t="inlineStr">
        <is>
          <t>0                      LA 0721000S  3           1971</t>
        </is>
      </c>
      <c r="D183" t="inlineStr">
        <is>
          <t>Education and society in modern Germany / by R. H. Samuel and R. Hinton Thomas.</t>
        </is>
      </c>
      <c r="F183" t="inlineStr">
        <is>
          <t>No</t>
        </is>
      </c>
      <c r="G183" t="inlineStr">
        <is>
          <t>1</t>
        </is>
      </c>
      <c r="H183" t="inlineStr">
        <is>
          <t>No</t>
        </is>
      </c>
      <c r="I183" t="inlineStr">
        <is>
          <t>No</t>
        </is>
      </c>
      <c r="J183" t="inlineStr">
        <is>
          <t>0</t>
        </is>
      </c>
      <c r="K183" t="inlineStr">
        <is>
          <t>Samuel, R. H. (Richard H.), 1900-</t>
        </is>
      </c>
      <c r="L183" t="inlineStr">
        <is>
          <t>Westport, Conn. : Greenwood Press, [1971]</t>
        </is>
      </c>
      <c r="M183" t="inlineStr">
        <is>
          <t>1971</t>
        </is>
      </c>
      <c r="O183" t="inlineStr">
        <is>
          <t>eng</t>
        </is>
      </c>
      <c r="P183" t="inlineStr">
        <is>
          <t>ctu</t>
        </is>
      </c>
      <c r="R183" t="inlineStr">
        <is>
          <t xml:space="preserve">LA </t>
        </is>
      </c>
      <c r="S183" t="n">
        <v>6</v>
      </c>
      <c r="T183" t="n">
        <v>6</v>
      </c>
      <c r="U183" t="inlineStr">
        <is>
          <t>2002-11-25</t>
        </is>
      </c>
      <c r="V183" t="inlineStr">
        <is>
          <t>2002-11-25</t>
        </is>
      </c>
      <c r="W183" t="inlineStr">
        <is>
          <t>1991-12-16</t>
        </is>
      </c>
      <c r="X183" t="inlineStr">
        <is>
          <t>1991-12-16</t>
        </is>
      </c>
      <c r="Y183" t="n">
        <v>117</v>
      </c>
      <c r="Z183" t="n">
        <v>96</v>
      </c>
      <c r="AA183" t="n">
        <v>307</v>
      </c>
      <c r="AB183" t="n">
        <v>2</v>
      </c>
      <c r="AC183" t="n">
        <v>4</v>
      </c>
      <c r="AD183" t="n">
        <v>4</v>
      </c>
      <c r="AE183" t="n">
        <v>14</v>
      </c>
      <c r="AF183" t="n">
        <v>0</v>
      </c>
      <c r="AG183" t="n">
        <v>4</v>
      </c>
      <c r="AH183" t="n">
        <v>2</v>
      </c>
      <c r="AI183" t="n">
        <v>4</v>
      </c>
      <c r="AJ183" t="n">
        <v>2</v>
      </c>
      <c r="AK183" t="n">
        <v>6</v>
      </c>
      <c r="AL183" t="n">
        <v>1</v>
      </c>
      <c r="AM183" t="n">
        <v>3</v>
      </c>
      <c r="AN183" t="n">
        <v>0</v>
      </c>
      <c r="AO183" t="n">
        <v>0</v>
      </c>
      <c r="AP183" t="inlineStr">
        <is>
          <t>No</t>
        </is>
      </c>
      <c r="AQ183" t="inlineStr">
        <is>
          <t>No</t>
        </is>
      </c>
      <c r="AS183">
        <f>HYPERLINK("https://creighton-primo.hosted.exlibrisgroup.com/primo-explore/search?tab=default_tab&amp;search_scope=EVERYTHING&amp;vid=01CRU&amp;lang=en_US&amp;offset=0&amp;query=any,contains,991001229539702656","Catalog Record")</f>
        <v/>
      </c>
      <c r="AT183">
        <f>HYPERLINK("http://www.worldcat.org/oclc/202379","WorldCat Record")</f>
        <v/>
      </c>
      <c r="AU183" t="inlineStr">
        <is>
          <t>881454:eng</t>
        </is>
      </c>
      <c r="AV183" t="inlineStr">
        <is>
          <t>202379</t>
        </is>
      </c>
      <c r="AW183" t="inlineStr">
        <is>
          <t>991001229539702656</t>
        </is>
      </c>
      <c r="AX183" t="inlineStr">
        <is>
          <t>991001229539702656</t>
        </is>
      </c>
      <c r="AY183" t="inlineStr">
        <is>
          <t>2258534970002656</t>
        </is>
      </c>
      <c r="AZ183" t="inlineStr">
        <is>
          <t>BOOK</t>
        </is>
      </c>
      <c r="BB183" t="inlineStr">
        <is>
          <t>9780837135830</t>
        </is>
      </c>
      <c r="BC183" t="inlineStr">
        <is>
          <t>32285000877331</t>
        </is>
      </c>
      <c r="BD183" t="inlineStr">
        <is>
          <t>893426443</t>
        </is>
      </c>
    </row>
    <row r="184">
      <c r="A184" t="inlineStr">
        <is>
          <t>No</t>
        </is>
      </c>
      <c r="B184" t="inlineStr">
        <is>
          <t>LA721.82 .H3813 1976</t>
        </is>
      </c>
      <c r="C184" t="inlineStr">
        <is>
          <t>0                      LA 0721820H  3813        1976</t>
        </is>
      </c>
      <c r="D184" t="inlineStr">
        <is>
          <t>Education in the two Germanies / Arthur Hearnden.</t>
        </is>
      </c>
      <c r="F184" t="inlineStr">
        <is>
          <t>No</t>
        </is>
      </c>
      <c r="G184" t="inlineStr">
        <is>
          <t>1</t>
        </is>
      </c>
      <c r="H184" t="inlineStr">
        <is>
          <t>No</t>
        </is>
      </c>
      <c r="I184" t="inlineStr">
        <is>
          <t>No</t>
        </is>
      </c>
      <c r="J184" t="inlineStr">
        <is>
          <t>0</t>
        </is>
      </c>
      <c r="K184" t="inlineStr">
        <is>
          <t>Hearnden, Arthur.</t>
        </is>
      </c>
      <c r="L184" t="inlineStr">
        <is>
          <t>Boulder, Colo. : Westview Press, 1976, c1974.</t>
        </is>
      </c>
      <c r="M184" t="inlineStr">
        <is>
          <t>1976</t>
        </is>
      </c>
      <c r="O184" t="inlineStr">
        <is>
          <t>eng</t>
        </is>
      </c>
      <c r="P184" t="inlineStr">
        <is>
          <t>cou</t>
        </is>
      </c>
      <c r="R184" t="inlineStr">
        <is>
          <t xml:space="preserve">LA </t>
        </is>
      </c>
      <c r="S184" t="n">
        <v>7</v>
      </c>
      <c r="T184" t="n">
        <v>7</v>
      </c>
      <c r="U184" t="inlineStr">
        <is>
          <t>2002-11-25</t>
        </is>
      </c>
      <c r="V184" t="inlineStr">
        <is>
          <t>2002-11-25</t>
        </is>
      </c>
      <c r="W184" t="inlineStr">
        <is>
          <t>1991-12-16</t>
        </is>
      </c>
      <c r="X184" t="inlineStr">
        <is>
          <t>1991-12-16</t>
        </is>
      </c>
      <c r="Y184" t="n">
        <v>202</v>
      </c>
      <c r="Z184" t="n">
        <v>183</v>
      </c>
      <c r="AA184" t="n">
        <v>246</v>
      </c>
      <c r="AB184" t="n">
        <v>1</v>
      </c>
      <c r="AC184" t="n">
        <v>1</v>
      </c>
      <c r="AD184" t="n">
        <v>8</v>
      </c>
      <c r="AE184" t="n">
        <v>10</v>
      </c>
      <c r="AF184" t="n">
        <v>3</v>
      </c>
      <c r="AG184" t="n">
        <v>3</v>
      </c>
      <c r="AH184" t="n">
        <v>3</v>
      </c>
      <c r="AI184" t="n">
        <v>4</v>
      </c>
      <c r="AJ184" t="n">
        <v>3</v>
      </c>
      <c r="AK184" t="n">
        <v>5</v>
      </c>
      <c r="AL184" t="n">
        <v>0</v>
      </c>
      <c r="AM184" t="n">
        <v>0</v>
      </c>
      <c r="AN184" t="n">
        <v>0</v>
      </c>
      <c r="AO184" t="n">
        <v>0</v>
      </c>
      <c r="AP184" t="inlineStr">
        <is>
          <t>No</t>
        </is>
      </c>
      <c r="AQ184" t="inlineStr">
        <is>
          <t>No</t>
        </is>
      </c>
      <c r="AS184">
        <f>HYPERLINK("https://creighton-primo.hosted.exlibrisgroup.com/primo-explore/search?tab=default_tab&amp;search_scope=EVERYTHING&amp;vid=01CRU&amp;lang=en_US&amp;offset=0&amp;query=any,contains,991003972679702656","Catalog Record")</f>
        <v/>
      </c>
      <c r="AT184">
        <f>HYPERLINK("http://www.worldcat.org/oclc/1993261","WorldCat Record")</f>
        <v/>
      </c>
      <c r="AU184" t="inlineStr">
        <is>
          <t>1151037431:eng</t>
        </is>
      </c>
      <c r="AV184" t="inlineStr">
        <is>
          <t>1993261</t>
        </is>
      </c>
      <c r="AW184" t="inlineStr">
        <is>
          <t>991003972679702656</t>
        </is>
      </c>
      <c r="AX184" t="inlineStr">
        <is>
          <t>991003972679702656</t>
        </is>
      </c>
      <c r="AY184" t="inlineStr">
        <is>
          <t>2260910770002656</t>
        </is>
      </c>
      <c r="AZ184" t="inlineStr">
        <is>
          <t>BOOK</t>
        </is>
      </c>
      <c r="BB184" t="inlineStr">
        <is>
          <t>9780891585398</t>
        </is>
      </c>
      <c r="BC184" t="inlineStr">
        <is>
          <t>32285000839729</t>
        </is>
      </c>
      <c r="BD184" t="inlineStr">
        <is>
          <t>893442016</t>
        </is>
      </c>
    </row>
    <row r="185">
      <c r="A185" t="inlineStr">
        <is>
          <t>No</t>
        </is>
      </c>
      <c r="B185" t="inlineStr">
        <is>
          <t>LA721.82 .H8</t>
        </is>
      </c>
      <c r="C185" t="inlineStr">
        <is>
          <t>0                      LA 0721820H  8</t>
        </is>
      </c>
      <c r="D185" t="inlineStr">
        <is>
          <t>The schools of West Germany : a study of German elementary and secondary schools / foreword by George N. Shuster.</t>
        </is>
      </c>
      <c r="F185" t="inlineStr">
        <is>
          <t>No</t>
        </is>
      </c>
      <c r="G185" t="inlineStr">
        <is>
          <t>1</t>
        </is>
      </c>
      <c r="H185" t="inlineStr">
        <is>
          <t>No</t>
        </is>
      </c>
      <c r="I185" t="inlineStr">
        <is>
          <t>No</t>
        </is>
      </c>
      <c r="J185" t="inlineStr">
        <is>
          <t>0</t>
        </is>
      </c>
      <c r="K185" t="inlineStr">
        <is>
          <t>Huebener, Theodore, 1895-1983.</t>
        </is>
      </c>
      <c r="L185" t="inlineStr">
        <is>
          <t>[New York] : New York University Press, 1962.</t>
        </is>
      </c>
      <c r="M185" t="inlineStr">
        <is>
          <t>1962</t>
        </is>
      </c>
      <c r="O185" t="inlineStr">
        <is>
          <t>eng</t>
        </is>
      </c>
      <c r="P185" t="inlineStr">
        <is>
          <t>nyu</t>
        </is>
      </c>
      <c r="R185" t="inlineStr">
        <is>
          <t xml:space="preserve">LA </t>
        </is>
      </c>
      <c r="S185" t="n">
        <v>6</v>
      </c>
      <c r="T185" t="n">
        <v>6</v>
      </c>
      <c r="U185" t="inlineStr">
        <is>
          <t>2002-11-25</t>
        </is>
      </c>
      <c r="V185" t="inlineStr">
        <is>
          <t>2002-11-25</t>
        </is>
      </c>
      <c r="W185" t="inlineStr">
        <is>
          <t>1991-12-16</t>
        </is>
      </c>
      <c r="X185" t="inlineStr">
        <is>
          <t>1991-12-16</t>
        </is>
      </c>
      <c r="Y185" t="n">
        <v>498</v>
      </c>
      <c r="Z185" t="n">
        <v>430</v>
      </c>
      <c r="AA185" t="n">
        <v>436</v>
      </c>
      <c r="AB185" t="n">
        <v>4</v>
      </c>
      <c r="AC185" t="n">
        <v>4</v>
      </c>
      <c r="AD185" t="n">
        <v>22</v>
      </c>
      <c r="AE185" t="n">
        <v>22</v>
      </c>
      <c r="AF185" t="n">
        <v>10</v>
      </c>
      <c r="AG185" t="n">
        <v>10</v>
      </c>
      <c r="AH185" t="n">
        <v>3</v>
      </c>
      <c r="AI185" t="n">
        <v>3</v>
      </c>
      <c r="AJ185" t="n">
        <v>9</v>
      </c>
      <c r="AK185" t="n">
        <v>9</v>
      </c>
      <c r="AL185" t="n">
        <v>3</v>
      </c>
      <c r="AM185" t="n">
        <v>3</v>
      </c>
      <c r="AN185" t="n">
        <v>0</v>
      </c>
      <c r="AO185" t="n">
        <v>0</v>
      </c>
      <c r="AP185" t="inlineStr">
        <is>
          <t>No</t>
        </is>
      </c>
      <c r="AQ185" t="inlineStr">
        <is>
          <t>Yes</t>
        </is>
      </c>
      <c r="AR185">
        <f>HYPERLINK("http://catalog.hathitrust.org/Record/001117295","HathiTrust Record")</f>
        <v/>
      </c>
      <c r="AS185">
        <f>HYPERLINK("https://creighton-primo.hosted.exlibrisgroup.com/primo-explore/search?tab=default_tab&amp;search_scope=EVERYTHING&amp;vid=01CRU&amp;lang=en_US&amp;offset=0&amp;query=any,contains,991001047899702656","Catalog Record")</f>
        <v/>
      </c>
      <c r="AT185">
        <f>HYPERLINK("http://www.worldcat.org/oclc/176616","WorldCat Record")</f>
        <v/>
      </c>
      <c r="AU185" t="inlineStr">
        <is>
          <t>1311786:eng</t>
        </is>
      </c>
      <c r="AV185" t="inlineStr">
        <is>
          <t>176616</t>
        </is>
      </c>
      <c r="AW185" t="inlineStr">
        <is>
          <t>991001047899702656</t>
        </is>
      </c>
      <c r="AX185" t="inlineStr">
        <is>
          <t>991001047899702656</t>
        </is>
      </c>
      <c r="AY185" t="inlineStr">
        <is>
          <t>2267933710002656</t>
        </is>
      </c>
      <c r="AZ185" t="inlineStr">
        <is>
          <t>BOOK</t>
        </is>
      </c>
      <c r="BC185" t="inlineStr">
        <is>
          <t>32285000877927</t>
        </is>
      </c>
      <c r="BD185" t="inlineStr">
        <is>
          <t>893243808</t>
        </is>
      </c>
    </row>
    <row r="186">
      <c r="A186" t="inlineStr">
        <is>
          <t>No</t>
        </is>
      </c>
      <c r="B186" t="inlineStr">
        <is>
          <t>LA722 .F72 1997</t>
        </is>
      </c>
      <c r="C186" t="inlineStr">
        <is>
          <t>0                      LA 0722000F  72          1997</t>
        </is>
      </c>
      <c r="D186" t="inlineStr">
        <is>
          <t>The German education system since 1945 / Christoph Führ ; editor, Iván Tapia ; translated by Vera Heidingsfeld and Timothy Nevill.</t>
        </is>
      </c>
      <c r="F186" t="inlineStr">
        <is>
          <t>No</t>
        </is>
      </c>
      <c r="G186" t="inlineStr">
        <is>
          <t>1</t>
        </is>
      </c>
      <c r="H186" t="inlineStr">
        <is>
          <t>No</t>
        </is>
      </c>
      <c r="I186" t="inlineStr">
        <is>
          <t>No</t>
        </is>
      </c>
      <c r="J186" t="inlineStr">
        <is>
          <t>0</t>
        </is>
      </c>
      <c r="K186" t="inlineStr">
        <is>
          <t>Führ, Christoph.</t>
        </is>
      </c>
      <c r="L186" t="inlineStr">
        <is>
          <t>Bonn : Inter Nationes, 1997.</t>
        </is>
      </c>
      <c r="M186" t="inlineStr">
        <is>
          <t>1997</t>
        </is>
      </c>
      <c r="O186" t="inlineStr">
        <is>
          <t>eng</t>
        </is>
      </c>
      <c r="P186" t="inlineStr">
        <is>
          <t xml:space="preserve">gw </t>
        </is>
      </c>
      <c r="R186" t="inlineStr">
        <is>
          <t xml:space="preserve">LA </t>
        </is>
      </c>
      <c r="S186" t="n">
        <v>1</v>
      </c>
      <c r="T186" t="n">
        <v>1</v>
      </c>
      <c r="U186" t="inlineStr">
        <is>
          <t>2003-02-13</t>
        </is>
      </c>
      <c r="V186" t="inlineStr">
        <is>
          <t>2003-02-13</t>
        </is>
      </c>
      <c r="W186" t="inlineStr">
        <is>
          <t>2003-02-13</t>
        </is>
      </c>
      <c r="X186" t="inlineStr">
        <is>
          <t>2003-02-13</t>
        </is>
      </c>
      <c r="Y186" t="n">
        <v>398</v>
      </c>
      <c r="Z186" t="n">
        <v>297</v>
      </c>
      <c r="AA186" t="n">
        <v>301</v>
      </c>
      <c r="AB186" t="n">
        <v>3</v>
      </c>
      <c r="AC186" t="n">
        <v>3</v>
      </c>
      <c r="AD186" t="n">
        <v>12</v>
      </c>
      <c r="AE186" t="n">
        <v>12</v>
      </c>
      <c r="AF186" t="n">
        <v>4</v>
      </c>
      <c r="AG186" t="n">
        <v>4</v>
      </c>
      <c r="AH186" t="n">
        <v>5</v>
      </c>
      <c r="AI186" t="n">
        <v>5</v>
      </c>
      <c r="AJ186" t="n">
        <v>3</v>
      </c>
      <c r="AK186" t="n">
        <v>3</v>
      </c>
      <c r="AL186" t="n">
        <v>2</v>
      </c>
      <c r="AM186" t="n">
        <v>2</v>
      </c>
      <c r="AN186" t="n">
        <v>0</v>
      </c>
      <c r="AO186" t="n">
        <v>0</v>
      </c>
      <c r="AP186" t="inlineStr">
        <is>
          <t>No</t>
        </is>
      </c>
      <c r="AQ186" t="inlineStr">
        <is>
          <t>Yes</t>
        </is>
      </c>
      <c r="AR186">
        <f>HYPERLINK("http://catalog.hathitrust.org/Record/004023747","HathiTrust Record")</f>
        <v/>
      </c>
      <c r="AS186">
        <f>HYPERLINK("https://creighton-primo.hosted.exlibrisgroup.com/primo-explore/search?tab=default_tab&amp;search_scope=EVERYTHING&amp;vid=01CRU&amp;lang=en_US&amp;offset=0&amp;query=any,contains,991003995799702656","Catalog Record")</f>
        <v/>
      </c>
      <c r="AT186">
        <f>HYPERLINK("http://www.worldcat.org/oclc/38436586","WorldCat Record")</f>
        <v/>
      </c>
      <c r="AU186" t="inlineStr">
        <is>
          <t>44337849:eng</t>
        </is>
      </c>
      <c r="AV186" t="inlineStr">
        <is>
          <t>38436586</t>
        </is>
      </c>
      <c r="AW186" t="inlineStr">
        <is>
          <t>991003995799702656</t>
        </is>
      </c>
      <c r="AX186" t="inlineStr">
        <is>
          <t>991003995799702656</t>
        </is>
      </c>
      <c r="AY186" t="inlineStr">
        <is>
          <t>2270534040002656</t>
        </is>
      </c>
      <c r="AZ186" t="inlineStr">
        <is>
          <t>BOOK</t>
        </is>
      </c>
      <c r="BC186" t="inlineStr">
        <is>
          <t>32285004699103</t>
        </is>
      </c>
      <c r="BD186" t="inlineStr">
        <is>
          <t>893349489</t>
        </is>
      </c>
    </row>
    <row r="187">
      <c r="A187" t="inlineStr">
        <is>
          <t>No</t>
        </is>
      </c>
      <c r="B187" t="inlineStr">
        <is>
          <t>LA722 .F7613 1989</t>
        </is>
      </c>
      <c r="C187" t="inlineStr">
        <is>
          <t>0                      LA 0722000F  7613        1989</t>
        </is>
      </c>
      <c r="D187" t="inlineStr">
        <is>
          <t>Schools and institutions of higher education in the Federal Republic of Germany : a survey of educational policy and the educational system / Christoph Führ ; [translation, Timothy Nevill].</t>
        </is>
      </c>
      <c r="F187" t="inlineStr">
        <is>
          <t>No</t>
        </is>
      </c>
      <c r="G187" t="inlineStr">
        <is>
          <t>1</t>
        </is>
      </c>
      <c r="H187" t="inlineStr">
        <is>
          <t>No</t>
        </is>
      </c>
      <c r="I187" t="inlineStr">
        <is>
          <t>No</t>
        </is>
      </c>
      <c r="J187" t="inlineStr">
        <is>
          <t>0</t>
        </is>
      </c>
      <c r="K187" t="inlineStr">
        <is>
          <t>Führ, Christoph.</t>
        </is>
      </c>
      <c r="L187" t="inlineStr">
        <is>
          <t>Bonn : Inter Nationes, 1989.</t>
        </is>
      </c>
      <c r="M187" t="inlineStr">
        <is>
          <t>1989</t>
        </is>
      </c>
      <c r="O187" t="inlineStr">
        <is>
          <t>eng</t>
        </is>
      </c>
      <c r="P187" t="inlineStr">
        <is>
          <t xml:space="preserve">gw </t>
        </is>
      </c>
      <c r="R187" t="inlineStr">
        <is>
          <t xml:space="preserve">LA </t>
        </is>
      </c>
      <c r="S187" t="n">
        <v>1</v>
      </c>
      <c r="T187" t="n">
        <v>1</v>
      </c>
      <c r="U187" t="inlineStr">
        <is>
          <t>2003-02-13</t>
        </is>
      </c>
      <c r="V187" t="inlineStr">
        <is>
          <t>2003-02-13</t>
        </is>
      </c>
      <c r="W187" t="inlineStr">
        <is>
          <t>2003-02-13</t>
        </is>
      </c>
      <c r="X187" t="inlineStr">
        <is>
          <t>2003-02-13</t>
        </is>
      </c>
      <c r="Y187" t="n">
        <v>94</v>
      </c>
      <c r="Z187" t="n">
        <v>46</v>
      </c>
      <c r="AA187" t="n">
        <v>51</v>
      </c>
      <c r="AB187" t="n">
        <v>1</v>
      </c>
      <c r="AC187" t="n">
        <v>1</v>
      </c>
      <c r="AD187" t="n">
        <v>1</v>
      </c>
      <c r="AE187" t="n">
        <v>1</v>
      </c>
      <c r="AF187" t="n">
        <v>1</v>
      </c>
      <c r="AG187" t="n">
        <v>1</v>
      </c>
      <c r="AH187" t="n">
        <v>0</v>
      </c>
      <c r="AI187" t="n">
        <v>0</v>
      </c>
      <c r="AJ187" t="n">
        <v>0</v>
      </c>
      <c r="AK187" t="n">
        <v>0</v>
      </c>
      <c r="AL187" t="n">
        <v>0</v>
      </c>
      <c r="AM187" t="n">
        <v>0</v>
      </c>
      <c r="AN187" t="n">
        <v>0</v>
      </c>
      <c r="AO187" t="n">
        <v>0</v>
      </c>
      <c r="AP187" t="inlineStr">
        <is>
          <t>No</t>
        </is>
      </c>
      <c r="AQ187" t="inlineStr">
        <is>
          <t>Yes</t>
        </is>
      </c>
      <c r="AR187">
        <f>HYPERLINK("http://catalog.hathitrust.org/Record/003496875","HathiTrust Record")</f>
        <v/>
      </c>
      <c r="AS187">
        <f>HYPERLINK("https://creighton-primo.hosted.exlibrisgroup.com/primo-explore/search?tab=default_tab&amp;search_scope=EVERYTHING&amp;vid=01CRU&amp;lang=en_US&amp;offset=0&amp;query=any,contains,991003995909702656","Catalog Record")</f>
        <v/>
      </c>
      <c r="AT187">
        <f>HYPERLINK("http://www.worldcat.org/oclc/22481055","WorldCat Record")</f>
        <v/>
      </c>
      <c r="AU187" t="inlineStr">
        <is>
          <t>4494909734:eng</t>
        </is>
      </c>
      <c r="AV187" t="inlineStr">
        <is>
          <t>22481055</t>
        </is>
      </c>
      <c r="AW187" t="inlineStr">
        <is>
          <t>991003995909702656</t>
        </is>
      </c>
      <c r="AX187" t="inlineStr">
        <is>
          <t>991003995909702656</t>
        </is>
      </c>
      <c r="AY187" t="inlineStr">
        <is>
          <t>2258209020002656</t>
        </is>
      </c>
      <c r="AZ187" t="inlineStr">
        <is>
          <t>BOOK</t>
        </is>
      </c>
      <c r="BC187" t="inlineStr">
        <is>
          <t>32285004699087</t>
        </is>
      </c>
      <c r="BD187" t="inlineStr">
        <is>
          <t>893888199</t>
        </is>
      </c>
    </row>
    <row r="188">
      <c r="A188" t="inlineStr">
        <is>
          <t>No</t>
        </is>
      </c>
      <c r="B188" t="inlineStr">
        <is>
          <t>LA727 .J36 1982</t>
        </is>
      </c>
      <c r="C188" t="inlineStr">
        <is>
          <t>0                      LA 0727000J  36          1982</t>
        </is>
      </c>
      <c r="D188" t="inlineStr">
        <is>
          <t>Students, society, and politics in imperial Germany : the rise of academic illiberalism / Konrad H. Jarausch.</t>
        </is>
      </c>
      <c r="F188" t="inlineStr">
        <is>
          <t>No</t>
        </is>
      </c>
      <c r="G188" t="inlineStr">
        <is>
          <t>1</t>
        </is>
      </c>
      <c r="H188" t="inlineStr">
        <is>
          <t>No</t>
        </is>
      </c>
      <c r="I188" t="inlineStr">
        <is>
          <t>No</t>
        </is>
      </c>
      <c r="J188" t="inlineStr">
        <is>
          <t>0</t>
        </is>
      </c>
      <c r="K188" t="inlineStr">
        <is>
          <t>Jarausch, Konrad Hugo.</t>
        </is>
      </c>
      <c r="L188" t="inlineStr">
        <is>
          <t>Princeton, N.J. : Princeton University Press, c1982.</t>
        </is>
      </c>
      <c r="M188" t="inlineStr">
        <is>
          <t>1982</t>
        </is>
      </c>
      <c r="O188" t="inlineStr">
        <is>
          <t>eng</t>
        </is>
      </c>
      <c r="P188" t="inlineStr">
        <is>
          <t>nju</t>
        </is>
      </c>
      <c r="R188" t="inlineStr">
        <is>
          <t xml:space="preserve">LA </t>
        </is>
      </c>
      <c r="S188" t="n">
        <v>1</v>
      </c>
      <c r="T188" t="n">
        <v>1</v>
      </c>
      <c r="U188" t="inlineStr">
        <is>
          <t>1992-12-02</t>
        </is>
      </c>
      <c r="V188" t="inlineStr">
        <is>
          <t>1992-12-02</t>
        </is>
      </c>
      <c r="W188" t="inlineStr">
        <is>
          <t>1992-10-14</t>
        </is>
      </c>
      <c r="X188" t="inlineStr">
        <is>
          <t>1992-10-14</t>
        </is>
      </c>
      <c r="Y188" t="n">
        <v>578</v>
      </c>
      <c r="Z188" t="n">
        <v>415</v>
      </c>
      <c r="AA188" t="n">
        <v>624</v>
      </c>
      <c r="AB188" t="n">
        <v>3</v>
      </c>
      <c r="AC188" t="n">
        <v>4</v>
      </c>
      <c r="AD188" t="n">
        <v>22</v>
      </c>
      <c r="AE188" t="n">
        <v>32</v>
      </c>
      <c r="AF188" t="n">
        <v>8</v>
      </c>
      <c r="AG188" t="n">
        <v>15</v>
      </c>
      <c r="AH188" t="n">
        <v>5</v>
      </c>
      <c r="AI188" t="n">
        <v>8</v>
      </c>
      <c r="AJ188" t="n">
        <v>15</v>
      </c>
      <c r="AK188" t="n">
        <v>17</v>
      </c>
      <c r="AL188" t="n">
        <v>2</v>
      </c>
      <c r="AM188" t="n">
        <v>2</v>
      </c>
      <c r="AN188" t="n">
        <v>0</v>
      </c>
      <c r="AO188" t="n">
        <v>0</v>
      </c>
      <c r="AP188" t="inlineStr">
        <is>
          <t>No</t>
        </is>
      </c>
      <c r="AQ188" t="inlineStr">
        <is>
          <t>No</t>
        </is>
      </c>
      <c r="AS188">
        <f>HYPERLINK("https://creighton-primo.hosted.exlibrisgroup.com/primo-explore/search?tab=default_tab&amp;search_scope=EVERYTHING&amp;vid=01CRU&amp;lang=en_US&amp;offset=0&amp;query=any,contains,991005194189702656","Catalog Record")</f>
        <v/>
      </c>
      <c r="AT188">
        <f>HYPERLINK("http://www.worldcat.org/oclc/8033540","WorldCat Record")</f>
        <v/>
      </c>
      <c r="AU188" t="inlineStr">
        <is>
          <t>891849663:eng</t>
        </is>
      </c>
      <c r="AV188" t="inlineStr">
        <is>
          <t>8033540</t>
        </is>
      </c>
      <c r="AW188" t="inlineStr">
        <is>
          <t>991005194189702656</t>
        </is>
      </c>
      <c r="AX188" t="inlineStr">
        <is>
          <t>991005194189702656</t>
        </is>
      </c>
      <c r="AY188" t="inlineStr">
        <is>
          <t>2269550450002656</t>
        </is>
      </c>
      <c r="AZ188" t="inlineStr">
        <is>
          <t>BOOK</t>
        </is>
      </c>
      <c r="BB188" t="inlineStr">
        <is>
          <t>9780691053455</t>
        </is>
      </c>
      <c r="BC188" t="inlineStr">
        <is>
          <t>32285001347979</t>
        </is>
      </c>
      <c r="BD188" t="inlineStr">
        <is>
          <t>893344811</t>
        </is>
      </c>
    </row>
    <row r="189">
      <c r="A189" t="inlineStr">
        <is>
          <t>No</t>
        </is>
      </c>
      <c r="B189" t="inlineStr">
        <is>
          <t>LA727 .M32</t>
        </is>
      </c>
      <c r="C189" t="inlineStr">
        <is>
          <t>0                      LA 0727000M  32</t>
        </is>
      </c>
      <c r="D189" t="inlineStr">
        <is>
          <t>State, society, and university in Germany, 1700-1914 / Charles E. McClelland.</t>
        </is>
      </c>
      <c r="F189" t="inlineStr">
        <is>
          <t>No</t>
        </is>
      </c>
      <c r="G189" t="inlineStr">
        <is>
          <t>1</t>
        </is>
      </c>
      <c r="H189" t="inlineStr">
        <is>
          <t>No</t>
        </is>
      </c>
      <c r="I189" t="inlineStr">
        <is>
          <t>No</t>
        </is>
      </c>
      <c r="J189" t="inlineStr">
        <is>
          <t>0</t>
        </is>
      </c>
      <c r="K189" t="inlineStr">
        <is>
          <t>McClelland, Charles E.</t>
        </is>
      </c>
      <c r="L189" t="inlineStr">
        <is>
          <t>Cambridge ; New York : Cambridge University Press, 1980.</t>
        </is>
      </c>
      <c r="M189" t="inlineStr">
        <is>
          <t>1980</t>
        </is>
      </c>
      <c r="O189" t="inlineStr">
        <is>
          <t>eng</t>
        </is>
      </c>
      <c r="P189" t="inlineStr">
        <is>
          <t>mau</t>
        </is>
      </c>
      <c r="R189" t="inlineStr">
        <is>
          <t xml:space="preserve">LA </t>
        </is>
      </c>
      <c r="S189" t="n">
        <v>11</v>
      </c>
      <c r="T189" t="n">
        <v>11</v>
      </c>
      <c r="U189" t="inlineStr">
        <is>
          <t>2010-03-25</t>
        </is>
      </c>
      <c r="V189" t="inlineStr">
        <is>
          <t>2010-03-25</t>
        </is>
      </c>
      <c r="W189" t="inlineStr">
        <is>
          <t>1992-02-28</t>
        </is>
      </c>
      <c r="X189" t="inlineStr">
        <is>
          <t>1992-02-28</t>
        </is>
      </c>
      <c r="Y189" t="n">
        <v>513</v>
      </c>
      <c r="Z189" t="n">
        <v>352</v>
      </c>
      <c r="AA189" t="n">
        <v>354</v>
      </c>
      <c r="AB189" t="n">
        <v>3</v>
      </c>
      <c r="AC189" t="n">
        <v>3</v>
      </c>
      <c r="AD189" t="n">
        <v>14</v>
      </c>
      <c r="AE189" t="n">
        <v>14</v>
      </c>
      <c r="AF189" t="n">
        <v>2</v>
      </c>
      <c r="AG189" t="n">
        <v>2</v>
      </c>
      <c r="AH189" t="n">
        <v>5</v>
      </c>
      <c r="AI189" t="n">
        <v>5</v>
      </c>
      <c r="AJ189" t="n">
        <v>9</v>
      </c>
      <c r="AK189" t="n">
        <v>9</v>
      </c>
      <c r="AL189" t="n">
        <v>2</v>
      </c>
      <c r="AM189" t="n">
        <v>2</v>
      </c>
      <c r="AN189" t="n">
        <v>0</v>
      </c>
      <c r="AO189" t="n">
        <v>0</v>
      </c>
      <c r="AP189" t="inlineStr">
        <is>
          <t>No</t>
        </is>
      </c>
      <c r="AQ189" t="inlineStr">
        <is>
          <t>No</t>
        </is>
      </c>
      <c r="AS189">
        <f>HYPERLINK("https://creighton-primo.hosted.exlibrisgroup.com/primo-explore/search?tab=default_tab&amp;search_scope=EVERYTHING&amp;vid=01CRU&amp;lang=en_US&amp;offset=0&amp;query=any,contains,991004758339702656","Catalog Record")</f>
        <v/>
      </c>
      <c r="AT189">
        <f>HYPERLINK("http://www.worldcat.org/oclc/4983198","WorldCat Record")</f>
        <v/>
      </c>
      <c r="AU189" t="inlineStr">
        <is>
          <t>15212463:eng</t>
        </is>
      </c>
      <c r="AV189" t="inlineStr">
        <is>
          <t>4983198</t>
        </is>
      </c>
      <c r="AW189" t="inlineStr">
        <is>
          <t>991004758339702656</t>
        </is>
      </c>
      <c r="AX189" t="inlineStr">
        <is>
          <t>991004758339702656</t>
        </is>
      </c>
      <c r="AY189" t="inlineStr">
        <is>
          <t>2265946080002656</t>
        </is>
      </c>
      <c r="AZ189" t="inlineStr">
        <is>
          <t>BOOK</t>
        </is>
      </c>
      <c r="BB189" t="inlineStr">
        <is>
          <t>9780521227421</t>
        </is>
      </c>
      <c r="BC189" t="inlineStr">
        <is>
          <t>32285000949411</t>
        </is>
      </c>
      <c r="BD189" t="inlineStr">
        <is>
          <t>893500918</t>
        </is>
      </c>
    </row>
    <row r="190">
      <c r="A190" t="inlineStr">
        <is>
          <t>No</t>
        </is>
      </c>
      <c r="B190" t="inlineStr">
        <is>
          <t>LA727 .P75 1990</t>
        </is>
      </c>
      <c r="C190" t="inlineStr">
        <is>
          <t>0                      LA 0727000P  75          1990</t>
        </is>
      </c>
      <c r="D190" t="inlineStr">
        <is>
          <t>The end of elitism? : the democratisation of the West German university system / Rosalind M.O. Pritchard.</t>
        </is>
      </c>
      <c r="F190" t="inlineStr">
        <is>
          <t>No</t>
        </is>
      </c>
      <c r="G190" t="inlineStr">
        <is>
          <t>1</t>
        </is>
      </c>
      <c r="H190" t="inlineStr">
        <is>
          <t>No</t>
        </is>
      </c>
      <c r="I190" t="inlineStr">
        <is>
          <t>No</t>
        </is>
      </c>
      <c r="J190" t="inlineStr">
        <is>
          <t>0</t>
        </is>
      </c>
      <c r="K190" t="inlineStr">
        <is>
          <t>Pritchard, Rosalind M. O.</t>
        </is>
      </c>
      <c r="L190" t="inlineStr">
        <is>
          <t>New York : Berg : Distributed exclusively in the US and Canada by St. Martin's Press, 1990.</t>
        </is>
      </c>
      <c r="M190" t="inlineStr">
        <is>
          <t>1990</t>
        </is>
      </c>
      <c r="O190" t="inlineStr">
        <is>
          <t>eng</t>
        </is>
      </c>
      <c r="P190" t="inlineStr">
        <is>
          <t>nyu</t>
        </is>
      </c>
      <c r="R190" t="inlineStr">
        <is>
          <t xml:space="preserve">LA </t>
        </is>
      </c>
      <c r="S190" t="n">
        <v>5</v>
      </c>
      <c r="T190" t="n">
        <v>5</v>
      </c>
      <c r="U190" t="inlineStr">
        <is>
          <t>2005-03-16</t>
        </is>
      </c>
      <c r="V190" t="inlineStr">
        <is>
          <t>2005-03-16</t>
        </is>
      </c>
      <c r="W190" t="inlineStr">
        <is>
          <t>1992-04-30</t>
        </is>
      </c>
      <c r="X190" t="inlineStr">
        <is>
          <t>1992-04-30</t>
        </is>
      </c>
      <c r="Y190" t="n">
        <v>182</v>
      </c>
      <c r="Z190" t="n">
        <v>115</v>
      </c>
      <c r="AA190" t="n">
        <v>119</v>
      </c>
      <c r="AB190" t="n">
        <v>1</v>
      </c>
      <c r="AC190" t="n">
        <v>1</v>
      </c>
      <c r="AD190" t="n">
        <v>4</v>
      </c>
      <c r="AE190" t="n">
        <v>4</v>
      </c>
      <c r="AF190" t="n">
        <v>0</v>
      </c>
      <c r="AG190" t="n">
        <v>0</v>
      </c>
      <c r="AH190" t="n">
        <v>1</v>
      </c>
      <c r="AI190" t="n">
        <v>1</v>
      </c>
      <c r="AJ190" t="n">
        <v>3</v>
      </c>
      <c r="AK190" t="n">
        <v>3</v>
      </c>
      <c r="AL190" t="n">
        <v>0</v>
      </c>
      <c r="AM190" t="n">
        <v>0</v>
      </c>
      <c r="AN190" t="n">
        <v>0</v>
      </c>
      <c r="AO190" t="n">
        <v>0</v>
      </c>
      <c r="AP190" t="inlineStr">
        <is>
          <t>No</t>
        </is>
      </c>
      <c r="AQ190" t="inlineStr">
        <is>
          <t>Yes</t>
        </is>
      </c>
      <c r="AR190">
        <f>HYPERLINK("http://catalog.hathitrust.org/Record/002430052","HathiTrust Record")</f>
        <v/>
      </c>
      <c r="AS190">
        <f>HYPERLINK("https://creighton-primo.hosted.exlibrisgroup.com/primo-explore/search?tab=default_tab&amp;search_scope=EVERYTHING&amp;vid=01CRU&amp;lang=en_US&amp;offset=0&amp;query=any,contains,991001564059702656","Catalog Record")</f>
        <v/>
      </c>
      <c r="AT190">
        <f>HYPERLINK("http://www.worldcat.org/oclc/20319612","WorldCat Record")</f>
        <v/>
      </c>
      <c r="AU190" t="inlineStr">
        <is>
          <t>221820284:eng</t>
        </is>
      </c>
      <c r="AV190" t="inlineStr">
        <is>
          <t>20319612</t>
        </is>
      </c>
      <c r="AW190" t="inlineStr">
        <is>
          <t>991001564059702656</t>
        </is>
      </c>
      <c r="AX190" t="inlineStr">
        <is>
          <t>991001564059702656</t>
        </is>
      </c>
      <c r="AY190" t="inlineStr">
        <is>
          <t>2254983160002656</t>
        </is>
      </c>
      <c r="AZ190" t="inlineStr">
        <is>
          <t>BOOK</t>
        </is>
      </c>
      <c r="BB190" t="inlineStr">
        <is>
          <t>9780854966615</t>
        </is>
      </c>
      <c r="BC190" t="inlineStr">
        <is>
          <t>32285001037356</t>
        </is>
      </c>
      <c r="BD190" t="inlineStr">
        <is>
          <t>893439214</t>
        </is>
      </c>
    </row>
    <row r="191">
      <c r="A191" t="inlineStr">
        <is>
          <t>No</t>
        </is>
      </c>
      <c r="B191" t="inlineStr">
        <is>
          <t>LA727 .R47</t>
        </is>
      </c>
      <c r="C191" t="inlineStr">
        <is>
          <t>0                      LA 0727000R  47</t>
        </is>
      </c>
      <c r="D191" t="inlineStr">
        <is>
          <t>The decline of the German mandarins : the German academic community, 1890-1933 / [by] Fritz K. Ringer.</t>
        </is>
      </c>
      <c r="F191" t="inlineStr">
        <is>
          <t>No</t>
        </is>
      </c>
      <c r="G191" t="inlineStr">
        <is>
          <t>1</t>
        </is>
      </c>
      <c r="H191" t="inlineStr">
        <is>
          <t>No</t>
        </is>
      </c>
      <c r="I191" t="inlineStr">
        <is>
          <t>No</t>
        </is>
      </c>
      <c r="J191" t="inlineStr">
        <is>
          <t>0</t>
        </is>
      </c>
      <c r="K191" t="inlineStr">
        <is>
          <t>Ringer, Fritz K., 1934-</t>
        </is>
      </c>
      <c r="L191" t="inlineStr">
        <is>
          <t>Cambridge, Mass. : Harvard University Press, 1969.</t>
        </is>
      </c>
      <c r="M191" t="inlineStr">
        <is>
          <t>1969</t>
        </is>
      </c>
      <c r="O191" t="inlineStr">
        <is>
          <t>eng</t>
        </is>
      </c>
      <c r="P191" t="inlineStr">
        <is>
          <t>mau</t>
        </is>
      </c>
      <c r="R191" t="inlineStr">
        <is>
          <t xml:space="preserve">LA </t>
        </is>
      </c>
      <c r="S191" t="n">
        <v>13</v>
      </c>
      <c r="T191" t="n">
        <v>13</v>
      </c>
      <c r="U191" t="inlineStr">
        <is>
          <t>2010-03-25</t>
        </is>
      </c>
      <c r="V191" t="inlineStr">
        <is>
          <t>2010-03-25</t>
        </is>
      </c>
      <c r="W191" t="inlineStr">
        <is>
          <t>1994-06-29</t>
        </is>
      </c>
      <c r="X191" t="inlineStr">
        <is>
          <t>1994-06-29</t>
        </is>
      </c>
      <c r="Y191" t="n">
        <v>653</v>
      </c>
      <c r="Z191" t="n">
        <v>507</v>
      </c>
      <c r="AA191" t="n">
        <v>700</v>
      </c>
      <c r="AB191" t="n">
        <v>4</v>
      </c>
      <c r="AC191" t="n">
        <v>5</v>
      </c>
      <c r="AD191" t="n">
        <v>27</v>
      </c>
      <c r="AE191" t="n">
        <v>38</v>
      </c>
      <c r="AF191" t="n">
        <v>10</v>
      </c>
      <c r="AG191" t="n">
        <v>16</v>
      </c>
      <c r="AH191" t="n">
        <v>7</v>
      </c>
      <c r="AI191" t="n">
        <v>10</v>
      </c>
      <c r="AJ191" t="n">
        <v>17</v>
      </c>
      <c r="AK191" t="n">
        <v>20</v>
      </c>
      <c r="AL191" t="n">
        <v>3</v>
      </c>
      <c r="AM191" t="n">
        <v>4</v>
      </c>
      <c r="AN191" t="n">
        <v>0</v>
      </c>
      <c r="AO191" t="n">
        <v>0</v>
      </c>
      <c r="AP191" t="inlineStr">
        <is>
          <t>No</t>
        </is>
      </c>
      <c r="AQ191" t="inlineStr">
        <is>
          <t>Yes</t>
        </is>
      </c>
      <c r="AR191">
        <f>HYPERLINK("http://catalog.hathitrust.org/Record/001117297","HathiTrust Record")</f>
        <v/>
      </c>
      <c r="AS191">
        <f>HYPERLINK("https://creighton-primo.hosted.exlibrisgroup.com/primo-explore/search?tab=default_tab&amp;search_scope=EVERYTHING&amp;vid=01CRU&amp;lang=en_US&amp;offset=0&amp;query=any,contains,991001399419702656","Catalog Record")</f>
        <v/>
      </c>
      <c r="AT191">
        <f>HYPERLINK("http://www.worldcat.org/oclc/228932","WorldCat Record")</f>
        <v/>
      </c>
      <c r="AU191" t="inlineStr">
        <is>
          <t>964202:eng</t>
        </is>
      </c>
      <c r="AV191" t="inlineStr">
        <is>
          <t>228932</t>
        </is>
      </c>
      <c r="AW191" t="inlineStr">
        <is>
          <t>991001399419702656</t>
        </is>
      </c>
      <c r="AX191" t="inlineStr">
        <is>
          <t>991001399419702656</t>
        </is>
      </c>
      <c r="AY191" t="inlineStr">
        <is>
          <t>2257008660002656</t>
        </is>
      </c>
      <c r="AZ191" t="inlineStr">
        <is>
          <t>BOOK</t>
        </is>
      </c>
      <c r="BC191" t="inlineStr">
        <is>
          <t>32285001935609</t>
        </is>
      </c>
      <c r="BD191" t="inlineStr">
        <is>
          <t>893797556</t>
        </is>
      </c>
    </row>
    <row r="192">
      <c r="A192" t="inlineStr">
        <is>
          <t>No</t>
        </is>
      </c>
      <c r="B192" t="inlineStr">
        <is>
          <t>LA728 .G473 1997</t>
        </is>
      </c>
      <c r="C192" t="inlineStr">
        <is>
          <t>0                      LA 0728000G  473         1997</t>
        </is>
      </c>
      <c r="D192" t="inlineStr">
        <is>
          <t>German universities past and future : crisis or renewal? / edited by Mitchell G. Ash.</t>
        </is>
      </c>
      <c r="F192" t="inlineStr">
        <is>
          <t>No</t>
        </is>
      </c>
      <c r="G192" t="inlineStr">
        <is>
          <t>1</t>
        </is>
      </c>
      <c r="H192" t="inlineStr">
        <is>
          <t>No</t>
        </is>
      </c>
      <c r="I192" t="inlineStr">
        <is>
          <t>No</t>
        </is>
      </c>
      <c r="J192" t="inlineStr">
        <is>
          <t>0</t>
        </is>
      </c>
      <c r="L192" t="inlineStr">
        <is>
          <t>Providence, RI : Berghahn Books, 1997.</t>
        </is>
      </c>
      <c r="M192" t="inlineStr">
        <is>
          <t>1997</t>
        </is>
      </c>
      <c r="O192" t="inlineStr">
        <is>
          <t>eng</t>
        </is>
      </c>
      <c r="P192" t="inlineStr">
        <is>
          <t>riu</t>
        </is>
      </c>
      <c r="Q192" t="inlineStr">
        <is>
          <t>Policies and institutions</t>
        </is>
      </c>
      <c r="R192" t="inlineStr">
        <is>
          <t xml:space="preserve">LA </t>
        </is>
      </c>
      <c r="S192" t="n">
        <v>9</v>
      </c>
      <c r="T192" t="n">
        <v>9</v>
      </c>
      <c r="U192" t="inlineStr">
        <is>
          <t>2009-03-30</t>
        </is>
      </c>
      <c r="V192" t="inlineStr">
        <is>
          <t>2009-03-30</t>
        </is>
      </c>
      <c r="W192" t="inlineStr">
        <is>
          <t>1997-08-29</t>
        </is>
      </c>
      <c r="X192" t="inlineStr">
        <is>
          <t>1997-08-29</t>
        </is>
      </c>
      <c r="Y192" t="n">
        <v>168</v>
      </c>
      <c r="Z192" t="n">
        <v>113</v>
      </c>
      <c r="AA192" t="n">
        <v>114</v>
      </c>
      <c r="AB192" t="n">
        <v>1</v>
      </c>
      <c r="AC192" t="n">
        <v>1</v>
      </c>
      <c r="AD192" t="n">
        <v>6</v>
      </c>
      <c r="AE192" t="n">
        <v>6</v>
      </c>
      <c r="AF192" t="n">
        <v>1</v>
      </c>
      <c r="AG192" t="n">
        <v>1</v>
      </c>
      <c r="AH192" t="n">
        <v>2</v>
      </c>
      <c r="AI192" t="n">
        <v>2</v>
      </c>
      <c r="AJ192" t="n">
        <v>4</v>
      </c>
      <c r="AK192" t="n">
        <v>4</v>
      </c>
      <c r="AL192" t="n">
        <v>0</v>
      </c>
      <c r="AM192" t="n">
        <v>0</v>
      </c>
      <c r="AN192" t="n">
        <v>0</v>
      </c>
      <c r="AO192" t="n">
        <v>0</v>
      </c>
      <c r="AP192" t="inlineStr">
        <is>
          <t>No</t>
        </is>
      </c>
      <c r="AQ192" t="inlineStr">
        <is>
          <t>No</t>
        </is>
      </c>
      <c r="AS192">
        <f>HYPERLINK("https://creighton-primo.hosted.exlibrisgroup.com/primo-explore/search?tab=default_tab&amp;search_scope=EVERYTHING&amp;vid=01CRU&amp;lang=en_US&amp;offset=0&amp;query=any,contains,991002752479702656","Catalog Record")</f>
        <v/>
      </c>
      <c r="AT192">
        <f>HYPERLINK("http://www.worldcat.org/oclc/36121425","WorldCat Record")</f>
        <v/>
      </c>
      <c r="AU192" t="inlineStr">
        <is>
          <t>837051169:eng</t>
        </is>
      </c>
      <c r="AV192" t="inlineStr">
        <is>
          <t>36121425</t>
        </is>
      </c>
      <c r="AW192" t="inlineStr">
        <is>
          <t>991002752479702656</t>
        </is>
      </c>
      <c r="AX192" t="inlineStr">
        <is>
          <t>991002752479702656</t>
        </is>
      </c>
      <c r="AY192" t="inlineStr">
        <is>
          <t>2262218810002656</t>
        </is>
      </c>
      <c r="AZ192" t="inlineStr">
        <is>
          <t>BOOK</t>
        </is>
      </c>
      <c r="BB192" t="inlineStr">
        <is>
          <t>9781571810700</t>
        </is>
      </c>
      <c r="BC192" t="inlineStr">
        <is>
          <t>32285003002986</t>
        </is>
      </c>
      <c r="BD192" t="inlineStr">
        <is>
          <t>893873937</t>
        </is>
      </c>
    </row>
    <row r="193">
      <c r="A193" t="inlineStr">
        <is>
          <t>No</t>
        </is>
      </c>
      <c r="B193" t="inlineStr">
        <is>
          <t>LA728 .P43 1979</t>
        </is>
      </c>
      <c r="C193" t="inlineStr">
        <is>
          <t>0                      LA 0728000P  43          1979</t>
        </is>
      </c>
      <c r="D193" t="inlineStr">
        <is>
          <t>Das Hochschulsystem in der Bundesrepublik Deutschland : Funktionsweise u. Leistungsfähigkeit / Hansgert Peisert, Gerhild Framhein.</t>
        </is>
      </c>
      <c r="F193" t="inlineStr">
        <is>
          <t>No</t>
        </is>
      </c>
      <c r="G193" t="inlineStr">
        <is>
          <t>1</t>
        </is>
      </c>
      <c r="H193" t="inlineStr">
        <is>
          <t>No</t>
        </is>
      </c>
      <c r="I193" t="inlineStr">
        <is>
          <t>No</t>
        </is>
      </c>
      <c r="J193" t="inlineStr">
        <is>
          <t>0</t>
        </is>
      </c>
      <c r="K193" t="inlineStr">
        <is>
          <t>Peisert, Hansgert.</t>
        </is>
      </c>
      <c r="L193" t="inlineStr">
        <is>
          <t>Stuttgart : Klett-Cotta, 1979.</t>
        </is>
      </c>
      <c r="M193" t="inlineStr">
        <is>
          <t>1979</t>
        </is>
      </c>
      <c r="O193" t="inlineStr">
        <is>
          <t>ger</t>
        </is>
      </c>
      <c r="P193" t="inlineStr">
        <is>
          <t xml:space="preserve">gw </t>
        </is>
      </c>
      <c r="R193" t="inlineStr">
        <is>
          <t xml:space="preserve">LA </t>
        </is>
      </c>
      <c r="S193" t="n">
        <v>1</v>
      </c>
      <c r="T193" t="n">
        <v>1</v>
      </c>
      <c r="U193" t="inlineStr">
        <is>
          <t>2003-02-13</t>
        </is>
      </c>
      <c r="V193" t="inlineStr">
        <is>
          <t>2003-02-13</t>
        </is>
      </c>
      <c r="W193" t="inlineStr">
        <is>
          <t>2003-02-13</t>
        </is>
      </c>
      <c r="X193" t="inlineStr">
        <is>
          <t>2003-02-13</t>
        </is>
      </c>
      <c r="Y193" t="n">
        <v>62</v>
      </c>
      <c r="Z193" t="n">
        <v>22</v>
      </c>
      <c r="AA193" t="n">
        <v>27</v>
      </c>
      <c r="AB193" t="n">
        <v>1</v>
      </c>
      <c r="AC193" t="n">
        <v>1</v>
      </c>
      <c r="AD193" t="n">
        <v>1</v>
      </c>
      <c r="AE193" t="n">
        <v>1</v>
      </c>
      <c r="AF193" t="n">
        <v>0</v>
      </c>
      <c r="AG193" t="n">
        <v>0</v>
      </c>
      <c r="AH193" t="n">
        <v>1</v>
      </c>
      <c r="AI193" t="n">
        <v>1</v>
      </c>
      <c r="AJ193" t="n">
        <v>1</v>
      </c>
      <c r="AK193" t="n">
        <v>1</v>
      </c>
      <c r="AL193" t="n">
        <v>0</v>
      </c>
      <c r="AM193" t="n">
        <v>0</v>
      </c>
      <c r="AN193" t="n">
        <v>0</v>
      </c>
      <c r="AO193" t="n">
        <v>0</v>
      </c>
      <c r="AP193" t="inlineStr">
        <is>
          <t>No</t>
        </is>
      </c>
      <c r="AQ193" t="inlineStr">
        <is>
          <t>Yes</t>
        </is>
      </c>
      <c r="AR193">
        <f>HYPERLINK("http://catalog.hathitrust.org/Record/006180364","HathiTrust Record")</f>
        <v/>
      </c>
      <c r="AS193">
        <f>HYPERLINK("https://creighton-primo.hosted.exlibrisgroup.com/primo-explore/search?tab=default_tab&amp;search_scope=EVERYTHING&amp;vid=01CRU&amp;lang=en_US&amp;offset=0&amp;query=any,contains,991003996329702656","Catalog Record")</f>
        <v/>
      </c>
      <c r="AT193">
        <f>HYPERLINK("http://www.worldcat.org/oclc/5410987","WorldCat Record")</f>
        <v/>
      </c>
      <c r="AU193" t="inlineStr">
        <is>
          <t>366067015:ger</t>
        </is>
      </c>
      <c r="AV193" t="inlineStr">
        <is>
          <t>5410987</t>
        </is>
      </c>
      <c r="AW193" t="inlineStr">
        <is>
          <t>991003996329702656</t>
        </is>
      </c>
      <c r="AX193" t="inlineStr">
        <is>
          <t>991003996329702656</t>
        </is>
      </c>
      <c r="AY193" t="inlineStr">
        <is>
          <t>2260450060002656</t>
        </is>
      </c>
      <c r="AZ193" t="inlineStr">
        <is>
          <t>BOOK</t>
        </is>
      </c>
      <c r="BB193" t="inlineStr">
        <is>
          <t>9783129118801</t>
        </is>
      </c>
      <c r="BC193" t="inlineStr">
        <is>
          <t>32285004698766</t>
        </is>
      </c>
      <c r="BD193" t="inlineStr">
        <is>
          <t>893337221</t>
        </is>
      </c>
    </row>
    <row r="194">
      <c r="A194" t="inlineStr">
        <is>
          <t>No</t>
        </is>
      </c>
      <c r="B194" t="inlineStr">
        <is>
          <t>LA729 .S67</t>
        </is>
      </c>
      <c r="C194" t="inlineStr">
        <is>
          <t>0                      LA 0729000S  67</t>
        </is>
      </c>
      <c r="D194" t="inlineStr">
        <is>
          <t>Sabers and brown shirts : the German students' path to National Socialism, 1918-1935 / Michael Stephen Steinberg.</t>
        </is>
      </c>
      <c r="F194" t="inlineStr">
        <is>
          <t>No</t>
        </is>
      </c>
      <c r="G194" t="inlineStr">
        <is>
          <t>1</t>
        </is>
      </c>
      <c r="H194" t="inlineStr">
        <is>
          <t>No</t>
        </is>
      </c>
      <c r="I194" t="inlineStr">
        <is>
          <t>No</t>
        </is>
      </c>
      <c r="J194" t="inlineStr">
        <is>
          <t>0</t>
        </is>
      </c>
      <c r="K194" t="inlineStr">
        <is>
          <t>Steinberg, Michael Stephen.</t>
        </is>
      </c>
      <c r="L194" t="inlineStr">
        <is>
          <t>Chicago : University of Chicago Press, 1977.</t>
        </is>
      </c>
      <c r="M194" t="inlineStr">
        <is>
          <t>1977</t>
        </is>
      </c>
      <c r="O194" t="inlineStr">
        <is>
          <t>eng</t>
        </is>
      </c>
      <c r="P194" t="inlineStr">
        <is>
          <t>ilu</t>
        </is>
      </c>
      <c r="R194" t="inlineStr">
        <is>
          <t xml:space="preserve">LA </t>
        </is>
      </c>
      <c r="S194" t="n">
        <v>1</v>
      </c>
      <c r="T194" t="n">
        <v>1</v>
      </c>
      <c r="U194" t="inlineStr">
        <is>
          <t>1994-10-25</t>
        </is>
      </c>
      <c r="V194" t="inlineStr">
        <is>
          <t>1994-10-25</t>
        </is>
      </c>
      <c r="W194" t="inlineStr">
        <is>
          <t>1992-10-14</t>
        </is>
      </c>
      <c r="X194" t="inlineStr">
        <is>
          <t>1992-10-14</t>
        </is>
      </c>
      <c r="Y194" t="n">
        <v>626</v>
      </c>
      <c r="Z194" t="n">
        <v>487</v>
      </c>
      <c r="AA194" t="n">
        <v>491</v>
      </c>
      <c r="AB194" t="n">
        <v>4</v>
      </c>
      <c r="AC194" t="n">
        <v>4</v>
      </c>
      <c r="AD194" t="n">
        <v>22</v>
      </c>
      <c r="AE194" t="n">
        <v>22</v>
      </c>
      <c r="AF194" t="n">
        <v>7</v>
      </c>
      <c r="AG194" t="n">
        <v>7</v>
      </c>
      <c r="AH194" t="n">
        <v>6</v>
      </c>
      <c r="AI194" t="n">
        <v>6</v>
      </c>
      <c r="AJ194" t="n">
        <v>14</v>
      </c>
      <c r="AK194" t="n">
        <v>14</v>
      </c>
      <c r="AL194" t="n">
        <v>3</v>
      </c>
      <c r="AM194" t="n">
        <v>3</v>
      </c>
      <c r="AN194" t="n">
        <v>0</v>
      </c>
      <c r="AO194" t="n">
        <v>0</v>
      </c>
      <c r="AP194" t="inlineStr">
        <is>
          <t>No</t>
        </is>
      </c>
      <c r="AQ194" t="inlineStr">
        <is>
          <t>No</t>
        </is>
      </c>
      <c r="AS194">
        <f>HYPERLINK("https://creighton-primo.hosted.exlibrisgroup.com/primo-explore/search?tab=default_tab&amp;search_scope=EVERYTHING&amp;vid=01CRU&amp;lang=en_US&amp;offset=0&amp;query=any,contains,991004253919702656","Catalog Record")</f>
        <v/>
      </c>
      <c r="AT194">
        <f>HYPERLINK("http://www.worldcat.org/oclc/2818544","WorldCat Record")</f>
        <v/>
      </c>
      <c r="AU194" t="inlineStr">
        <is>
          <t>330708050:eng</t>
        </is>
      </c>
      <c r="AV194" t="inlineStr">
        <is>
          <t>2818544</t>
        </is>
      </c>
      <c r="AW194" t="inlineStr">
        <is>
          <t>991004253919702656</t>
        </is>
      </c>
      <c r="AX194" t="inlineStr">
        <is>
          <t>991004253919702656</t>
        </is>
      </c>
      <c r="AY194" t="inlineStr">
        <is>
          <t>2267771520002656</t>
        </is>
      </c>
      <c r="AZ194" t="inlineStr">
        <is>
          <t>BOOK</t>
        </is>
      </c>
      <c r="BB194" t="inlineStr">
        <is>
          <t>9780226771885</t>
        </is>
      </c>
      <c r="BC194" t="inlineStr">
        <is>
          <t>32285001347987</t>
        </is>
      </c>
      <c r="BD194" t="inlineStr">
        <is>
          <t>893706158</t>
        </is>
      </c>
    </row>
    <row r="195">
      <c r="A195" t="inlineStr">
        <is>
          <t>No</t>
        </is>
      </c>
      <c r="B195" t="inlineStr">
        <is>
          <t>LA729.A3 H8 1969</t>
        </is>
      </c>
      <c r="C195" t="inlineStr">
        <is>
          <t>0                      LA 0729000A  3                  H  8           1969</t>
        </is>
      </c>
      <c r="D195" t="inlineStr">
        <is>
          <t>Life in Germany ; or, Scenes, impressions, and every-day life of the Germans, including the popular songs, sports, and habits of the students of the universities / illustrated with numerous engravings by Sargent, Woods, and other eminent artists.</t>
        </is>
      </c>
      <c r="F195" t="inlineStr">
        <is>
          <t>No</t>
        </is>
      </c>
      <c r="G195" t="inlineStr">
        <is>
          <t>1</t>
        </is>
      </c>
      <c r="H195" t="inlineStr">
        <is>
          <t>No</t>
        </is>
      </c>
      <c r="I195" t="inlineStr">
        <is>
          <t>No</t>
        </is>
      </c>
      <c r="J195" t="inlineStr">
        <is>
          <t>0</t>
        </is>
      </c>
      <c r="K195" t="inlineStr">
        <is>
          <t>Howitt, William, 1792-1879.</t>
        </is>
      </c>
      <c r="L195" t="inlineStr">
        <is>
          <t>New York : AMS Press, [1969]</t>
        </is>
      </c>
      <c r="M195" t="inlineStr">
        <is>
          <t>1969</t>
        </is>
      </c>
      <c r="O195" t="inlineStr">
        <is>
          <t>eng</t>
        </is>
      </c>
      <c r="P195" t="inlineStr">
        <is>
          <t>nyu</t>
        </is>
      </c>
      <c r="R195" t="inlineStr">
        <is>
          <t xml:space="preserve">LA </t>
        </is>
      </c>
      <c r="S195" t="n">
        <v>1</v>
      </c>
      <c r="T195" t="n">
        <v>1</v>
      </c>
      <c r="U195" t="inlineStr">
        <is>
          <t>1992-11-30</t>
        </is>
      </c>
      <c r="V195" t="inlineStr">
        <is>
          <t>1992-11-30</t>
        </is>
      </c>
      <c r="W195" t="inlineStr">
        <is>
          <t>1990-10-15</t>
        </is>
      </c>
      <c r="X195" t="inlineStr">
        <is>
          <t>1990-10-15</t>
        </is>
      </c>
      <c r="Y195" t="n">
        <v>106</v>
      </c>
      <c r="Z195" t="n">
        <v>101</v>
      </c>
      <c r="AA195" t="n">
        <v>146</v>
      </c>
      <c r="AB195" t="n">
        <v>1</v>
      </c>
      <c r="AC195" t="n">
        <v>1</v>
      </c>
      <c r="AD195" t="n">
        <v>2</v>
      </c>
      <c r="AE195" t="n">
        <v>4</v>
      </c>
      <c r="AF195" t="n">
        <v>0</v>
      </c>
      <c r="AG195" t="n">
        <v>1</v>
      </c>
      <c r="AH195" t="n">
        <v>2</v>
      </c>
      <c r="AI195" t="n">
        <v>3</v>
      </c>
      <c r="AJ195" t="n">
        <v>1</v>
      </c>
      <c r="AK195" t="n">
        <v>2</v>
      </c>
      <c r="AL195" t="n">
        <v>0</v>
      </c>
      <c r="AM195" t="n">
        <v>0</v>
      </c>
      <c r="AN195" t="n">
        <v>0</v>
      </c>
      <c r="AO195" t="n">
        <v>0</v>
      </c>
      <c r="AP195" t="inlineStr">
        <is>
          <t>No</t>
        </is>
      </c>
      <c r="AQ195" t="inlineStr">
        <is>
          <t>Yes</t>
        </is>
      </c>
      <c r="AR195">
        <f>HYPERLINK("http://catalog.hathitrust.org/Record/010075893","HathiTrust Record")</f>
        <v/>
      </c>
      <c r="AS195">
        <f>HYPERLINK("https://creighton-primo.hosted.exlibrisgroup.com/primo-explore/search?tab=default_tab&amp;search_scope=EVERYTHING&amp;vid=01CRU&amp;lang=en_US&amp;offset=0&amp;query=any,contains,991000132389702656","Catalog Record")</f>
        <v/>
      </c>
      <c r="AT195">
        <f>HYPERLINK("http://www.worldcat.org/oclc/54669","WorldCat Record")</f>
        <v/>
      </c>
      <c r="AU195" t="inlineStr">
        <is>
          <t>1082884272:eng</t>
        </is>
      </c>
      <c r="AV195" t="inlineStr">
        <is>
          <t>54669</t>
        </is>
      </c>
      <c r="AW195" t="inlineStr">
        <is>
          <t>991000132389702656</t>
        </is>
      </c>
      <c r="AX195" t="inlineStr">
        <is>
          <t>991000132389702656</t>
        </is>
      </c>
      <c r="AY195" t="inlineStr">
        <is>
          <t>2258129860002656</t>
        </is>
      </c>
      <c r="AZ195" t="inlineStr">
        <is>
          <t>BOOK</t>
        </is>
      </c>
      <c r="BC195" t="inlineStr">
        <is>
          <t>32285000347392</t>
        </is>
      </c>
      <c r="BD195" t="inlineStr">
        <is>
          <t>893708148</t>
        </is>
      </c>
    </row>
    <row r="196">
      <c r="A196" t="inlineStr">
        <is>
          <t>No</t>
        </is>
      </c>
      <c r="B196" t="inlineStr">
        <is>
          <t>LA75 .B38</t>
        </is>
      </c>
      <c r="C196" t="inlineStr">
        <is>
          <t>0                      LA 0075000B  38</t>
        </is>
      </c>
      <c r="D196" t="inlineStr">
        <is>
          <t>Greek education, 450-350 B.C. / Frederick A. G. Beck.</t>
        </is>
      </c>
      <c r="F196" t="inlineStr">
        <is>
          <t>No</t>
        </is>
      </c>
      <c r="G196" t="inlineStr">
        <is>
          <t>1</t>
        </is>
      </c>
      <c r="H196" t="inlineStr">
        <is>
          <t>No</t>
        </is>
      </c>
      <c r="I196" t="inlineStr">
        <is>
          <t>No</t>
        </is>
      </c>
      <c r="J196" t="inlineStr">
        <is>
          <t>0</t>
        </is>
      </c>
      <c r="K196" t="inlineStr">
        <is>
          <t>Beck, Frederick A. G.</t>
        </is>
      </c>
      <c r="L196" t="inlineStr">
        <is>
          <t>London : Methuen, 1964.</t>
        </is>
      </c>
      <c r="M196" t="inlineStr">
        <is>
          <t>1964</t>
        </is>
      </c>
      <c r="O196" t="inlineStr">
        <is>
          <t>eng</t>
        </is>
      </c>
      <c r="P196" t="inlineStr">
        <is>
          <t>enk</t>
        </is>
      </c>
      <c r="R196" t="inlineStr">
        <is>
          <t xml:space="preserve">LA </t>
        </is>
      </c>
      <c r="S196" t="n">
        <v>2</v>
      </c>
      <c r="T196" t="n">
        <v>2</v>
      </c>
      <c r="U196" t="inlineStr">
        <is>
          <t>2004-12-23</t>
        </is>
      </c>
      <c r="V196" t="inlineStr">
        <is>
          <t>2004-12-23</t>
        </is>
      </c>
      <c r="W196" t="inlineStr">
        <is>
          <t>1997-04-22</t>
        </is>
      </c>
      <c r="X196" t="inlineStr">
        <is>
          <t>1997-04-22</t>
        </is>
      </c>
      <c r="Y196" t="n">
        <v>311</v>
      </c>
      <c r="Z196" t="n">
        <v>173</v>
      </c>
      <c r="AA196" t="n">
        <v>571</v>
      </c>
      <c r="AB196" t="n">
        <v>2</v>
      </c>
      <c r="AC196" t="n">
        <v>3</v>
      </c>
      <c r="AD196" t="n">
        <v>11</v>
      </c>
      <c r="AE196" t="n">
        <v>31</v>
      </c>
      <c r="AF196" t="n">
        <v>6</v>
      </c>
      <c r="AG196" t="n">
        <v>15</v>
      </c>
      <c r="AH196" t="n">
        <v>0</v>
      </c>
      <c r="AI196" t="n">
        <v>4</v>
      </c>
      <c r="AJ196" t="n">
        <v>5</v>
      </c>
      <c r="AK196" t="n">
        <v>19</v>
      </c>
      <c r="AL196" t="n">
        <v>1</v>
      </c>
      <c r="AM196" t="n">
        <v>2</v>
      </c>
      <c r="AN196" t="n">
        <v>0</v>
      </c>
      <c r="AO196" t="n">
        <v>0</v>
      </c>
      <c r="AP196" t="inlineStr">
        <is>
          <t>No</t>
        </is>
      </c>
      <c r="AQ196" t="inlineStr">
        <is>
          <t>Yes</t>
        </is>
      </c>
      <c r="AR196">
        <f>HYPERLINK("http://catalog.hathitrust.org/Record/001882435","HathiTrust Record")</f>
        <v/>
      </c>
      <c r="AS196">
        <f>HYPERLINK("https://creighton-primo.hosted.exlibrisgroup.com/primo-explore/search?tab=default_tab&amp;search_scope=EVERYTHING&amp;vid=01CRU&amp;lang=en_US&amp;offset=0&amp;query=any,contains,991003943259702656","Catalog Record")</f>
        <v/>
      </c>
      <c r="AT196">
        <f>HYPERLINK("http://www.worldcat.org/oclc/1938575","WorldCat Record")</f>
        <v/>
      </c>
      <c r="AU196" t="inlineStr">
        <is>
          <t>1308323:eng</t>
        </is>
      </c>
      <c r="AV196" t="inlineStr">
        <is>
          <t>1938575</t>
        </is>
      </c>
      <c r="AW196" t="inlineStr">
        <is>
          <t>991003943259702656</t>
        </is>
      </c>
      <c r="AX196" t="inlineStr">
        <is>
          <t>991003943259702656</t>
        </is>
      </c>
      <c r="AY196" t="inlineStr">
        <is>
          <t>2260405510002656</t>
        </is>
      </c>
      <c r="AZ196" t="inlineStr">
        <is>
          <t>BOOK</t>
        </is>
      </c>
      <c r="BC196" t="inlineStr">
        <is>
          <t>32285002554912</t>
        </is>
      </c>
      <c r="BD196" t="inlineStr">
        <is>
          <t>893800394</t>
        </is>
      </c>
    </row>
    <row r="197">
      <c r="A197" t="inlineStr">
        <is>
          <t>No</t>
        </is>
      </c>
      <c r="B197" t="inlineStr">
        <is>
          <t>LA75 .C48</t>
        </is>
      </c>
      <c r="C197" t="inlineStr">
        <is>
          <t>0                      LA 0075000C  48</t>
        </is>
      </c>
      <c r="D197" t="inlineStr">
        <is>
          <t>Nobility, tragedy, and naturalism; education in ancient Greece. Edited by J. J. Chambliss.</t>
        </is>
      </c>
      <c r="F197" t="inlineStr">
        <is>
          <t>No</t>
        </is>
      </c>
      <c r="G197" t="inlineStr">
        <is>
          <t>1</t>
        </is>
      </c>
      <c r="H197" t="inlineStr">
        <is>
          <t>No</t>
        </is>
      </c>
      <c r="I197" t="inlineStr">
        <is>
          <t>No</t>
        </is>
      </c>
      <c r="J197" t="inlineStr">
        <is>
          <t>0</t>
        </is>
      </c>
      <c r="K197" t="inlineStr">
        <is>
          <t>Chambliss, J. J. (Joseph James), 1929-, compiler.</t>
        </is>
      </c>
      <c r="L197" t="inlineStr">
        <is>
          <t>Minneapolis, Burgess Pub. Co. [1971]</t>
        </is>
      </c>
      <c r="M197" t="inlineStr">
        <is>
          <t>1971</t>
        </is>
      </c>
      <c r="O197" t="inlineStr">
        <is>
          <t>eng</t>
        </is>
      </c>
      <c r="P197" t="inlineStr">
        <is>
          <t>mnu</t>
        </is>
      </c>
      <c r="Q197" t="inlineStr">
        <is>
          <t>The Burgess history of Western education series</t>
        </is>
      </c>
      <c r="R197" t="inlineStr">
        <is>
          <t xml:space="preserve">LA </t>
        </is>
      </c>
      <c r="S197" t="n">
        <v>4</v>
      </c>
      <c r="T197" t="n">
        <v>4</v>
      </c>
      <c r="U197" t="inlineStr">
        <is>
          <t>2006-04-03</t>
        </is>
      </c>
      <c r="V197" t="inlineStr">
        <is>
          <t>2006-04-03</t>
        </is>
      </c>
      <c r="W197" t="inlineStr">
        <is>
          <t>1997-04-22</t>
        </is>
      </c>
      <c r="X197" t="inlineStr">
        <is>
          <t>1997-04-22</t>
        </is>
      </c>
      <c r="Y197" t="n">
        <v>305</v>
      </c>
      <c r="Z197" t="n">
        <v>261</v>
      </c>
      <c r="AA197" t="n">
        <v>262</v>
      </c>
      <c r="AB197" t="n">
        <v>2</v>
      </c>
      <c r="AC197" t="n">
        <v>2</v>
      </c>
      <c r="AD197" t="n">
        <v>10</v>
      </c>
      <c r="AE197" t="n">
        <v>10</v>
      </c>
      <c r="AF197" t="n">
        <v>3</v>
      </c>
      <c r="AG197" t="n">
        <v>3</v>
      </c>
      <c r="AH197" t="n">
        <v>2</v>
      </c>
      <c r="AI197" t="n">
        <v>2</v>
      </c>
      <c r="AJ197" t="n">
        <v>5</v>
      </c>
      <c r="AK197" t="n">
        <v>5</v>
      </c>
      <c r="AL197" t="n">
        <v>1</v>
      </c>
      <c r="AM197" t="n">
        <v>1</v>
      </c>
      <c r="AN197" t="n">
        <v>0</v>
      </c>
      <c r="AO197" t="n">
        <v>0</v>
      </c>
      <c r="AP197" t="inlineStr">
        <is>
          <t>No</t>
        </is>
      </c>
      <c r="AQ197" t="inlineStr">
        <is>
          <t>Yes</t>
        </is>
      </c>
      <c r="AR197">
        <f>HYPERLINK("http://catalog.hathitrust.org/Record/001279205","HathiTrust Record")</f>
        <v/>
      </c>
      <c r="AS197">
        <f>HYPERLINK("https://creighton-primo.hosted.exlibrisgroup.com/primo-explore/search?tab=default_tab&amp;search_scope=EVERYTHING&amp;vid=01CRU&amp;lang=en_US&amp;offset=0&amp;query=any,contains,991000726019702656","Catalog Record")</f>
        <v/>
      </c>
      <c r="AT197">
        <f>HYPERLINK("http://www.worldcat.org/oclc/127823","WorldCat Record")</f>
        <v/>
      </c>
      <c r="AU197" t="inlineStr">
        <is>
          <t>1256355:eng</t>
        </is>
      </c>
      <c r="AV197" t="inlineStr">
        <is>
          <t>127823</t>
        </is>
      </c>
      <c r="AW197" t="inlineStr">
        <is>
          <t>991000726019702656</t>
        </is>
      </c>
      <c r="AX197" t="inlineStr">
        <is>
          <t>991000726019702656</t>
        </is>
      </c>
      <c r="AY197" t="inlineStr">
        <is>
          <t>2261460400002656</t>
        </is>
      </c>
      <c r="AZ197" t="inlineStr">
        <is>
          <t>BOOK</t>
        </is>
      </c>
      <c r="BB197" t="inlineStr">
        <is>
          <t>9780808703327</t>
        </is>
      </c>
      <c r="BC197" t="inlineStr">
        <is>
          <t>32285002554946</t>
        </is>
      </c>
      <c r="BD197" t="inlineStr">
        <is>
          <t>893327528</t>
        </is>
      </c>
    </row>
    <row r="198">
      <c r="A198" t="inlineStr">
        <is>
          <t>No</t>
        </is>
      </c>
      <c r="B198" t="inlineStr">
        <is>
          <t>LA75 .J37</t>
        </is>
      </c>
      <c r="C198" t="inlineStr">
        <is>
          <t>0                      LA 0075000J  37</t>
        </is>
      </c>
      <c r="D198" t="inlineStr">
        <is>
          <t>The educational theories of the Sophists. Edited, with an introd. and notes, by James L. Jarrett.</t>
        </is>
      </c>
      <c r="F198" t="inlineStr">
        <is>
          <t>No</t>
        </is>
      </c>
      <c r="G198" t="inlineStr">
        <is>
          <t>1</t>
        </is>
      </c>
      <c r="H198" t="inlineStr">
        <is>
          <t>No</t>
        </is>
      </c>
      <c r="I198" t="inlineStr">
        <is>
          <t>No</t>
        </is>
      </c>
      <c r="J198" t="inlineStr">
        <is>
          <t>0</t>
        </is>
      </c>
      <c r="K198" t="inlineStr">
        <is>
          <t>Jarrett, James L. (James Louis), 1917-2015 compiler.</t>
        </is>
      </c>
      <c r="L198" t="inlineStr">
        <is>
          <t>New York, Teachers College Press [c1969]</t>
        </is>
      </c>
      <c r="M198" t="inlineStr">
        <is>
          <t>1969</t>
        </is>
      </c>
      <c r="O198" t="inlineStr">
        <is>
          <t>eng</t>
        </is>
      </c>
      <c r="P198" t="inlineStr">
        <is>
          <t>nyu</t>
        </is>
      </c>
      <c r="Q198" t="inlineStr">
        <is>
          <t>Classics in education ; no. 39</t>
        </is>
      </c>
      <c r="R198" t="inlineStr">
        <is>
          <t xml:space="preserve">LA </t>
        </is>
      </c>
      <c r="S198" t="n">
        <v>1</v>
      </c>
      <c r="T198" t="n">
        <v>1</v>
      </c>
      <c r="U198" t="inlineStr">
        <is>
          <t>2007-01-25</t>
        </is>
      </c>
      <c r="V198" t="inlineStr">
        <is>
          <t>2007-01-25</t>
        </is>
      </c>
      <c r="W198" t="inlineStr">
        <is>
          <t>1997-04-22</t>
        </is>
      </c>
      <c r="X198" t="inlineStr">
        <is>
          <t>1997-04-22</t>
        </is>
      </c>
      <c r="Y198" t="n">
        <v>560</v>
      </c>
      <c r="Z198" t="n">
        <v>472</v>
      </c>
      <c r="AA198" t="n">
        <v>473</v>
      </c>
      <c r="AB198" t="n">
        <v>4</v>
      </c>
      <c r="AC198" t="n">
        <v>4</v>
      </c>
      <c r="AD198" t="n">
        <v>30</v>
      </c>
      <c r="AE198" t="n">
        <v>30</v>
      </c>
      <c r="AF198" t="n">
        <v>13</v>
      </c>
      <c r="AG198" t="n">
        <v>13</v>
      </c>
      <c r="AH198" t="n">
        <v>6</v>
      </c>
      <c r="AI198" t="n">
        <v>6</v>
      </c>
      <c r="AJ198" t="n">
        <v>18</v>
      </c>
      <c r="AK198" t="n">
        <v>18</v>
      </c>
      <c r="AL198" t="n">
        <v>3</v>
      </c>
      <c r="AM198" t="n">
        <v>3</v>
      </c>
      <c r="AN198" t="n">
        <v>0</v>
      </c>
      <c r="AO198" t="n">
        <v>0</v>
      </c>
      <c r="AP198" t="inlineStr">
        <is>
          <t>No</t>
        </is>
      </c>
      <c r="AQ198" t="inlineStr">
        <is>
          <t>No</t>
        </is>
      </c>
      <c r="AS198">
        <f>HYPERLINK("https://creighton-primo.hosted.exlibrisgroup.com/primo-explore/search?tab=default_tab&amp;search_scope=EVERYTHING&amp;vid=01CRU&amp;lang=en_US&amp;offset=0&amp;query=any,contains,991000609659702656","Catalog Record")</f>
        <v/>
      </c>
      <c r="AT198">
        <f>HYPERLINK("http://www.worldcat.org/oclc/100255","WorldCat Record")</f>
        <v/>
      </c>
      <c r="AU198" t="inlineStr">
        <is>
          <t>1167195:eng</t>
        </is>
      </c>
      <c r="AV198" t="inlineStr">
        <is>
          <t>100255</t>
        </is>
      </c>
      <c r="AW198" t="inlineStr">
        <is>
          <t>991000609659702656</t>
        </is>
      </c>
      <c r="AX198" t="inlineStr">
        <is>
          <t>991000609659702656</t>
        </is>
      </c>
      <c r="AY198" t="inlineStr">
        <is>
          <t>2258279770002656</t>
        </is>
      </c>
      <c r="AZ198" t="inlineStr">
        <is>
          <t>BOOK</t>
        </is>
      </c>
      <c r="BC198" t="inlineStr">
        <is>
          <t>32285002554987</t>
        </is>
      </c>
      <c r="BD198" t="inlineStr">
        <is>
          <t>893708525</t>
        </is>
      </c>
    </row>
    <row r="199">
      <c r="A199" t="inlineStr">
        <is>
          <t>No</t>
        </is>
      </c>
      <c r="B199" t="inlineStr">
        <is>
          <t>LA772 .K545</t>
        </is>
      </c>
      <c r="C199" t="inlineStr">
        <is>
          <t>0                      LA 0772000K  545</t>
        </is>
      </c>
      <c r="D199" t="inlineStr">
        <is>
          <t>The challenge of communist education : a look at the German Democratic Republic / by Margrete Siebert Klein.</t>
        </is>
      </c>
      <c r="F199" t="inlineStr">
        <is>
          <t>No</t>
        </is>
      </c>
      <c r="G199" t="inlineStr">
        <is>
          <t>1</t>
        </is>
      </c>
      <c r="H199" t="inlineStr">
        <is>
          <t>No</t>
        </is>
      </c>
      <c r="I199" t="inlineStr">
        <is>
          <t>No</t>
        </is>
      </c>
      <c r="J199" t="inlineStr">
        <is>
          <t>0</t>
        </is>
      </c>
      <c r="K199" t="inlineStr">
        <is>
          <t>Klein, Margrete Siebert.</t>
        </is>
      </c>
      <c r="L199" t="inlineStr">
        <is>
          <t>Boulder [Colo.] : East European Monographs ; New York : distributed by Columbia University Press, 1980.</t>
        </is>
      </c>
      <c r="M199" t="inlineStr">
        <is>
          <t>1980</t>
        </is>
      </c>
      <c r="O199" t="inlineStr">
        <is>
          <t>eng</t>
        </is>
      </c>
      <c r="P199" t="inlineStr">
        <is>
          <t>cou</t>
        </is>
      </c>
      <c r="Q199" t="inlineStr">
        <is>
          <t>East European monographs ; no. 70</t>
        </is>
      </c>
      <c r="R199" t="inlineStr">
        <is>
          <t xml:space="preserve">LA </t>
        </is>
      </c>
      <c r="S199" t="n">
        <v>3</v>
      </c>
      <c r="T199" t="n">
        <v>3</v>
      </c>
      <c r="U199" t="inlineStr">
        <is>
          <t>1998-02-18</t>
        </is>
      </c>
      <c r="V199" t="inlineStr">
        <is>
          <t>1998-02-18</t>
        </is>
      </c>
      <c r="W199" t="inlineStr">
        <is>
          <t>1992-10-14</t>
        </is>
      </c>
      <c r="X199" t="inlineStr">
        <is>
          <t>1992-10-14</t>
        </is>
      </c>
      <c r="Y199" t="n">
        <v>315</v>
      </c>
      <c r="Z199" t="n">
        <v>212</v>
      </c>
      <c r="AA199" t="n">
        <v>219</v>
      </c>
      <c r="AB199" t="n">
        <v>1</v>
      </c>
      <c r="AC199" t="n">
        <v>1</v>
      </c>
      <c r="AD199" t="n">
        <v>5</v>
      </c>
      <c r="AE199" t="n">
        <v>5</v>
      </c>
      <c r="AF199" t="n">
        <v>1</v>
      </c>
      <c r="AG199" t="n">
        <v>1</v>
      </c>
      <c r="AH199" t="n">
        <v>3</v>
      </c>
      <c r="AI199" t="n">
        <v>3</v>
      </c>
      <c r="AJ199" t="n">
        <v>2</v>
      </c>
      <c r="AK199" t="n">
        <v>2</v>
      </c>
      <c r="AL199" t="n">
        <v>0</v>
      </c>
      <c r="AM199" t="n">
        <v>0</v>
      </c>
      <c r="AN199" t="n">
        <v>0</v>
      </c>
      <c r="AO199" t="n">
        <v>0</v>
      </c>
      <c r="AP199" t="inlineStr">
        <is>
          <t>No</t>
        </is>
      </c>
      <c r="AQ199" t="inlineStr">
        <is>
          <t>Yes</t>
        </is>
      </c>
      <c r="AR199">
        <f>HYPERLINK("http://catalog.hathitrust.org/Record/000735161","HathiTrust Record")</f>
        <v/>
      </c>
      <c r="AS199">
        <f>HYPERLINK("https://creighton-primo.hosted.exlibrisgroup.com/primo-explore/search?tab=default_tab&amp;search_scope=EVERYTHING&amp;vid=01CRU&amp;lang=en_US&amp;offset=0&amp;query=any,contains,991005065939702656","Catalog Record")</f>
        <v/>
      </c>
      <c r="AT199">
        <f>HYPERLINK("http://www.worldcat.org/oclc/6956959","WorldCat Record")</f>
        <v/>
      </c>
      <c r="AU199" t="inlineStr">
        <is>
          <t>559246:eng</t>
        </is>
      </c>
      <c r="AV199" t="inlineStr">
        <is>
          <t>6956959</t>
        </is>
      </c>
      <c r="AW199" t="inlineStr">
        <is>
          <t>991005065939702656</t>
        </is>
      </c>
      <c r="AX199" t="inlineStr">
        <is>
          <t>991005065939702656</t>
        </is>
      </c>
      <c r="AY199" t="inlineStr">
        <is>
          <t>2258801390002656</t>
        </is>
      </c>
      <c r="AZ199" t="inlineStr">
        <is>
          <t>BOOK</t>
        </is>
      </c>
      <c r="BB199" t="inlineStr">
        <is>
          <t>9780914710646</t>
        </is>
      </c>
      <c r="BC199" t="inlineStr">
        <is>
          <t>32285001347995</t>
        </is>
      </c>
      <c r="BD199" t="inlineStr">
        <is>
          <t>893526834</t>
        </is>
      </c>
    </row>
    <row r="200">
      <c r="A200" t="inlineStr">
        <is>
          <t>No</t>
        </is>
      </c>
      <c r="B200" t="inlineStr">
        <is>
          <t>LA791.3 .G73 1995</t>
        </is>
      </c>
      <c r="C200" t="inlineStr">
        <is>
          <t>0                      LA 0791300G  73          1995</t>
        </is>
      </c>
      <c r="D200" t="inlineStr">
        <is>
          <t>Books and schools in the Italian Renaissance / Paul F. Grendler.</t>
        </is>
      </c>
      <c r="F200" t="inlineStr">
        <is>
          <t>No</t>
        </is>
      </c>
      <c r="G200" t="inlineStr">
        <is>
          <t>1</t>
        </is>
      </c>
      <c r="H200" t="inlineStr">
        <is>
          <t>No</t>
        </is>
      </c>
      <c r="I200" t="inlineStr">
        <is>
          <t>No</t>
        </is>
      </c>
      <c r="J200" t="inlineStr">
        <is>
          <t>0</t>
        </is>
      </c>
      <c r="K200" t="inlineStr">
        <is>
          <t>Grendler, Paul F.</t>
        </is>
      </c>
      <c r="L200" t="inlineStr">
        <is>
          <t>Aldershot, Hampshire, Great Britain ; Brookfield, Vt. : Variorum, 1995.</t>
        </is>
      </c>
      <c r="M200" t="inlineStr">
        <is>
          <t>1994</t>
        </is>
      </c>
      <c r="O200" t="inlineStr">
        <is>
          <t>eng</t>
        </is>
      </c>
      <c r="P200" t="inlineStr">
        <is>
          <t>enk</t>
        </is>
      </c>
      <c r="Q200" t="inlineStr">
        <is>
          <t>Collected studies series ; CS473</t>
        </is>
      </c>
      <c r="R200" t="inlineStr">
        <is>
          <t xml:space="preserve">LA </t>
        </is>
      </c>
      <c r="S200" t="n">
        <v>2</v>
      </c>
      <c r="T200" t="n">
        <v>2</v>
      </c>
      <c r="U200" t="inlineStr">
        <is>
          <t>2005-04-28</t>
        </is>
      </c>
      <c r="V200" t="inlineStr">
        <is>
          <t>2005-04-28</t>
        </is>
      </c>
      <c r="W200" t="inlineStr">
        <is>
          <t>1996-02-15</t>
        </is>
      </c>
      <c r="X200" t="inlineStr">
        <is>
          <t>1996-02-15</t>
        </is>
      </c>
      <c r="Y200" t="n">
        <v>154</v>
      </c>
      <c r="Z200" t="n">
        <v>120</v>
      </c>
      <c r="AA200" t="n">
        <v>126</v>
      </c>
      <c r="AB200" t="n">
        <v>2</v>
      </c>
      <c r="AC200" t="n">
        <v>2</v>
      </c>
      <c r="AD200" t="n">
        <v>8</v>
      </c>
      <c r="AE200" t="n">
        <v>9</v>
      </c>
      <c r="AF200" t="n">
        <v>2</v>
      </c>
      <c r="AG200" t="n">
        <v>2</v>
      </c>
      <c r="AH200" t="n">
        <v>3</v>
      </c>
      <c r="AI200" t="n">
        <v>3</v>
      </c>
      <c r="AJ200" t="n">
        <v>5</v>
      </c>
      <c r="AK200" t="n">
        <v>6</v>
      </c>
      <c r="AL200" t="n">
        <v>1</v>
      </c>
      <c r="AM200" t="n">
        <v>1</v>
      </c>
      <c r="AN200" t="n">
        <v>0</v>
      </c>
      <c r="AO200" t="n">
        <v>0</v>
      </c>
      <c r="AP200" t="inlineStr">
        <is>
          <t>No</t>
        </is>
      </c>
      <c r="AQ200" t="inlineStr">
        <is>
          <t>No</t>
        </is>
      </c>
      <c r="AS200">
        <f>HYPERLINK("https://creighton-primo.hosted.exlibrisgroup.com/primo-explore/search?tab=default_tab&amp;search_scope=EVERYTHING&amp;vid=01CRU&amp;lang=en_US&amp;offset=0&amp;query=any,contains,991002394119702656","Catalog Record")</f>
        <v/>
      </c>
      <c r="AT200">
        <f>HYPERLINK("http://www.worldcat.org/oclc/31077538","WorldCat Record")</f>
        <v/>
      </c>
      <c r="AU200" t="inlineStr">
        <is>
          <t>33039076:eng</t>
        </is>
      </c>
      <c r="AV200" t="inlineStr">
        <is>
          <t>31077538</t>
        </is>
      </c>
      <c r="AW200" t="inlineStr">
        <is>
          <t>991002394119702656</t>
        </is>
      </c>
      <c r="AX200" t="inlineStr">
        <is>
          <t>991002394119702656</t>
        </is>
      </c>
      <c r="AY200" t="inlineStr">
        <is>
          <t>2272348880002656</t>
        </is>
      </c>
      <c r="AZ200" t="inlineStr">
        <is>
          <t>BOOK</t>
        </is>
      </c>
      <c r="BB200" t="inlineStr">
        <is>
          <t>9780860784555</t>
        </is>
      </c>
      <c r="BC200" t="inlineStr">
        <is>
          <t>32285002135928</t>
        </is>
      </c>
      <c r="BD200" t="inlineStr">
        <is>
          <t>893251160</t>
        </is>
      </c>
    </row>
    <row r="201">
      <c r="A201" t="inlineStr">
        <is>
          <t>No</t>
        </is>
      </c>
      <c r="B201" t="inlineStr">
        <is>
          <t>LA81 .B65</t>
        </is>
      </c>
      <c r="C201" t="inlineStr">
        <is>
          <t>0                      LA 0081000B  65</t>
        </is>
      </c>
      <c r="D201" t="inlineStr">
        <is>
          <t>Education in ancient Rome : from the elder Cato to the younger Pliny / Stanley F. Bonner.</t>
        </is>
      </c>
      <c r="F201" t="inlineStr">
        <is>
          <t>No</t>
        </is>
      </c>
      <c r="G201" t="inlineStr">
        <is>
          <t>1</t>
        </is>
      </c>
      <c r="H201" t="inlineStr">
        <is>
          <t>No</t>
        </is>
      </c>
      <c r="I201" t="inlineStr">
        <is>
          <t>No</t>
        </is>
      </c>
      <c r="J201" t="inlineStr">
        <is>
          <t>0</t>
        </is>
      </c>
      <c r="K201" t="inlineStr">
        <is>
          <t>Bonner, Stanley F. (Stanley Frederick)</t>
        </is>
      </c>
      <c r="L201" t="inlineStr">
        <is>
          <t>Berkeley : University of California Press, c1977.</t>
        </is>
      </c>
      <c r="M201" t="inlineStr">
        <is>
          <t>1977</t>
        </is>
      </c>
      <c r="O201" t="inlineStr">
        <is>
          <t>eng</t>
        </is>
      </c>
      <c r="P201" t="inlineStr">
        <is>
          <t>cau</t>
        </is>
      </c>
      <c r="R201" t="inlineStr">
        <is>
          <t xml:space="preserve">LA </t>
        </is>
      </c>
      <c r="S201" t="n">
        <v>13</v>
      </c>
      <c r="T201" t="n">
        <v>13</v>
      </c>
      <c r="U201" t="inlineStr">
        <is>
          <t>2008-10-03</t>
        </is>
      </c>
      <c r="V201" t="inlineStr">
        <is>
          <t>2008-10-03</t>
        </is>
      </c>
      <c r="W201" t="inlineStr">
        <is>
          <t>1992-08-03</t>
        </is>
      </c>
      <c r="X201" t="inlineStr">
        <is>
          <t>1992-08-03</t>
        </is>
      </c>
      <c r="Y201" t="n">
        <v>864</v>
      </c>
      <c r="Z201" t="n">
        <v>787</v>
      </c>
      <c r="AA201" t="n">
        <v>877</v>
      </c>
      <c r="AB201" t="n">
        <v>4</v>
      </c>
      <c r="AC201" t="n">
        <v>6</v>
      </c>
      <c r="AD201" t="n">
        <v>37</v>
      </c>
      <c r="AE201" t="n">
        <v>42</v>
      </c>
      <c r="AF201" t="n">
        <v>16</v>
      </c>
      <c r="AG201" t="n">
        <v>17</v>
      </c>
      <c r="AH201" t="n">
        <v>8</v>
      </c>
      <c r="AI201" t="n">
        <v>10</v>
      </c>
      <c r="AJ201" t="n">
        <v>18</v>
      </c>
      <c r="AK201" t="n">
        <v>21</v>
      </c>
      <c r="AL201" t="n">
        <v>3</v>
      </c>
      <c r="AM201" t="n">
        <v>5</v>
      </c>
      <c r="AN201" t="n">
        <v>0</v>
      </c>
      <c r="AO201" t="n">
        <v>0</v>
      </c>
      <c r="AP201" t="inlineStr">
        <is>
          <t>No</t>
        </is>
      </c>
      <c r="AQ201" t="inlineStr">
        <is>
          <t>No</t>
        </is>
      </c>
      <c r="AS201">
        <f>HYPERLINK("https://creighton-primo.hosted.exlibrisgroup.com/primo-explore/search?tab=default_tab&amp;search_scope=EVERYTHING&amp;vid=01CRU&amp;lang=en_US&amp;offset=0&amp;query=any,contains,991004426279702656","Catalog Record")</f>
        <v/>
      </c>
      <c r="AT201">
        <f>HYPERLINK("http://www.worldcat.org/oclc/3398679","WorldCat Record")</f>
        <v/>
      </c>
      <c r="AU201" t="inlineStr">
        <is>
          <t>4926238800:eng</t>
        </is>
      </c>
      <c r="AV201" t="inlineStr">
        <is>
          <t>3398679</t>
        </is>
      </c>
      <c r="AW201" t="inlineStr">
        <is>
          <t>991004426279702656</t>
        </is>
      </c>
      <c r="AX201" t="inlineStr">
        <is>
          <t>991004426279702656</t>
        </is>
      </c>
      <c r="AY201" t="inlineStr">
        <is>
          <t>2270914560002656</t>
        </is>
      </c>
      <c r="AZ201" t="inlineStr">
        <is>
          <t>BOOK</t>
        </is>
      </c>
      <c r="BB201" t="inlineStr">
        <is>
          <t>9780520034396</t>
        </is>
      </c>
      <c r="BC201" t="inlineStr">
        <is>
          <t>32285001232536</t>
        </is>
      </c>
      <c r="BD201" t="inlineStr">
        <is>
          <t>893888683</t>
        </is>
      </c>
    </row>
    <row r="202">
      <c r="A202" t="inlineStr">
        <is>
          <t>No</t>
        </is>
      </c>
      <c r="B202" t="inlineStr">
        <is>
          <t>LA81 .G8 1966</t>
        </is>
      </c>
      <c r="C202" t="inlineStr">
        <is>
          <t>0                      LA 0081000G  8           1966</t>
        </is>
      </c>
      <c r="D202" t="inlineStr">
        <is>
          <t>Roman education from Cicero to Quintilian / by Aubrey Gwynn.</t>
        </is>
      </c>
      <c r="F202" t="inlineStr">
        <is>
          <t>No</t>
        </is>
      </c>
      <c r="G202" t="inlineStr">
        <is>
          <t>1</t>
        </is>
      </c>
      <c r="H202" t="inlineStr">
        <is>
          <t>No</t>
        </is>
      </c>
      <c r="I202" t="inlineStr">
        <is>
          <t>No</t>
        </is>
      </c>
      <c r="J202" t="inlineStr">
        <is>
          <t>0</t>
        </is>
      </c>
      <c r="K202" t="inlineStr">
        <is>
          <t>Gwynn, Aubrey, 1892-1983.</t>
        </is>
      </c>
      <c r="L202" t="inlineStr">
        <is>
          <t>New York : Teachers College Press, Teachers College, Columbia University, [1966?]</t>
        </is>
      </c>
      <c r="M202" t="inlineStr">
        <is>
          <t>1966</t>
        </is>
      </c>
      <c r="O202" t="inlineStr">
        <is>
          <t>eng</t>
        </is>
      </c>
      <c r="P202" t="inlineStr">
        <is>
          <t>nyu</t>
        </is>
      </c>
      <c r="Q202" t="inlineStr">
        <is>
          <t>Classics in education ; no. 29</t>
        </is>
      </c>
      <c r="R202" t="inlineStr">
        <is>
          <t xml:space="preserve">LA </t>
        </is>
      </c>
      <c r="S202" t="n">
        <v>2</v>
      </c>
      <c r="T202" t="n">
        <v>2</v>
      </c>
      <c r="U202" t="inlineStr">
        <is>
          <t>2001-04-07</t>
        </is>
      </c>
      <c r="V202" t="inlineStr">
        <is>
          <t>2001-04-07</t>
        </is>
      </c>
      <c r="W202" t="inlineStr">
        <is>
          <t>1997-04-22</t>
        </is>
      </c>
      <c r="X202" t="inlineStr">
        <is>
          <t>1997-04-22</t>
        </is>
      </c>
      <c r="Y202" t="n">
        <v>366</v>
      </c>
      <c r="Z202" t="n">
        <v>332</v>
      </c>
      <c r="AA202" t="n">
        <v>849</v>
      </c>
      <c r="AB202" t="n">
        <v>2</v>
      </c>
      <c r="AC202" t="n">
        <v>4</v>
      </c>
      <c r="AD202" t="n">
        <v>15</v>
      </c>
      <c r="AE202" t="n">
        <v>43</v>
      </c>
      <c r="AF202" t="n">
        <v>7</v>
      </c>
      <c r="AG202" t="n">
        <v>20</v>
      </c>
      <c r="AH202" t="n">
        <v>1</v>
      </c>
      <c r="AI202" t="n">
        <v>7</v>
      </c>
      <c r="AJ202" t="n">
        <v>7</v>
      </c>
      <c r="AK202" t="n">
        <v>24</v>
      </c>
      <c r="AL202" t="n">
        <v>1</v>
      </c>
      <c r="AM202" t="n">
        <v>3</v>
      </c>
      <c r="AN202" t="n">
        <v>0</v>
      </c>
      <c r="AO202" t="n">
        <v>0</v>
      </c>
      <c r="AP202" t="inlineStr">
        <is>
          <t>No</t>
        </is>
      </c>
      <c r="AQ202" t="inlineStr">
        <is>
          <t>No</t>
        </is>
      </c>
      <c r="AS202">
        <f>HYPERLINK("https://creighton-primo.hosted.exlibrisgroup.com/primo-explore/search?tab=default_tab&amp;search_scope=EVERYTHING&amp;vid=01CRU&amp;lang=en_US&amp;offset=0&amp;query=any,contains,991003749089702656","Catalog Record")</f>
        <v/>
      </c>
      <c r="AT202">
        <f>HYPERLINK("http://www.worldcat.org/oclc/1422894","WorldCat Record")</f>
        <v/>
      </c>
      <c r="AU202" t="inlineStr">
        <is>
          <t>131506554:eng</t>
        </is>
      </c>
      <c r="AV202" t="inlineStr">
        <is>
          <t>1422894</t>
        </is>
      </c>
      <c r="AW202" t="inlineStr">
        <is>
          <t>991003749089702656</t>
        </is>
      </c>
      <c r="AX202" t="inlineStr">
        <is>
          <t>991003749089702656</t>
        </is>
      </c>
      <c r="AY202" t="inlineStr">
        <is>
          <t>2271896190002656</t>
        </is>
      </c>
      <c r="AZ202" t="inlineStr">
        <is>
          <t>BOOK</t>
        </is>
      </c>
      <c r="BC202" t="inlineStr">
        <is>
          <t>32285002595022</t>
        </is>
      </c>
      <c r="BD202" t="inlineStr">
        <is>
          <t>893525168</t>
        </is>
      </c>
    </row>
    <row r="203">
      <c r="A203" t="inlineStr">
        <is>
          <t>No</t>
        </is>
      </c>
      <c r="B203" t="inlineStr">
        <is>
          <t>LA832 .Z3 1980</t>
        </is>
      </c>
      <c r="C203" t="inlineStr">
        <is>
          <t>0                      LA 0832000Z  3           1980</t>
        </is>
      </c>
      <c r="D203" t="inlineStr">
        <is>
          <t>Education in the USSR / Joseph I. Zajda.</t>
        </is>
      </c>
      <c r="F203" t="inlineStr">
        <is>
          <t>No</t>
        </is>
      </c>
      <c r="G203" t="inlineStr">
        <is>
          <t>1</t>
        </is>
      </c>
      <c r="H203" t="inlineStr">
        <is>
          <t>No</t>
        </is>
      </c>
      <c r="I203" t="inlineStr">
        <is>
          <t>No</t>
        </is>
      </c>
      <c r="J203" t="inlineStr">
        <is>
          <t>0</t>
        </is>
      </c>
      <c r="K203" t="inlineStr">
        <is>
          <t>Zajda, Joseph I.</t>
        </is>
      </c>
      <c r="L203" t="inlineStr">
        <is>
          <t>Oxford ; New York : Pergamon Press, c1980.</t>
        </is>
      </c>
      <c r="M203" t="inlineStr">
        <is>
          <t>1980</t>
        </is>
      </c>
      <c r="O203" t="inlineStr">
        <is>
          <t>eng</t>
        </is>
      </c>
      <c r="P203" t="inlineStr">
        <is>
          <t>enk</t>
        </is>
      </c>
      <c r="Q203" t="inlineStr">
        <is>
          <t>International studies in education and social change</t>
        </is>
      </c>
      <c r="R203" t="inlineStr">
        <is>
          <t xml:space="preserve">LA </t>
        </is>
      </c>
      <c r="S203" t="n">
        <v>1</v>
      </c>
      <c r="T203" t="n">
        <v>1</v>
      </c>
      <c r="U203" t="inlineStr">
        <is>
          <t>1994-04-10</t>
        </is>
      </c>
      <c r="V203" t="inlineStr">
        <is>
          <t>1994-04-10</t>
        </is>
      </c>
      <c r="W203" t="inlineStr">
        <is>
          <t>1992-04-30</t>
        </is>
      </c>
      <c r="X203" t="inlineStr">
        <is>
          <t>1992-04-30</t>
        </is>
      </c>
      <c r="Y203" t="n">
        <v>500</v>
      </c>
      <c r="Z203" t="n">
        <v>321</v>
      </c>
      <c r="AA203" t="n">
        <v>364</v>
      </c>
      <c r="AB203" t="n">
        <v>2</v>
      </c>
      <c r="AC203" t="n">
        <v>2</v>
      </c>
      <c r="AD203" t="n">
        <v>11</v>
      </c>
      <c r="AE203" t="n">
        <v>14</v>
      </c>
      <c r="AF203" t="n">
        <v>5</v>
      </c>
      <c r="AG203" t="n">
        <v>7</v>
      </c>
      <c r="AH203" t="n">
        <v>1</v>
      </c>
      <c r="AI203" t="n">
        <v>3</v>
      </c>
      <c r="AJ203" t="n">
        <v>7</v>
      </c>
      <c r="AK203" t="n">
        <v>7</v>
      </c>
      <c r="AL203" t="n">
        <v>1</v>
      </c>
      <c r="AM203" t="n">
        <v>1</v>
      </c>
      <c r="AN203" t="n">
        <v>0</v>
      </c>
      <c r="AO203" t="n">
        <v>0</v>
      </c>
      <c r="AP203" t="inlineStr">
        <is>
          <t>No</t>
        </is>
      </c>
      <c r="AQ203" t="inlineStr">
        <is>
          <t>Yes</t>
        </is>
      </c>
      <c r="AR203">
        <f>HYPERLINK("http://catalog.hathitrust.org/Record/000725581","HathiTrust Record")</f>
        <v/>
      </c>
      <c r="AS203">
        <f>HYPERLINK("https://creighton-primo.hosted.exlibrisgroup.com/primo-explore/search?tab=default_tab&amp;search_scope=EVERYTHING&amp;vid=01CRU&amp;lang=en_US&amp;offset=0&amp;query=any,contains,991004992819702656","Catalog Record")</f>
        <v/>
      </c>
      <c r="AT203">
        <f>HYPERLINK("http://www.worldcat.org/oclc/6487817","WorldCat Record")</f>
        <v/>
      </c>
      <c r="AU203" t="inlineStr">
        <is>
          <t>407730:eng</t>
        </is>
      </c>
      <c r="AV203" t="inlineStr">
        <is>
          <t>6487817</t>
        </is>
      </c>
      <c r="AW203" t="inlineStr">
        <is>
          <t>991004992819702656</t>
        </is>
      </c>
      <c r="AX203" t="inlineStr">
        <is>
          <t>991004992819702656</t>
        </is>
      </c>
      <c r="AY203" t="inlineStr">
        <is>
          <t>2256264720002656</t>
        </is>
      </c>
      <c r="AZ203" t="inlineStr">
        <is>
          <t>BOOK</t>
        </is>
      </c>
      <c r="BB203" t="inlineStr">
        <is>
          <t>9780080258065</t>
        </is>
      </c>
      <c r="BC203" t="inlineStr">
        <is>
          <t>32285001096444</t>
        </is>
      </c>
      <c r="BD203" t="inlineStr">
        <is>
          <t>893507469</t>
        </is>
      </c>
    </row>
    <row r="204">
      <c r="A204" t="inlineStr">
        <is>
          <t>No</t>
        </is>
      </c>
      <c r="B204" t="inlineStr">
        <is>
          <t>LA912 .M37 1984</t>
        </is>
      </c>
      <c r="C204" t="inlineStr">
        <is>
          <t>0                      LA 0912000M  37          1984</t>
        </is>
      </c>
      <c r="D204" t="inlineStr">
        <is>
          <t>Education for a changing Spain / John M. McNair.</t>
        </is>
      </c>
      <c r="F204" t="inlineStr">
        <is>
          <t>No</t>
        </is>
      </c>
      <c r="G204" t="inlineStr">
        <is>
          <t>1</t>
        </is>
      </c>
      <c r="H204" t="inlineStr">
        <is>
          <t>No</t>
        </is>
      </c>
      <c r="I204" t="inlineStr">
        <is>
          <t>No</t>
        </is>
      </c>
      <c r="J204" t="inlineStr">
        <is>
          <t>0</t>
        </is>
      </c>
      <c r="K204" t="inlineStr">
        <is>
          <t>McNair, John M.</t>
        </is>
      </c>
      <c r="L204" t="inlineStr">
        <is>
          <t>Manchester, UK ; Dover, N.H., USA : Manchester University Press, c1984.</t>
        </is>
      </c>
      <c r="M204" t="inlineStr">
        <is>
          <t>1984</t>
        </is>
      </c>
      <c r="O204" t="inlineStr">
        <is>
          <t>eng</t>
        </is>
      </c>
      <c r="P204" t="inlineStr">
        <is>
          <t>enk</t>
        </is>
      </c>
      <c r="R204" t="inlineStr">
        <is>
          <t xml:space="preserve">LA </t>
        </is>
      </c>
      <c r="S204" t="n">
        <v>10</v>
      </c>
      <c r="T204" t="n">
        <v>10</v>
      </c>
      <c r="U204" t="inlineStr">
        <is>
          <t>2010-11-11</t>
        </is>
      </c>
      <c r="V204" t="inlineStr">
        <is>
          <t>2010-11-11</t>
        </is>
      </c>
      <c r="W204" t="inlineStr">
        <is>
          <t>1992-04-15</t>
        </is>
      </c>
      <c r="X204" t="inlineStr">
        <is>
          <t>1992-04-15</t>
        </is>
      </c>
      <c r="Y204" t="n">
        <v>200</v>
      </c>
      <c r="Z204" t="n">
        <v>132</v>
      </c>
      <c r="AA204" t="n">
        <v>133</v>
      </c>
      <c r="AB204" t="n">
        <v>2</v>
      </c>
      <c r="AC204" t="n">
        <v>2</v>
      </c>
      <c r="AD204" t="n">
        <v>5</v>
      </c>
      <c r="AE204" t="n">
        <v>5</v>
      </c>
      <c r="AF204" t="n">
        <v>0</v>
      </c>
      <c r="AG204" t="n">
        <v>0</v>
      </c>
      <c r="AH204" t="n">
        <v>1</v>
      </c>
      <c r="AI204" t="n">
        <v>1</v>
      </c>
      <c r="AJ204" t="n">
        <v>3</v>
      </c>
      <c r="AK204" t="n">
        <v>3</v>
      </c>
      <c r="AL204" t="n">
        <v>1</v>
      </c>
      <c r="AM204" t="n">
        <v>1</v>
      </c>
      <c r="AN204" t="n">
        <v>0</v>
      </c>
      <c r="AO204" t="n">
        <v>0</v>
      </c>
      <c r="AP204" t="inlineStr">
        <is>
          <t>No</t>
        </is>
      </c>
      <c r="AQ204" t="inlineStr">
        <is>
          <t>Yes</t>
        </is>
      </c>
      <c r="AR204">
        <f>HYPERLINK("http://catalog.hathitrust.org/Record/000784490","HathiTrust Record")</f>
        <v/>
      </c>
      <c r="AS204">
        <f>HYPERLINK("https://creighton-primo.hosted.exlibrisgroup.com/primo-explore/search?tab=default_tab&amp;search_scope=EVERYTHING&amp;vid=01CRU&amp;lang=en_US&amp;offset=0&amp;query=any,contains,991000213229702656","Catalog Record")</f>
        <v/>
      </c>
      <c r="AT204">
        <f>HYPERLINK("http://www.worldcat.org/oclc/9556387","WorldCat Record")</f>
        <v/>
      </c>
      <c r="AU204" t="inlineStr">
        <is>
          <t>43009244:eng</t>
        </is>
      </c>
      <c r="AV204" t="inlineStr">
        <is>
          <t>9556387</t>
        </is>
      </c>
      <c r="AW204" t="inlineStr">
        <is>
          <t>991000213229702656</t>
        </is>
      </c>
      <c r="AX204" t="inlineStr">
        <is>
          <t>991000213229702656</t>
        </is>
      </c>
      <c r="AY204" t="inlineStr">
        <is>
          <t>2265471600002656</t>
        </is>
      </c>
      <c r="AZ204" t="inlineStr">
        <is>
          <t>BOOK</t>
        </is>
      </c>
      <c r="BB204" t="inlineStr">
        <is>
          <t>9780719009662</t>
        </is>
      </c>
      <c r="BC204" t="inlineStr">
        <is>
          <t>32285001062990</t>
        </is>
      </c>
      <c r="BD204" t="inlineStr">
        <is>
          <t>893444248</t>
        </is>
      </c>
    </row>
    <row r="205">
      <c r="A205" t="inlineStr">
        <is>
          <t>No</t>
        </is>
      </c>
      <c r="B205" t="inlineStr">
        <is>
          <t>LA917 .K33</t>
        </is>
      </c>
      <c r="C205" t="inlineStr">
        <is>
          <t>0                      LA 0917000K  33</t>
        </is>
      </c>
      <c r="D205" t="inlineStr">
        <is>
          <t>Students and society in early modern Spain [by] Richard L. Kagan.</t>
        </is>
      </c>
      <c r="F205" t="inlineStr">
        <is>
          <t>No</t>
        </is>
      </c>
      <c r="G205" t="inlineStr">
        <is>
          <t>1</t>
        </is>
      </c>
      <c r="H205" t="inlineStr">
        <is>
          <t>No</t>
        </is>
      </c>
      <c r="I205" t="inlineStr">
        <is>
          <t>No</t>
        </is>
      </c>
      <c r="J205" t="inlineStr">
        <is>
          <t>0</t>
        </is>
      </c>
      <c r="K205" t="inlineStr">
        <is>
          <t>Kagan, Richard L., 1943-</t>
        </is>
      </c>
      <c r="L205" t="inlineStr">
        <is>
          <t>Baltimore, Johns Hopkins University Press [1974]</t>
        </is>
      </c>
      <c r="M205" t="inlineStr">
        <is>
          <t>1974</t>
        </is>
      </c>
      <c r="O205" t="inlineStr">
        <is>
          <t>eng</t>
        </is>
      </c>
      <c r="P205" t="inlineStr">
        <is>
          <t>mdu</t>
        </is>
      </c>
      <c r="R205" t="inlineStr">
        <is>
          <t xml:space="preserve">LA </t>
        </is>
      </c>
      <c r="S205" t="n">
        <v>1</v>
      </c>
      <c r="T205" t="n">
        <v>1</v>
      </c>
      <c r="U205" t="inlineStr">
        <is>
          <t>2010-11-11</t>
        </is>
      </c>
      <c r="V205" t="inlineStr">
        <is>
          <t>2010-11-11</t>
        </is>
      </c>
      <c r="W205" t="inlineStr">
        <is>
          <t>1997-04-23</t>
        </is>
      </c>
      <c r="X205" t="inlineStr">
        <is>
          <t>1997-04-23</t>
        </is>
      </c>
      <c r="Y205" t="n">
        <v>478</v>
      </c>
      <c r="Z205" t="n">
        <v>363</v>
      </c>
      <c r="AA205" t="n">
        <v>481</v>
      </c>
      <c r="AB205" t="n">
        <v>3</v>
      </c>
      <c r="AC205" t="n">
        <v>5</v>
      </c>
      <c r="AD205" t="n">
        <v>17</v>
      </c>
      <c r="AE205" t="n">
        <v>21</v>
      </c>
      <c r="AF205" t="n">
        <v>4</v>
      </c>
      <c r="AG205" t="n">
        <v>6</v>
      </c>
      <c r="AH205" t="n">
        <v>4</v>
      </c>
      <c r="AI205" t="n">
        <v>4</v>
      </c>
      <c r="AJ205" t="n">
        <v>13</v>
      </c>
      <c r="AK205" t="n">
        <v>13</v>
      </c>
      <c r="AL205" t="n">
        <v>2</v>
      </c>
      <c r="AM205" t="n">
        <v>4</v>
      </c>
      <c r="AN205" t="n">
        <v>0</v>
      </c>
      <c r="AO205" t="n">
        <v>0</v>
      </c>
      <c r="AP205" t="inlineStr">
        <is>
          <t>No</t>
        </is>
      </c>
      <c r="AQ205" t="inlineStr">
        <is>
          <t>Yes</t>
        </is>
      </c>
      <c r="AR205">
        <f>HYPERLINK("http://catalog.hathitrust.org/Record/001065970","HathiTrust Record")</f>
        <v/>
      </c>
      <c r="AS205">
        <f>HYPERLINK("https://creighton-primo.hosted.exlibrisgroup.com/primo-explore/search?tab=default_tab&amp;search_scope=EVERYTHING&amp;vid=01CRU&amp;lang=en_US&amp;offset=0&amp;query=any,contains,991003455369702656","Catalog Record")</f>
        <v/>
      </c>
      <c r="AT205">
        <f>HYPERLINK("http://www.worldcat.org/oclc/994967","WorldCat Record")</f>
        <v/>
      </c>
      <c r="AU205" t="inlineStr">
        <is>
          <t>1984338:eng</t>
        </is>
      </c>
      <c r="AV205" t="inlineStr">
        <is>
          <t>994967</t>
        </is>
      </c>
      <c r="AW205" t="inlineStr">
        <is>
          <t>991003455369702656</t>
        </is>
      </c>
      <c r="AX205" t="inlineStr">
        <is>
          <t>991003455369702656</t>
        </is>
      </c>
      <c r="AY205" t="inlineStr">
        <is>
          <t>2256899040002656</t>
        </is>
      </c>
      <c r="AZ205" t="inlineStr">
        <is>
          <t>BOOK</t>
        </is>
      </c>
      <c r="BB205" t="inlineStr">
        <is>
          <t>9780801815836</t>
        </is>
      </c>
      <c r="BC205" t="inlineStr">
        <is>
          <t>32285002597523</t>
        </is>
      </c>
      <c r="BD205" t="inlineStr">
        <is>
          <t>893787332</t>
        </is>
      </c>
    </row>
    <row r="206">
      <c r="A206" t="inlineStr">
        <is>
          <t>No</t>
        </is>
      </c>
      <c r="B206" t="inlineStr">
        <is>
          <t>LA937 .M66 2005</t>
        </is>
      </c>
      <c r="C206" t="inlineStr">
        <is>
          <t>0                      LA 0937000M  66          2005</t>
        </is>
      </c>
      <c r="D206" t="inlineStr">
        <is>
          <t>School for genius : the story of the ETH -- the Swiss Federal Institute of Technology, from 1855 to the present / by Thomas Moore.</t>
        </is>
      </c>
      <c r="F206" t="inlineStr">
        <is>
          <t>No</t>
        </is>
      </c>
      <c r="G206" t="inlineStr">
        <is>
          <t>1</t>
        </is>
      </c>
      <c r="H206" t="inlineStr">
        <is>
          <t>No</t>
        </is>
      </c>
      <c r="I206" t="inlineStr">
        <is>
          <t>No</t>
        </is>
      </c>
      <c r="J206" t="inlineStr">
        <is>
          <t>0</t>
        </is>
      </c>
      <c r="K206" t="inlineStr">
        <is>
          <t>Moore, Thomas G.</t>
        </is>
      </c>
      <c r="L206" t="inlineStr">
        <is>
          <t>Rockville Centre, N.Y. : Front Street , 2005.</t>
        </is>
      </c>
      <c r="M206" t="inlineStr">
        <is>
          <t>2005</t>
        </is>
      </c>
      <c r="N206" t="inlineStr">
        <is>
          <t>1st ed.</t>
        </is>
      </c>
      <c r="O206" t="inlineStr">
        <is>
          <t>eng</t>
        </is>
      </c>
      <c r="P206" t="inlineStr">
        <is>
          <t>nyu</t>
        </is>
      </c>
      <c r="R206" t="inlineStr">
        <is>
          <t xml:space="preserve">LA </t>
        </is>
      </c>
      <c r="S206" t="n">
        <v>1</v>
      </c>
      <c r="T206" t="n">
        <v>1</v>
      </c>
      <c r="U206" t="inlineStr">
        <is>
          <t>2008-01-09</t>
        </is>
      </c>
      <c r="V206" t="inlineStr">
        <is>
          <t>2008-01-09</t>
        </is>
      </c>
      <c r="W206" t="inlineStr">
        <is>
          <t>2008-01-09</t>
        </is>
      </c>
      <c r="X206" t="inlineStr">
        <is>
          <t>2008-01-09</t>
        </is>
      </c>
      <c r="Y206" t="n">
        <v>818</v>
      </c>
      <c r="Z206" t="n">
        <v>815</v>
      </c>
      <c r="AA206" t="n">
        <v>841</v>
      </c>
      <c r="AB206" t="n">
        <v>8</v>
      </c>
      <c r="AC206" t="n">
        <v>8</v>
      </c>
      <c r="AD206" t="n">
        <v>28</v>
      </c>
      <c r="AE206" t="n">
        <v>28</v>
      </c>
      <c r="AF206" t="n">
        <v>9</v>
      </c>
      <c r="AG206" t="n">
        <v>9</v>
      </c>
      <c r="AH206" t="n">
        <v>3</v>
      </c>
      <c r="AI206" t="n">
        <v>3</v>
      </c>
      <c r="AJ206" t="n">
        <v>13</v>
      </c>
      <c r="AK206" t="n">
        <v>13</v>
      </c>
      <c r="AL206" t="n">
        <v>7</v>
      </c>
      <c r="AM206" t="n">
        <v>7</v>
      </c>
      <c r="AN206" t="n">
        <v>0</v>
      </c>
      <c r="AO206" t="n">
        <v>0</v>
      </c>
      <c r="AP206" t="inlineStr">
        <is>
          <t>No</t>
        </is>
      </c>
      <c r="AQ206" t="inlineStr">
        <is>
          <t>No</t>
        </is>
      </c>
      <c r="AS206">
        <f>HYPERLINK("https://creighton-primo.hosted.exlibrisgroup.com/primo-explore/search?tab=default_tab&amp;search_scope=EVERYTHING&amp;vid=01CRU&amp;lang=en_US&amp;offset=0&amp;query=any,contains,991005168859702656","Catalog Record")</f>
        <v/>
      </c>
      <c r="AT206">
        <f>HYPERLINK("http://www.worldcat.org/oclc/70408991","WorldCat Record")</f>
        <v/>
      </c>
      <c r="AU206" t="inlineStr">
        <is>
          <t>199231580:eng</t>
        </is>
      </c>
      <c r="AV206" t="inlineStr">
        <is>
          <t>70408991</t>
        </is>
      </c>
      <c r="AW206" t="inlineStr">
        <is>
          <t>991005168859702656</t>
        </is>
      </c>
      <c r="AX206" t="inlineStr">
        <is>
          <t>991005168859702656</t>
        </is>
      </c>
      <c r="AY206" t="inlineStr">
        <is>
          <t>2260921300002656</t>
        </is>
      </c>
      <c r="AZ206" t="inlineStr">
        <is>
          <t>BOOK</t>
        </is>
      </c>
      <c r="BB206" t="inlineStr">
        <is>
          <t>9780972557221</t>
        </is>
      </c>
      <c r="BC206" t="inlineStr">
        <is>
          <t>32285005375778</t>
        </is>
      </c>
      <c r="BD206" t="inlineStr">
        <is>
          <t>893443520</t>
        </is>
      </c>
    </row>
    <row r="207">
      <c r="A207" t="inlineStr">
        <is>
          <t>No</t>
        </is>
      </c>
      <c r="B207" t="inlineStr">
        <is>
          <t>LA95 .H65 2001</t>
        </is>
      </c>
      <c r="C207" t="inlineStr">
        <is>
          <t>0                      LA 0095000H  65          2001</t>
        </is>
      </c>
      <c r="D207" t="inlineStr">
        <is>
          <t>Building the Christian academy / Arthur F. Holmes.</t>
        </is>
      </c>
      <c r="F207" t="inlineStr">
        <is>
          <t>No</t>
        </is>
      </c>
      <c r="G207" t="inlineStr">
        <is>
          <t>1</t>
        </is>
      </c>
      <c r="H207" t="inlineStr">
        <is>
          <t>No</t>
        </is>
      </c>
      <c r="I207" t="inlineStr">
        <is>
          <t>No</t>
        </is>
      </c>
      <c r="J207" t="inlineStr">
        <is>
          <t>0</t>
        </is>
      </c>
      <c r="K207" t="inlineStr">
        <is>
          <t>Holmes, Arthur F. (Arthur Frank), 1924-2011.</t>
        </is>
      </c>
      <c r="L207" t="inlineStr">
        <is>
          <t>Grand Rapids, Mich. : W.B. Eerdmans, c2001.</t>
        </is>
      </c>
      <c r="M207" t="inlineStr">
        <is>
          <t>2001</t>
        </is>
      </c>
      <c r="O207" t="inlineStr">
        <is>
          <t>eng</t>
        </is>
      </c>
      <c r="P207" t="inlineStr">
        <is>
          <t>miu</t>
        </is>
      </c>
      <c r="R207" t="inlineStr">
        <is>
          <t xml:space="preserve">LA </t>
        </is>
      </c>
      <c r="S207" t="n">
        <v>2</v>
      </c>
      <c r="T207" t="n">
        <v>2</v>
      </c>
      <c r="U207" t="inlineStr">
        <is>
          <t>2004-11-16</t>
        </is>
      </c>
      <c r="V207" t="inlineStr">
        <is>
          <t>2004-11-16</t>
        </is>
      </c>
      <c r="W207" t="inlineStr">
        <is>
          <t>2001-05-29</t>
        </is>
      </c>
      <c r="X207" t="inlineStr">
        <is>
          <t>2001-05-29</t>
        </is>
      </c>
      <c r="Y207" t="n">
        <v>307</v>
      </c>
      <c r="Z207" t="n">
        <v>260</v>
      </c>
      <c r="AA207" t="n">
        <v>262</v>
      </c>
      <c r="AB207" t="n">
        <v>6</v>
      </c>
      <c r="AC207" t="n">
        <v>6</v>
      </c>
      <c r="AD207" t="n">
        <v>17</v>
      </c>
      <c r="AE207" t="n">
        <v>17</v>
      </c>
      <c r="AF207" t="n">
        <v>5</v>
      </c>
      <c r="AG207" t="n">
        <v>5</v>
      </c>
      <c r="AH207" t="n">
        <v>0</v>
      </c>
      <c r="AI207" t="n">
        <v>0</v>
      </c>
      <c r="AJ207" t="n">
        <v>9</v>
      </c>
      <c r="AK207" t="n">
        <v>9</v>
      </c>
      <c r="AL207" t="n">
        <v>5</v>
      </c>
      <c r="AM207" t="n">
        <v>5</v>
      </c>
      <c r="AN207" t="n">
        <v>0</v>
      </c>
      <c r="AO207" t="n">
        <v>0</v>
      </c>
      <c r="AP207" t="inlineStr">
        <is>
          <t>No</t>
        </is>
      </c>
      <c r="AQ207" t="inlineStr">
        <is>
          <t>Yes</t>
        </is>
      </c>
      <c r="AR207">
        <f>HYPERLINK("http://catalog.hathitrust.org/Record/004157383","HathiTrust Record")</f>
        <v/>
      </c>
      <c r="AS207">
        <f>HYPERLINK("https://creighton-primo.hosted.exlibrisgroup.com/primo-explore/search?tab=default_tab&amp;search_scope=EVERYTHING&amp;vid=01CRU&amp;lang=en_US&amp;offset=0&amp;query=any,contains,991003535309702656","Catalog Record")</f>
        <v/>
      </c>
      <c r="AT207">
        <f>HYPERLINK("http://www.worldcat.org/oclc/45439893","WorldCat Record")</f>
        <v/>
      </c>
      <c r="AU207" t="inlineStr">
        <is>
          <t>959983:eng</t>
        </is>
      </c>
      <c r="AV207" t="inlineStr">
        <is>
          <t>45439893</t>
        </is>
      </c>
      <c r="AW207" t="inlineStr">
        <is>
          <t>991003535309702656</t>
        </is>
      </c>
      <c r="AX207" t="inlineStr">
        <is>
          <t>991003535309702656</t>
        </is>
      </c>
      <c r="AY207" t="inlineStr">
        <is>
          <t>2269177730002656</t>
        </is>
      </c>
      <c r="AZ207" t="inlineStr">
        <is>
          <t>BOOK</t>
        </is>
      </c>
      <c r="BB207" t="inlineStr">
        <is>
          <t>9780802847447</t>
        </is>
      </c>
      <c r="BC207" t="inlineStr">
        <is>
          <t>32285004318845</t>
        </is>
      </c>
      <c r="BD207" t="inlineStr">
        <is>
          <t>893428898</t>
        </is>
      </c>
    </row>
    <row r="208">
      <c r="A208" t="inlineStr">
        <is>
          <t>No</t>
        </is>
      </c>
      <c r="B208" t="inlineStr">
        <is>
          <t>691778 .B487 1997</t>
        </is>
      </c>
      <c r="C208" t="inlineStr">
        <is>
          <t>8691778 .B487 1997</t>
        </is>
      </c>
      <c r="D208" t="inlineStr">
        <is>
          <t>The vitality of senior faculty members : snow on the roof, fire in the furnace / by Carole J. Bland and William H. Bergquist ; prepared by ERIC Clearinghouse on Higher Education, The George Washington University, in cooperation with ASHE, Association for the Study of Higher Education.</t>
        </is>
      </c>
      <c r="F208" t="inlineStr">
        <is>
          <t>No</t>
        </is>
      </c>
      <c r="G208" t="inlineStr">
        <is>
          <t>1</t>
        </is>
      </c>
      <c r="H208" t="inlineStr">
        <is>
          <t>No</t>
        </is>
      </c>
      <c r="I208" t="inlineStr">
        <is>
          <t>No</t>
        </is>
      </c>
      <c r="J208" t="inlineStr">
        <is>
          <t>0</t>
        </is>
      </c>
      <c r="K208" t="inlineStr">
        <is>
          <t>Bland, Carole J.</t>
        </is>
      </c>
      <c r="L208" t="inlineStr">
        <is>
          <t>Washington, DC : Graduate School of Education and Human Development, George Washington University, [1997]</t>
        </is>
      </c>
      <c r="M208" t="inlineStr">
        <is>
          <t>1997</t>
        </is>
      </c>
      <c r="O208" t="inlineStr">
        <is>
          <t>eng</t>
        </is>
      </c>
      <c r="P208" t="inlineStr">
        <is>
          <t>dcu</t>
        </is>
      </c>
      <c r="Q208" t="inlineStr">
        <is>
          <t>ASHE-ERIC higher education report, 0884-0040 ; v. 25, no. 7</t>
        </is>
      </c>
      <c r="R208" t="inlineStr">
        <is>
          <t xml:space="preserve">LB </t>
        </is>
      </c>
      <c r="S208" t="n">
        <v>1</v>
      </c>
      <c r="T208" t="n">
        <v>1</v>
      </c>
      <c r="U208" t="inlineStr">
        <is>
          <t>2003-11-25</t>
        </is>
      </c>
      <c r="V208" t="inlineStr">
        <is>
          <t>2003-11-25</t>
        </is>
      </c>
      <c r="W208" t="inlineStr">
        <is>
          <t>2003-11-25</t>
        </is>
      </c>
      <c r="X208" t="inlineStr">
        <is>
          <t>2003-11-25</t>
        </is>
      </c>
      <c r="Y208" t="n">
        <v>362</v>
      </c>
      <c r="Z208" t="n">
        <v>344</v>
      </c>
      <c r="AA208" t="n">
        <v>350</v>
      </c>
      <c r="AB208" t="n">
        <v>6</v>
      </c>
      <c r="AC208" t="n">
        <v>6</v>
      </c>
      <c r="AD208" t="n">
        <v>20</v>
      </c>
      <c r="AE208" t="n">
        <v>20</v>
      </c>
      <c r="AF208" t="n">
        <v>8</v>
      </c>
      <c r="AG208" t="n">
        <v>8</v>
      </c>
      <c r="AH208" t="n">
        <v>4</v>
      </c>
      <c r="AI208" t="n">
        <v>4</v>
      </c>
      <c r="AJ208" t="n">
        <v>8</v>
      </c>
      <c r="AK208" t="n">
        <v>8</v>
      </c>
      <c r="AL208" t="n">
        <v>5</v>
      </c>
      <c r="AM208" t="n">
        <v>5</v>
      </c>
      <c r="AN208" t="n">
        <v>1</v>
      </c>
      <c r="AO208" t="n">
        <v>1</v>
      </c>
      <c r="AP208" t="inlineStr">
        <is>
          <t>No</t>
        </is>
      </c>
      <c r="AQ208" t="inlineStr">
        <is>
          <t>Yes</t>
        </is>
      </c>
      <c r="AR208">
        <f>HYPERLINK("http://catalog.hathitrust.org/Record/005126018","HathiTrust Record")</f>
        <v/>
      </c>
      <c r="AS208">
        <f>HYPERLINK("https://creighton-primo.hosted.exlibrisgroup.com/primo-explore/search?tab=default_tab&amp;search_scope=EVERYTHING&amp;vid=01CRU&amp;lang=en_US&amp;offset=0&amp;query=any,contains,991004192919702656","Catalog Record")</f>
        <v/>
      </c>
      <c r="AT208">
        <f>HYPERLINK("http://www.worldcat.org/oclc/38250926","WorldCat Record")</f>
        <v/>
      </c>
      <c r="AU208" t="inlineStr">
        <is>
          <t>26113362:eng</t>
        </is>
      </c>
      <c r="AV208" t="inlineStr">
        <is>
          <t>38250926</t>
        </is>
      </c>
      <c r="AW208" t="inlineStr">
        <is>
          <t>991004192919702656</t>
        </is>
      </c>
      <c r="AX208" t="inlineStr">
        <is>
          <t>991004192919702656</t>
        </is>
      </c>
      <c r="AY208" t="inlineStr">
        <is>
          <t>2264603750002656</t>
        </is>
      </c>
      <c r="AZ208" t="inlineStr">
        <is>
          <t>BOOK</t>
        </is>
      </c>
      <c r="BB208" t="inlineStr">
        <is>
          <t>9781878380791</t>
        </is>
      </c>
      <c r="BC208" t="inlineStr">
        <is>
          <t>32285004842703</t>
        </is>
      </c>
      <c r="BD208" t="inlineStr">
        <is>
          <t>893781951</t>
        </is>
      </c>
    </row>
    <row r="209">
      <c r="A209" t="inlineStr">
        <is>
          <t>No</t>
        </is>
      </c>
      <c r="B209" t="inlineStr">
        <is>
          <t>LB1025 .G486 2005</t>
        </is>
      </c>
      <c r="C209" t="inlineStr">
        <is>
          <t>0                      LB 1025000G  486         2005</t>
        </is>
      </c>
      <c r="D209" t="inlineStr">
        <is>
          <t>Going public with our teaching : an anthology of practice / edited by Thomas Hatch ... [et al.].</t>
        </is>
      </c>
      <c r="F209" t="inlineStr">
        <is>
          <t>No</t>
        </is>
      </c>
      <c r="G209" t="inlineStr">
        <is>
          <t>1</t>
        </is>
      </c>
      <c r="H209" t="inlineStr">
        <is>
          <t>No</t>
        </is>
      </c>
      <c r="I209" t="inlineStr">
        <is>
          <t>No</t>
        </is>
      </c>
      <c r="J209" t="inlineStr">
        <is>
          <t>0</t>
        </is>
      </c>
      <c r="L209" t="inlineStr">
        <is>
          <t>New York : Teachers College Press, c2005.</t>
        </is>
      </c>
      <c r="M209" t="inlineStr">
        <is>
          <t>2005</t>
        </is>
      </c>
      <c r="O209" t="inlineStr">
        <is>
          <t>eng</t>
        </is>
      </c>
      <c r="P209" t="inlineStr">
        <is>
          <t>nyu</t>
        </is>
      </c>
      <c r="Q209" t="inlineStr">
        <is>
          <t>The practitioner inquiry series</t>
        </is>
      </c>
      <c r="R209" t="inlineStr">
        <is>
          <t xml:space="preserve">LB </t>
        </is>
      </c>
      <c r="S209" t="n">
        <v>1</v>
      </c>
      <c r="T209" t="n">
        <v>1</v>
      </c>
      <c r="U209" t="inlineStr">
        <is>
          <t>2008-07-21</t>
        </is>
      </c>
      <c r="V209" t="inlineStr">
        <is>
          <t>2008-07-21</t>
        </is>
      </c>
      <c r="W209" t="inlineStr">
        <is>
          <t>2008-07-21</t>
        </is>
      </c>
      <c r="X209" t="inlineStr">
        <is>
          <t>2008-07-21</t>
        </is>
      </c>
      <c r="Y209" t="n">
        <v>290</v>
      </c>
      <c r="Z209" t="n">
        <v>249</v>
      </c>
      <c r="AA209" t="n">
        <v>547</v>
      </c>
      <c r="AB209" t="n">
        <v>2</v>
      </c>
      <c r="AC209" t="n">
        <v>17</v>
      </c>
      <c r="AD209" t="n">
        <v>9</v>
      </c>
      <c r="AE209" t="n">
        <v>21</v>
      </c>
      <c r="AF209" t="n">
        <v>2</v>
      </c>
      <c r="AG209" t="n">
        <v>4</v>
      </c>
      <c r="AH209" t="n">
        <v>4</v>
      </c>
      <c r="AI209" t="n">
        <v>4</v>
      </c>
      <c r="AJ209" t="n">
        <v>3</v>
      </c>
      <c r="AK209" t="n">
        <v>6</v>
      </c>
      <c r="AL209" t="n">
        <v>1</v>
      </c>
      <c r="AM209" t="n">
        <v>9</v>
      </c>
      <c r="AN209" t="n">
        <v>0</v>
      </c>
      <c r="AO209" t="n">
        <v>0</v>
      </c>
      <c r="AP209" t="inlineStr">
        <is>
          <t>No</t>
        </is>
      </c>
      <c r="AQ209" t="inlineStr">
        <is>
          <t>No</t>
        </is>
      </c>
      <c r="AS209">
        <f>HYPERLINK("https://creighton-primo.hosted.exlibrisgroup.com/primo-explore/search?tab=default_tab&amp;search_scope=EVERYTHING&amp;vid=01CRU&amp;lang=en_US&amp;offset=0&amp;query=any,contains,991005242939702656","Catalog Record")</f>
        <v/>
      </c>
      <c r="AT209">
        <f>HYPERLINK("http://www.worldcat.org/oclc/57344032","WorldCat Record")</f>
        <v/>
      </c>
      <c r="AU209" t="inlineStr">
        <is>
          <t>905869040:eng</t>
        </is>
      </c>
      <c r="AV209" t="inlineStr">
        <is>
          <t>57344032</t>
        </is>
      </c>
      <c r="AW209" t="inlineStr">
        <is>
          <t>991005242939702656</t>
        </is>
      </c>
      <c r="AX209" t="inlineStr">
        <is>
          <t>991005242939702656</t>
        </is>
      </c>
      <c r="AY209" t="inlineStr">
        <is>
          <t>2268751410002656</t>
        </is>
      </c>
      <c r="AZ209" t="inlineStr">
        <is>
          <t>BOOK</t>
        </is>
      </c>
      <c r="BB209" t="inlineStr">
        <is>
          <t>9780807745892</t>
        </is>
      </c>
      <c r="BC209" t="inlineStr">
        <is>
          <t>32285005448286</t>
        </is>
      </c>
      <c r="BD209" t="inlineStr">
        <is>
          <t>893260799</t>
        </is>
      </c>
    </row>
    <row r="210">
      <c r="A210" t="inlineStr">
        <is>
          <t>No</t>
        </is>
      </c>
      <c r="B210" t="inlineStr">
        <is>
          <t>LB1025 .H23</t>
        </is>
      </c>
      <c r="C210" t="inlineStr">
        <is>
          <t>0                      LB 1025000H  23</t>
        </is>
      </c>
      <c r="D210" t="inlineStr">
        <is>
          <t>Philosophy and education; alternatives in theory and practice, by Russell L. Hamm.</t>
        </is>
      </c>
      <c r="F210" t="inlineStr">
        <is>
          <t>No</t>
        </is>
      </c>
      <c r="G210" t="inlineStr">
        <is>
          <t>1</t>
        </is>
      </c>
      <c r="H210" t="inlineStr">
        <is>
          <t>No</t>
        </is>
      </c>
      <c r="I210" t="inlineStr">
        <is>
          <t>No</t>
        </is>
      </c>
      <c r="J210" t="inlineStr">
        <is>
          <t>0</t>
        </is>
      </c>
      <c r="K210" t="inlineStr">
        <is>
          <t>Hamm, Russell L.</t>
        </is>
      </c>
      <c r="L210" t="inlineStr">
        <is>
          <t>Danville, Ill., Interstate Printers &amp; Publishers [1974]</t>
        </is>
      </c>
      <c r="M210" t="inlineStr">
        <is>
          <t>1974</t>
        </is>
      </c>
      <c r="O210" t="inlineStr">
        <is>
          <t>eng</t>
        </is>
      </c>
      <c r="P210" t="inlineStr">
        <is>
          <t>ilu</t>
        </is>
      </c>
      <c r="R210" t="inlineStr">
        <is>
          <t xml:space="preserve">LB </t>
        </is>
      </c>
      <c r="S210" t="n">
        <v>6</v>
      </c>
      <c r="T210" t="n">
        <v>6</v>
      </c>
      <c r="U210" t="inlineStr">
        <is>
          <t>2005-04-25</t>
        </is>
      </c>
      <c r="V210" t="inlineStr">
        <is>
          <t>2005-04-25</t>
        </is>
      </c>
      <c r="W210" t="inlineStr">
        <is>
          <t>1997-04-25</t>
        </is>
      </c>
      <c r="X210" t="inlineStr">
        <is>
          <t>1997-04-25</t>
        </is>
      </c>
      <c r="Y210" t="n">
        <v>127</v>
      </c>
      <c r="Z210" t="n">
        <v>103</v>
      </c>
      <c r="AA210" t="n">
        <v>143</v>
      </c>
      <c r="AB210" t="n">
        <v>1</v>
      </c>
      <c r="AC210" t="n">
        <v>1</v>
      </c>
      <c r="AD210" t="n">
        <v>4</v>
      </c>
      <c r="AE210" t="n">
        <v>5</v>
      </c>
      <c r="AF210" t="n">
        <v>0</v>
      </c>
      <c r="AG210" t="n">
        <v>0</v>
      </c>
      <c r="AH210" t="n">
        <v>0</v>
      </c>
      <c r="AI210" t="n">
        <v>0</v>
      </c>
      <c r="AJ210" t="n">
        <v>4</v>
      </c>
      <c r="AK210" t="n">
        <v>5</v>
      </c>
      <c r="AL210" t="n">
        <v>0</v>
      </c>
      <c r="AM210" t="n">
        <v>0</v>
      </c>
      <c r="AN210" t="n">
        <v>0</v>
      </c>
      <c r="AO210" t="n">
        <v>0</v>
      </c>
      <c r="AP210" t="inlineStr">
        <is>
          <t>No</t>
        </is>
      </c>
      <c r="AQ210" t="inlineStr">
        <is>
          <t>No</t>
        </is>
      </c>
      <c r="AS210">
        <f>HYPERLINK("https://creighton-primo.hosted.exlibrisgroup.com/primo-explore/search?tab=default_tab&amp;search_scope=EVERYTHING&amp;vid=01CRU&amp;lang=en_US&amp;offset=0&amp;query=any,contains,991003455979702656","Catalog Record")</f>
        <v/>
      </c>
      <c r="AT210">
        <f>HYPERLINK("http://www.worldcat.org/oclc/995232","WorldCat Record")</f>
        <v/>
      </c>
      <c r="AU210" t="inlineStr">
        <is>
          <t>474436:eng</t>
        </is>
      </c>
      <c r="AV210" t="inlineStr">
        <is>
          <t>995232</t>
        </is>
      </c>
      <c r="AW210" t="inlineStr">
        <is>
          <t>991003455979702656</t>
        </is>
      </c>
      <c r="AX210" t="inlineStr">
        <is>
          <t>991003455979702656</t>
        </is>
      </c>
      <c r="AY210" t="inlineStr">
        <is>
          <t>2257047150002656</t>
        </is>
      </c>
      <c r="AZ210" t="inlineStr">
        <is>
          <t>BOOK</t>
        </is>
      </c>
      <c r="BC210" t="inlineStr">
        <is>
          <t>32285002599347</t>
        </is>
      </c>
      <c r="BD210" t="inlineStr">
        <is>
          <t>893604800</t>
        </is>
      </c>
    </row>
    <row r="211">
      <c r="A211" t="inlineStr">
        <is>
          <t>No</t>
        </is>
      </c>
      <c r="B211" t="inlineStr">
        <is>
          <t>LB1025 .M418</t>
        </is>
      </c>
      <c r="C211" t="inlineStr">
        <is>
          <t>0                      LB 1025000M  418</t>
        </is>
      </c>
      <c r="D211" t="inlineStr">
        <is>
          <t>The teacher and learning / Ernest O. Melby.</t>
        </is>
      </c>
      <c r="F211" t="inlineStr">
        <is>
          <t>No</t>
        </is>
      </c>
      <c r="G211" t="inlineStr">
        <is>
          <t>1</t>
        </is>
      </c>
      <c r="H211" t="inlineStr">
        <is>
          <t>No</t>
        </is>
      </c>
      <c r="I211" t="inlineStr">
        <is>
          <t>No</t>
        </is>
      </c>
      <c r="J211" t="inlineStr">
        <is>
          <t>0</t>
        </is>
      </c>
      <c r="K211" t="inlineStr">
        <is>
          <t>Melby, Ernest Oscar, 1891-1987.</t>
        </is>
      </c>
      <c r="L211" t="inlineStr">
        <is>
          <t>New York : Center for Applied Research in Education, c1963.</t>
        </is>
      </c>
      <c r="M211" t="inlineStr">
        <is>
          <t>1963</t>
        </is>
      </c>
      <c r="O211" t="inlineStr">
        <is>
          <t>eng</t>
        </is>
      </c>
      <c r="P211" t="inlineStr">
        <is>
          <t>nyu</t>
        </is>
      </c>
      <c r="Q211" t="inlineStr">
        <is>
          <t>The Library of education</t>
        </is>
      </c>
      <c r="R211" t="inlineStr">
        <is>
          <t xml:space="preserve">LB </t>
        </is>
      </c>
      <c r="S211" t="n">
        <v>4</v>
      </c>
      <c r="T211" t="n">
        <v>4</v>
      </c>
      <c r="U211" t="inlineStr">
        <is>
          <t>2007-05-11</t>
        </is>
      </c>
      <c r="V211" t="inlineStr">
        <is>
          <t>2007-05-11</t>
        </is>
      </c>
      <c r="W211" t="inlineStr">
        <is>
          <t>1992-01-24</t>
        </is>
      </c>
      <c r="X211" t="inlineStr">
        <is>
          <t>1992-01-24</t>
        </is>
      </c>
      <c r="Y211" t="n">
        <v>49</v>
      </c>
      <c r="Z211" t="n">
        <v>48</v>
      </c>
      <c r="AA211" t="n">
        <v>507</v>
      </c>
      <c r="AB211" t="n">
        <v>2</v>
      </c>
      <c r="AC211" t="n">
        <v>5</v>
      </c>
      <c r="AD211" t="n">
        <v>2</v>
      </c>
      <c r="AE211" t="n">
        <v>24</v>
      </c>
      <c r="AF211" t="n">
        <v>1</v>
      </c>
      <c r="AG211" t="n">
        <v>7</v>
      </c>
      <c r="AH211" t="n">
        <v>0</v>
      </c>
      <c r="AI211" t="n">
        <v>6</v>
      </c>
      <c r="AJ211" t="n">
        <v>0</v>
      </c>
      <c r="AK211" t="n">
        <v>12</v>
      </c>
      <c r="AL211" t="n">
        <v>1</v>
      </c>
      <c r="AM211" t="n">
        <v>4</v>
      </c>
      <c r="AN211" t="n">
        <v>0</v>
      </c>
      <c r="AO211" t="n">
        <v>0</v>
      </c>
      <c r="AP211" t="inlineStr">
        <is>
          <t>No</t>
        </is>
      </c>
      <c r="AQ211" t="inlineStr">
        <is>
          <t>No</t>
        </is>
      </c>
      <c r="AS211">
        <f>HYPERLINK("https://creighton-primo.hosted.exlibrisgroup.com/primo-explore/search?tab=default_tab&amp;search_scope=EVERYTHING&amp;vid=01CRU&amp;lang=en_US&amp;offset=0&amp;query=any,contains,991005066299702656","Catalog Record")</f>
        <v/>
      </c>
      <c r="AT211">
        <f>HYPERLINK("http://www.worldcat.org/oclc/6967668","WorldCat Record")</f>
        <v/>
      </c>
      <c r="AU211" t="inlineStr">
        <is>
          <t>131941701:eng</t>
        </is>
      </c>
      <c r="AV211" t="inlineStr">
        <is>
          <t>6967668</t>
        </is>
      </c>
      <c r="AW211" t="inlineStr">
        <is>
          <t>991005066299702656</t>
        </is>
      </c>
      <c r="AX211" t="inlineStr">
        <is>
          <t>991005066299702656</t>
        </is>
      </c>
      <c r="AY211" t="inlineStr">
        <is>
          <t>2258195880002656</t>
        </is>
      </c>
      <c r="AZ211" t="inlineStr">
        <is>
          <t>BOOK</t>
        </is>
      </c>
      <c r="BC211" t="inlineStr">
        <is>
          <t>32285000918275</t>
        </is>
      </c>
      <c r="BD211" t="inlineStr">
        <is>
          <t>893905205</t>
        </is>
      </c>
    </row>
    <row r="212">
      <c r="A212" t="inlineStr">
        <is>
          <t>No</t>
        </is>
      </c>
      <c r="B212" t="inlineStr">
        <is>
          <t>LB1025 .M555</t>
        </is>
      </c>
      <c r="C212" t="inlineStr">
        <is>
          <t>0                      LB 1025000M  555</t>
        </is>
      </c>
      <c r="D212" t="inlineStr">
        <is>
          <t>Creativity in teaching : invitations and instances.</t>
        </is>
      </c>
      <c r="F212" t="inlineStr">
        <is>
          <t>No</t>
        </is>
      </c>
      <c r="G212" t="inlineStr">
        <is>
          <t>1</t>
        </is>
      </c>
      <c r="H212" t="inlineStr">
        <is>
          <t>No</t>
        </is>
      </c>
      <c r="I212" t="inlineStr">
        <is>
          <t>No</t>
        </is>
      </c>
      <c r="J212" t="inlineStr">
        <is>
          <t>0</t>
        </is>
      </c>
      <c r="K212" t="inlineStr">
        <is>
          <t>Miel, Alice, 1906-1998 editor.</t>
        </is>
      </c>
      <c r="L212" t="inlineStr">
        <is>
          <t>Belmont, Calif. : Wadsworth Pub. Co., [1961]</t>
        </is>
      </c>
      <c r="M212" t="inlineStr">
        <is>
          <t>1961</t>
        </is>
      </c>
      <c r="O212" t="inlineStr">
        <is>
          <t>eng</t>
        </is>
      </c>
      <c r="P212" t="inlineStr">
        <is>
          <t>cau</t>
        </is>
      </c>
      <c r="R212" t="inlineStr">
        <is>
          <t xml:space="preserve">LB </t>
        </is>
      </c>
      <c r="S212" t="n">
        <v>1</v>
      </c>
      <c r="T212" t="n">
        <v>1</v>
      </c>
      <c r="U212" t="inlineStr">
        <is>
          <t>2006-02-20</t>
        </is>
      </c>
      <c r="V212" t="inlineStr">
        <is>
          <t>2006-02-20</t>
        </is>
      </c>
      <c r="W212" t="inlineStr">
        <is>
          <t>1991-09-16</t>
        </is>
      </c>
      <c r="X212" t="inlineStr">
        <is>
          <t>1991-09-16</t>
        </is>
      </c>
      <c r="Y212" t="n">
        <v>511</v>
      </c>
      <c r="Z212" t="n">
        <v>468</v>
      </c>
      <c r="AA212" t="n">
        <v>471</v>
      </c>
      <c r="AB212" t="n">
        <v>6</v>
      </c>
      <c r="AC212" t="n">
        <v>6</v>
      </c>
      <c r="AD212" t="n">
        <v>20</v>
      </c>
      <c r="AE212" t="n">
        <v>20</v>
      </c>
      <c r="AF212" t="n">
        <v>7</v>
      </c>
      <c r="AG212" t="n">
        <v>7</v>
      </c>
      <c r="AH212" t="n">
        <v>4</v>
      </c>
      <c r="AI212" t="n">
        <v>4</v>
      </c>
      <c r="AJ212" t="n">
        <v>7</v>
      </c>
      <c r="AK212" t="n">
        <v>7</v>
      </c>
      <c r="AL212" t="n">
        <v>5</v>
      </c>
      <c r="AM212" t="n">
        <v>5</v>
      </c>
      <c r="AN212" t="n">
        <v>0</v>
      </c>
      <c r="AO212" t="n">
        <v>0</v>
      </c>
      <c r="AP212" t="inlineStr">
        <is>
          <t>No</t>
        </is>
      </c>
      <c r="AQ212" t="inlineStr">
        <is>
          <t>No</t>
        </is>
      </c>
      <c r="AR212">
        <f>HYPERLINK("http://catalog.hathitrust.org/Record/102290123","HathiTrust Record")</f>
        <v/>
      </c>
      <c r="AS212">
        <f>HYPERLINK("https://creighton-primo.hosted.exlibrisgroup.com/primo-explore/search?tab=default_tab&amp;search_scope=EVERYTHING&amp;vid=01CRU&amp;lang=en_US&amp;offset=0&amp;query=any,contains,991001059369702656","Catalog Record")</f>
        <v/>
      </c>
      <c r="AT212">
        <f>HYPERLINK("http://www.worldcat.org/oclc/177994","WorldCat Record")</f>
        <v/>
      </c>
      <c r="AU212" t="inlineStr">
        <is>
          <t>51046924:eng</t>
        </is>
      </c>
      <c r="AV212" t="inlineStr">
        <is>
          <t>177994</t>
        </is>
      </c>
      <c r="AW212" t="inlineStr">
        <is>
          <t>991001059369702656</t>
        </is>
      </c>
      <c r="AX212" t="inlineStr">
        <is>
          <t>991001059369702656</t>
        </is>
      </c>
      <c r="AY212" t="inlineStr">
        <is>
          <t>2266347670002656</t>
        </is>
      </c>
      <c r="AZ212" t="inlineStr">
        <is>
          <t>BOOK</t>
        </is>
      </c>
      <c r="BC212" t="inlineStr">
        <is>
          <t>32285000737758</t>
        </is>
      </c>
      <c r="BD212" t="inlineStr">
        <is>
          <t>893334016</t>
        </is>
      </c>
    </row>
    <row r="213">
      <c r="A213" t="inlineStr">
        <is>
          <t>No</t>
        </is>
      </c>
      <c r="B213" t="inlineStr">
        <is>
          <t>LB1025 .P64</t>
        </is>
      </c>
      <c r="C213" t="inlineStr">
        <is>
          <t>0                      LB 1025000P  64</t>
        </is>
      </c>
      <c r="D213" t="inlineStr">
        <is>
          <t>Learner centered teaching: a humanistic view / Gerald J. Pine,Angelo V. Boy. --</t>
        </is>
      </c>
      <c r="F213" t="inlineStr">
        <is>
          <t>No</t>
        </is>
      </c>
      <c r="G213" t="inlineStr">
        <is>
          <t>1</t>
        </is>
      </c>
      <c r="H213" t="inlineStr">
        <is>
          <t>No</t>
        </is>
      </c>
      <c r="I213" t="inlineStr">
        <is>
          <t>No</t>
        </is>
      </c>
      <c r="J213" t="inlineStr">
        <is>
          <t>0</t>
        </is>
      </c>
      <c r="K213" t="inlineStr">
        <is>
          <t>Pine, Gerald J.</t>
        </is>
      </c>
      <c r="L213" t="inlineStr">
        <is>
          <t>Denver : Love , 1977.</t>
        </is>
      </c>
      <c r="M213" t="inlineStr">
        <is>
          <t>1977</t>
        </is>
      </c>
      <c r="O213" t="inlineStr">
        <is>
          <t>eng</t>
        </is>
      </c>
      <c r="P213" t="inlineStr">
        <is>
          <t>cou</t>
        </is>
      </c>
      <c r="R213" t="inlineStr">
        <is>
          <t xml:space="preserve">LB </t>
        </is>
      </c>
      <c r="S213" t="n">
        <v>6</v>
      </c>
      <c r="T213" t="n">
        <v>6</v>
      </c>
      <c r="U213" t="inlineStr">
        <is>
          <t>2002-11-27</t>
        </is>
      </c>
      <c r="V213" t="inlineStr">
        <is>
          <t>2002-11-27</t>
        </is>
      </c>
      <c r="W213" t="inlineStr">
        <is>
          <t>1990-07-02</t>
        </is>
      </c>
      <c r="X213" t="inlineStr">
        <is>
          <t>1990-07-02</t>
        </is>
      </c>
      <c r="Y213" t="n">
        <v>159</v>
      </c>
      <c r="Z213" t="n">
        <v>132</v>
      </c>
      <c r="AA213" t="n">
        <v>132</v>
      </c>
      <c r="AB213" t="n">
        <v>1</v>
      </c>
      <c r="AC213" t="n">
        <v>1</v>
      </c>
      <c r="AD213" t="n">
        <v>5</v>
      </c>
      <c r="AE213" t="n">
        <v>5</v>
      </c>
      <c r="AF213" t="n">
        <v>3</v>
      </c>
      <c r="AG213" t="n">
        <v>3</v>
      </c>
      <c r="AH213" t="n">
        <v>0</v>
      </c>
      <c r="AI213" t="n">
        <v>0</v>
      </c>
      <c r="AJ213" t="n">
        <v>4</v>
      </c>
      <c r="AK213" t="n">
        <v>4</v>
      </c>
      <c r="AL213" t="n">
        <v>0</v>
      </c>
      <c r="AM213" t="n">
        <v>0</v>
      </c>
      <c r="AN213" t="n">
        <v>0</v>
      </c>
      <c r="AO213" t="n">
        <v>0</v>
      </c>
      <c r="AP213" t="inlineStr">
        <is>
          <t>No</t>
        </is>
      </c>
      <c r="AQ213" t="inlineStr">
        <is>
          <t>No</t>
        </is>
      </c>
      <c r="AS213">
        <f>HYPERLINK("https://creighton-primo.hosted.exlibrisgroup.com/primo-explore/search?tab=default_tab&amp;search_scope=EVERYTHING&amp;vid=01CRU&amp;lang=en_US&amp;offset=0&amp;query=any,contains,991004509419702656","Catalog Record")</f>
        <v/>
      </c>
      <c r="AT213">
        <f>HYPERLINK("http://www.worldcat.org/oclc/3753621","WorldCat Record")</f>
        <v/>
      </c>
      <c r="AU213" t="inlineStr">
        <is>
          <t>11755026:eng</t>
        </is>
      </c>
      <c r="AV213" t="inlineStr">
        <is>
          <t>3753621</t>
        </is>
      </c>
      <c r="AW213" t="inlineStr">
        <is>
          <t>991004509419702656</t>
        </is>
      </c>
      <c r="AX213" t="inlineStr">
        <is>
          <t>991004509419702656</t>
        </is>
      </c>
      <c r="AY213" t="inlineStr">
        <is>
          <t>2257184110002656</t>
        </is>
      </c>
      <c r="AZ213" t="inlineStr">
        <is>
          <t>BOOK</t>
        </is>
      </c>
      <c r="BB213" t="inlineStr">
        <is>
          <t>9780891080633</t>
        </is>
      </c>
      <c r="BC213" t="inlineStr">
        <is>
          <t>32285000220458</t>
        </is>
      </c>
      <c r="BD213" t="inlineStr">
        <is>
          <t>893776101</t>
        </is>
      </c>
    </row>
    <row r="214">
      <c r="A214" t="inlineStr">
        <is>
          <t>No</t>
        </is>
      </c>
      <c r="B214" t="inlineStr">
        <is>
          <t>LB1025 .S66</t>
        </is>
      </c>
      <c r="C214" t="inlineStr">
        <is>
          <t>0                      LB 1025000S  66</t>
        </is>
      </c>
      <c r="D214" t="inlineStr">
        <is>
          <t>Philosophy of education; introductory studies [by] Philip G. Smith.</t>
        </is>
      </c>
      <c r="F214" t="inlineStr">
        <is>
          <t>No</t>
        </is>
      </c>
      <c r="G214" t="inlineStr">
        <is>
          <t>1</t>
        </is>
      </c>
      <c r="H214" t="inlineStr">
        <is>
          <t>No</t>
        </is>
      </c>
      <c r="I214" t="inlineStr">
        <is>
          <t>No</t>
        </is>
      </c>
      <c r="J214" t="inlineStr">
        <is>
          <t>0</t>
        </is>
      </c>
      <c r="K214" t="inlineStr">
        <is>
          <t>Smith, Philip G.</t>
        </is>
      </c>
      <c r="L214" t="inlineStr">
        <is>
          <t>New York, Harper &amp; Row [1965]</t>
        </is>
      </c>
      <c r="M214" t="inlineStr">
        <is>
          <t>1965</t>
        </is>
      </c>
      <c r="O214" t="inlineStr">
        <is>
          <t>eng</t>
        </is>
      </c>
      <c r="P214" t="inlineStr">
        <is>
          <t>nyu</t>
        </is>
      </c>
      <c r="Q214" t="inlineStr">
        <is>
          <t>Harper's series on teaching</t>
        </is>
      </c>
      <c r="R214" t="inlineStr">
        <is>
          <t xml:space="preserve">LB </t>
        </is>
      </c>
      <c r="S214" t="n">
        <v>14</v>
      </c>
      <c r="T214" t="n">
        <v>14</v>
      </c>
      <c r="U214" t="inlineStr">
        <is>
          <t>2010-11-28</t>
        </is>
      </c>
      <c r="V214" t="inlineStr">
        <is>
          <t>2010-11-28</t>
        </is>
      </c>
      <c r="W214" t="inlineStr">
        <is>
          <t>1997-04-25</t>
        </is>
      </c>
      <c r="X214" t="inlineStr">
        <is>
          <t>1997-04-25</t>
        </is>
      </c>
      <c r="Y214" t="n">
        <v>610</v>
      </c>
      <c r="Z214" t="n">
        <v>512</v>
      </c>
      <c r="AA214" t="n">
        <v>518</v>
      </c>
      <c r="AB214" t="n">
        <v>10</v>
      </c>
      <c r="AC214" t="n">
        <v>10</v>
      </c>
      <c r="AD214" t="n">
        <v>31</v>
      </c>
      <c r="AE214" t="n">
        <v>31</v>
      </c>
      <c r="AF214" t="n">
        <v>10</v>
      </c>
      <c r="AG214" t="n">
        <v>10</v>
      </c>
      <c r="AH214" t="n">
        <v>6</v>
      </c>
      <c r="AI214" t="n">
        <v>6</v>
      </c>
      <c r="AJ214" t="n">
        <v>14</v>
      </c>
      <c r="AK214" t="n">
        <v>14</v>
      </c>
      <c r="AL214" t="n">
        <v>8</v>
      </c>
      <c r="AM214" t="n">
        <v>8</v>
      </c>
      <c r="AN214" t="n">
        <v>0</v>
      </c>
      <c r="AO214" t="n">
        <v>0</v>
      </c>
      <c r="AP214" t="inlineStr">
        <is>
          <t>No</t>
        </is>
      </c>
      <c r="AQ214" t="inlineStr">
        <is>
          <t>Yes</t>
        </is>
      </c>
      <c r="AR214">
        <f>HYPERLINK("http://catalog.hathitrust.org/Record/001067721","HathiTrust Record")</f>
        <v/>
      </c>
      <c r="AS214">
        <f>HYPERLINK("https://creighton-primo.hosted.exlibrisgroup.com/primo-explore/search?tab=default_tab&amp;search_scope=EVERYTHING&amp;vid=01CRU&amp;lang=en_US&amp;offset=0&amp;query=any,contains,991003234369702656","Catalog Record")</f>
        <v/>
      </c>
      <c r="AT214">
        <f>HYPERLINK("http://www.worldcat.org/oclc/758675","WorldCat Record")</f>
        <v/>
      </c>
      <c r="AU214" t="inlineStr">
        <is>
          <t>377347944:eng</t>
        </is>
      </c>
      <c r="AV214" t="inlineStr">
        <is>
          <t>758675</t>
        </is>
      </c>
      <c r="AW214" t="inlineStr">
        <is>
          <t>991003234369702656</t>
        </is>
      </c>
      <c r="AX214" t="inlineStr">
        <is>
          <t>991003234369702656</t>
        </is>
      </c>
      <c r="AY214" t="inlineStr">
        <is>
          <t>2271924270002656</t>
        </is>
      </c>
      <c r="AZ214" t="inlineStr">
        <is>
          <t>BOOK</t>
        </is>
      </c>
      <c r="BC214" t="inlineStr">
        <is>
          <t>32285002599370</t>
        </is>
      </c>
      <c r="BD214" t="inlineStr">
        <is>
          <t>893698788</t>
        </is>
      </c>
    </row>
    <row r="215">
      <c r="A215" t="inlineStr">
        <is>
          <t>No</t>
        </is>
      </c>
      <c r="B215" t="inlineStr">
        <is>
          <t>LB1025.2 .A773 1988</t>
        </is>
      </c>
      <c r="C215" t="inlineStr">
        <is>
          <t>0                      LB 1025200A  773         1988</t>
        </is>
      </c>
      <c r="D215" t="inlineStr">
        <is>
          <t>Learning to teach / Richard I. Arends.</t>
        </is>
      </c>
      <c r="F215" t="inlineStr">
        <is>
          <t>No</t>
        </is>
      </c>
      <c r="G215" t="inlineStr">
        <is>
          <t>1</t>
        </is>
      </c>
      <c r="H215" t="inlineStr">
        <is>
          <t>No</t>
        </is>
      </c>
      <c r="I215" t="inlineStr">
        <is>
          <t>Yes</t>
        </is>
      </c>
      <c r="J215" t="inlineStr">
        <is>
          <t>0</t>
        </is>
      </c>
      <c r="K215" t="inlineStr">
        <is>
          <t>Arends, Richard.</t>
        </is>
      </c>
      <c r="L215" t="inlineStr">
        <is>
          <t>New York : Random House, c1988.</t>
        </is>
      </c>
      <c r="M215" t="inlineStr">
        <is>
          <t>1988</t>
        </is>
      </c>
      <c r="N215" t="inlineStr">
        <is>
          <t>1st ed.</t>
        </is>
      </c>
      <c r="O215" t="inlineStr">
        <is>
          <t>eng</t>
        </is>
      </c>
      <c r="P215" t="inlineStr">
        <is>
          <t>nyu</t>
        </is>
      </c>
      <c r="R215" t="inlineStr">
        <is>
          <t xml:space="preserve">LB </t>
        </is>
      </c>
      <c r="S215" t="n">
        <v>8</v>
      </c>
      <c r="T215" t="n">
        <v>8</v>
      </c>
      <c r="U215" t="inlineStr">
        <is>
          <t>2003-09-29</t>
        </is>
      </c>
      <c r="V215" t="inlineStr">
        <is>
          <t>2003-09-29</t>
        </is>
      </c>
      <c r="W215" t="inlineStr">
        <is>
          <t>1992-10-16</t>
        </is>
      </c>
      <c r="X215" t="inlineStr">
        <is>
          <t>1992-10-16</t>
        </is>
      </c>
      <c r="Y215" t="n">
        <v>238</v>
      </c>
      <c r="Z215" t="n">
        <v>187</v>
      </c>
      <c r="AA215" t="n">
        <v>567</v>
      </c>
      <c r="AB215" t="n">
        <v>3</v>
      </c>
      <c r="AC215" t="n">
        <v>5</v>
      </c>
      <c r="AD215" t="n">
        <v>6</v>
      </c>
      <c r="AE215" t="n">
        <v>24</v>
      </c>
      <c r="AF215" t="n">
        <v>1</v>
      </c>
      <c r="AG215" t="n">
        <v>12</v>
      </c>
      <c r="AH215" t="n">
        <v>1</v>
      </c>
      <c r="AI215" t="n">
        <v>4</v>
      </c>
      <c r="AJ215" t="n">
        <v>5</v>
      </c>
      <c r="AK215" t="n">
        <v>13</v>
      </c>
      <c r="AL215" t="n">
        <v>1</v>
      </c>
      <c r="AM215" t="n">
        <v>3</v>
      </c>
      <c r="AN215" t="n">
        <v>0</v>
      </c>
      <c r="AO215" t="n">
        <v>0</v>
      </c>
      <c r="AP215" t="inlineStr">
        <is>
          <t>No</t>
        </is>
      </c>
      <c r="AQ215" t="inlineStr">
        <is>
          <t>No</t>
        </is>
      </c>
      <c r="AS215">
        <f>HYPERLINK("https://creighton-primo.hosted.exlibrisgroup.com/primo-explore/search?tab=default_tab&amp;search_scope=EVERYTHING&amp;vid=01CRU&amp;lang=en_US&amp;offset=0&amp;query=any,contains,991001115079702656","Catalog Record")</f>
        <v/>
      </c>
      <c r="AT215">
        <f>HYPERLINK("http://www.worldcat.org/oclc/16525285","WorldCat Record")</f>
        <v/>
      </c>
      <c r="AU215" t="inlineStr">
        <is>
          <t>4820611266:eng</t>
        </is>
      </c>
      <c r="AV215" t="inlineStr">
        <is>
          <t>16525285</t>
        </is>
      </c>
      <c r="AW215" t="inlineStr">
        <is>
          <t>991001115079702656</t>
        </is>
      </c>
      <c r="AX215" t="inlineStr">
        <is>
          <t>991001115079702656</t>
        </is>
      </c>
      <c r="AY215" t="inlineStr">
        <is>
          <t>2258850660002656</t>
        </is>
      </c>
      <c r="AZ215" t="inlineStr">
        <is>
          <t>BOOK</t>
        </is>
      </c>
      <c r="BB215" t="inlineStr">
        <is>
          <t>9780394364650</t>
        </is>
      </c>
      <c r="BC215" t="inlineStr">
        <is>
          <t>32285001350627</t>
        </is>
      </c>
      <c r="BD215" t="inlineStr">
        <is>
          <t>893602333</t>
        </is>
      </c>
    </row>
    <row r="216">
      <c r="A216" t="inlineStr">
        <is>
          <t>No</t>
        </is>
      </c>
      <c r="B216" t="inlineStr">
        <is>
          <t>LB1025.2 .B458</t>
        </is>
      </c>
      <c r="C216" t="inlineStr">
        <is>
          <t>0                      LB 1025200B  458</t>
        </is>
      </c>
      <c r="D216" t="inlineStr">
        <is>
          <t>Humanism in the classroom : an eclectic approach to teaching and learning / [by] Harold W. Bernard [and] Wesley C. Huckins.</t>
        </is>
      </c>
      <c r="F216" t="inlineStr">
        <is>
          <t>No</t>
        </is>
      </c>
      <c r="G216" t="inlineStr">
        <is>
          <t>1</t>
        </is>
      </c>
      <c r="H216" t="inlineStr">
        <is>
          <t>No</t>
        </is>
      </c>
      <c r="I216" t="inlineStr">
        <is>
          <t>No</t>
        </is>
      </c>
      <c r="J216" t="inlineStr">
        <is>
          <t>0</t>
        </is>
      </c>
      <c r="K216" t="inlineStr">
        <is>
          <t>Bernard, Harold W. (Harold Wright), 1908-1998.</t>
        </is>
      </c>
      <c r="L216" t="inlineStr">
        <is>
          <t>Boston : Allyn and Bacon, [1974]</t>
        </is>
      </c>
      <c r="M216" t="inlineStr">
        <is>
          <t>1974</t>
        </is>
      </c>
      <c r="O216" t="inlineStr">
        <is>
          <t>eng</t>
        </is>
      </c>
      <c r="P216" t="inlineStr">
        <is>
          <t>mau</t>
        </is>
      </c>
      <c r="R216" t="inlineStr">
        <is>
          <t xml:space="preserve">LB </t>
        </is>
      </c>
      <c r="S216" t="n">
        <v>3</v>
      </c>
      <c r="T216" t="n">
        <v>3</v>
      </c>
      <c r="U216" t="inlineStr">
        <is>
          <t>1999-04-19</t>
        </is>
      </c>
      <c r="V216" t="inlineStr">
        <is>
          <t>1999-04-19</t>
        </is>
      </c>
      <c r="W216" t="inlineStr">
        <is>
          <t>1993-09-09</t>
        </is>
      </c>
      <c r="X216" t="inlineStr">
        <is>
          <t>1993-09-09</t>
        </is>
      </c>
      <c r="Y216" t="n">
        <v>433</v>
      </c>
      <c r="Z216" t="n">
        <v>404</v>
      </c>
      <c r="AA216" t="n">
        <v>406</v>
      </c>
      <c r="AB216" t="n">
        <v>4</v>
      </c>
      <c r="AC216" t="n">
        <v>4</v>
      </c>
      <c r="AD216" t="n">
        <v>19</v>
      </c>
      <c r="AE216" t="n">
        <v>19</v>
      </c>
      <c r="AF216" t="n">
        <v>8</v>
      </c>
      <c r="AG216" t="n">
        <v>8</v>
      </c>
      <c r="AH216" t="n">
        <v>6</v>
      </c>
      <c r="AI216" t="n">
        <v>6</v>
      </c>
      <c r="AJ216" t="n">
        <v>8</v>
      </c>
      <c r="AK216" t="n">
        <v>8</v>
      </c>
      <c r="AL216" t="n">
        <v>3</v>
      </c>
      <c r="AM216" t="n">
        <v>3</v>
      </c>
      <c r="AN216" t="n">
        <v>0</v>
      </c>
      <c r="AO216" t="n">
        <v>0</v>
      </c>
      <c r="AP216" t="inlineStr">
        <is>
          <t>No</t>
        </is>
      </c>
      <c r="AQ216" t="inlineStr">
        <is>
          <t>No</t>
        </is>
      </c>
      <c r="AS216">
        <f>HYPERLINK("https://creighton-primo.hosted.exlibrisgroup.com/primo-explore/search?tab=default_tab&amp;search_scope=EVERYTHING&amp;vid=01CRU&amp;lang=en_US&amp;offset=0&amp;query=any,contains,991003408389702656","Catalog Record")</f>
        <v/>
      </c>
      <c r="AT216">
        <f>HYPERLINK("http://www.worldcat.org/oclc/947688","WorldCat Record")</f>
        <v/>
      </c>
      <c r="AU216" t="inlineStr">
        <is>
          <t>1909723:eng</t>
        </is>
      </c>
      <c r="AV216" t="inlineStr">
        <is>
          <t>947688</t>
        </is>
      </c>
      <c r="AW216" t="inlineStr">
        <is>
          <t>991003408389702656</t>
        </is>
      </c>
      <c r="AX216" t="inlineStr">
        <is>
          <t>991003408389702656</t>
        </is>
      </c>
      <c r="AY216" t="inlineStr">
        <is>
          <t>2264455260002656</t>
        </is>
      </c>
      <c r="AZ216" t="inlineStr">
        <is>
          <t>BOOK</t>
        </is>
      </c>
      <c r="BC216" t="inlineStr">
        <is>
          <t>32285001764389</t>
        </is>
      </c>
      <c r="BD216" t="inlineStr">
        <is>
          <t>893705201</t>
        </is>
      </c>
    </row>
    <row r="217">
      <c r="A217" t="inlineStr">
        <is>
          <t>No</t>
        </is>
      </c>
      <c r="B217" t="inlineStr">
        <is>
          <t>LB1025.2 .B573 1980</t>
        </is>
      </c>
      <c r="C217" t="inlineStr">
        <is>
          <t>0                      LB 1025200B  573         1980</t>
        </is>
      </c>
      <c r="D217" t="inlineStr">
        <is>
          <t>Biting the apple : accounts of first year teachers / Kevin Ryan ... [et al.].</t>
        </is>
      </c>
      <c r="F217" t="inlineStr">
        <is>
          <t>No</t>
        </is>
      </c>
      <c r="G217" t="inlineStr">
        <is>
          <t>1</t>
        </is>
      </c>
      <c r="H217" t="inlineStr">
        <is>
          <t>No</t>
        </is>
      </c>
      <c r="I217" t="inlineStr">
        <is>
          <t>No</t>
        </is>
      </c>
      <c r="J217" t="inlineStr">
        <is>
          <t>0</t>
        </is>
      </c>
      <c r="L217" t="inlineStr">
        <is>
          <t>New York : Longman, c1980.</t>
        </is>
      </c>
      <c r="M217" t="inlineStr">
        <is>
          <t>1980</t>
        </is>
      </c>
      <c r="O217" t="inlineStr">
        <is>
          <t>eng</t>
        </is>
      </c>
      <c r="P217" t="inlineStr">
        <is>
          <t>nyu</t>
        </is>
      </c>
      <c r="R217" t="inlineStr">
        <is>
          <t xml:space="preserve">LB </t>
        </is>
      </c>
      <c r="S217" t="n">
        <v>8</v>
      </c>
      <c r="T217" t="n">
        <v>8</v>
      </c>
      <c r="U217" t="inlineStr">
        <is>
          <t>2006-02-09</t>
        </is>
      </c>
      <c r="V217" t="inlineStr">
        <is>
          <t>2006-02-09</t>
        </is>
      </c>
      <c r="W217" t="inlineStr">
        <is>
          <t>1992-10-20</t>
        </is>
      </c>
      <c r="X217" t="inlineStr">
        <is>
          <t>1992-10-20</t>
        </is>
      </c>
      <c r="Y217" t="n">
        <v>533</v>
      </c>
      <c r="Z217" t="n">
        <v>497</v>
      </c>
      <c r="AA217" t="n">
        <v>503</v>
      </c>
      <c r="AB217" t="n">
        <v>8</v>
      </c>
      <c r="AC217" t="n">
        <v>8</v>
      </c>
      <c r="AD217" t="n">
        <v>21</v>
      </c>
      <c r="AE217" t="n">
        <v>21</v>
      </c>
      <c r="AF217" t="n">
        <v>5</v>
      </c>
      <c r="AG217" t="n">
        <v>5</v>
      </c>
      <c r="AH217" t="n">
        <v>3</v>
      </c>
      <c r="AI217" t="n">
        <v>3</v>
      </c>
      <c r="AJ217" t="n">
        <v>9</v>
      </c>
      <c r="AK217" t="n">
        <v>9</v>
      </c>
      <c r="AL217" t="n">
        <v>7</v>
      </c>
      <c r="AM217" t="n">
        <v>7</v>
      </c>
      <c r="AN217" t="n">
        <v>0</v>
      </c>
      <c r="AO217" t="n">
        <v>0</v>
      </c>
      <c r="AP217" t="inlineStr">
        <is>
          <t>No</t>
        </is>
      </c>
      <c r="AQ217" t="inlineStr">
        <is>
          <t>Yes</t>
        </is>
      </c>
      <c r="AR217">
        <f>HYPERLINK("http://catalog.hathitrust.org/Record/000098490","HathiTrust Record")</f>
        <v/>
      </c>
      <c r="AS217">
        <f>HYPERLINK("https://creighton-primo.hosted.exlibrisgroup.com/primo-explore/search?tab=default_tab&amp;search_scope=EVERYTHING&amp;vid=01CRU&amp;lang=en_US&amp;offset=0&amp;query=any,contains,991004804839702656","Catalog Record")</f>
        <v/>
      </c>
      <c r="AT217">
        <f>HYPERLINK("http://www.worldcat.org/oclc/5239680","WorldCat Record")</f>
        <v/>
      </c>
      <c r="AU217" t="inlineStr">
        <is>
          <t>16842895:eng</t>
        </is>
      </c>
      <c r="AV217" t="inlineStr">
        <is>
          <t>5239680</t>
        </is>
      </c>
      <c r="AW217" t="inlineStr">
        <is>
          <t>991004804839702656</t>
        </is>
      </c>
      <c r="AX217" t="inlineStr">
        <is>
          <t>991004804839702656</t>
        </is>
      </c>
      <c r="AY217" t="inlineStr">
        <is>
          <t>2264307430002656</t>
        </is>
      </c>
      <c r="AZ217" t="inlineStr">
        <is>
          <t>BOOK</t>
        </is>
      </c>
      <c r="BB217" t="inlineStr">
        <is>
          <t>9780582281073</t>
        </is>
      </c>
      <c r="BC217" t="inlineStr">
        <is>
          <t>32285001352367</t>
        </is>
      </c>
      <c r="BD217" t="inlineStr">
        <is>
          <t>893424209</t>
        </is>
      </c>
    </row>
    <row r="218">
      <c r="A218" t="inlineStr">
        <is>
          <t>No</t>
        </is>
      </c>
      <c r="B218" t="inlineStr">
        <is>
          <t>LB1025.2 .B58 1989</t>
        </is>
      </c>
      <c r="C218" t="inlineStr">
        <is>
          <t>0                      LB 1025200B  58          1989</t>
        </is>
      </c>
      <c r="D218" t="inlineStr">
        <is>
          <t>Being a successful teacher : a practical guide to instruction and management / Jane E. Bluestein.</t>
        </is>
      </c>
      <c r="F218" t="inlineStr">
        <is>
          <t>No</t>
        </is>
      </c>
      <c r="G218" t="inlineStr">
        <is>
          <t>1</t>
        </is>
      </c>
      <c r="H218" t="inlineStr">
        <is>
          <t>No</t>
        </is>
      </c>
      <c r="I218" t="inlineStr">
        <is>
          <t>No</t>
        </is>
      </c>
      <c r="J218" t="inlineStr">
        <is>
          <t>0</t>
        </is>
      </c>
      <c r="K218" t="inlineStr">
        <is>
          <t>Bluestein, Jane.</t>
        </is>
      </c>
      <c r="L218" t="inlineStr">
        <is>
          <t>Belmont, Calif. : Fearon Teacher Aids, a Division of David S. Lake Publishers, c1989.</t>
        </is>
      </c>
      <c r="M218" t="inlineStr">
        <is>
          <t>1989</t>
        </is>
      </c>
      <c r="N218" t="inlineStr">
        <is>
          <t>[2nd ed.]</t>
        </is>
      </c>
      <c r="O218" t="inlineStr">
        <is>
          <t>eng</t>
        </is>
      </c>
      <c r="P218" t="inlineStr">
        <is>
          <t>cau</t>
        </is>
      </c>
      <c r="Q218" t="inlineStr">
        <is>
          <t>Fearon teacher aids ; FE-6791</t>
        </is>
      </c>
      <c r="R218" t="inlineStr">
        <is>
          <t xml:space="preserve">LB </t>
        </is>
      </c>
      <c r="S218" t="n">
        <v>8</v>
      </c>
      <c r="T218" t="n">
        <v>8</v>
      </c>
      <c r="U218" t="inlineStr">
        <is>
          <t>2007-02-06</t>
        </is>
      </c>
      <c r="V218" t="inlineStr">
        <is>
          <t>2007-02-06</t>
        </is>
      </c>
      <c r="W218" t="inlineStr">
        <is>
          <t>1990-06-04</t>
        </is>
      </c>
      <c r="X218" t="inlineStr">
        <is>
          <t>1990-06-04</t>
        </is>
      </c>
      <c r="Y218" t="n">
        <v>197</v>
      </c>
      <c r="Z218" t="n">
        <v>182</v>
      </c>
      <c r="AA218" t="n">
        <v>190</v>
      </c>
      <c r="AB218" t="n">
        <v>6</v>
      </c>
      <c r="AC218" t="n">
        <v>6</v>
      </c>
      <c r="AD218" t="n">
        <v>7</v>
      </c>
      <c r="AE218" t="n">
        <v>7</v>
      </c>
      <c r="AF218" t="n">
        <v>2</v>
      </c>
      <c r="AG218" t="n">
        <v>2</v>
      </c>
      <c r="AH218" t="n">
        <v>0</v>
      </c>
      <c r="AI218" t="n">
        <v>0</v>
      </c>
      <c r="AJ218" t="n">
        <v>2</v>
      </c>
      <c r="AK218" t="n">
        <v>2</v>
      </c>
      <c r="AL218" t="n">
        <v>4</v>
      </c>
      <c r="AM218" t="n">
        <v>4</v>
      </c>
      <c r="AN218" t="n">
        <v>0</v>
      </c>
      <c r="AO218" t="n">
        <v>0</v>
      </c>
      <c r="AP218" t="inlineStr">
        <is>
          <t>No</t>
        </is>
      </c>
      <c r="AQ218" t="inlineStr">
        <is>
          <t>Yes</t>
        </is>
      </c>
      <c r="AR218">
        <f>HYPERLINK("http://catalog.hathitrust.org/Record/009920414","HathiTrust Record")</f>
        <v/>
      </c>
      <c r="AS218">
        <f>HYPERLINK("https://creighton-primo.hosted.exlibrisgroup.com/primo-explore/search?tab=default_tab&amp;search_scope=EVERYTHING&amp;vid=01CRU&amp;lang=en_US&amp;offset=0&amp;query=any,contains,991001371759702656","Catalog Record")</f>
        <v/>
      </c>
      <c r="AT218">
        <f>HYPERLINK("http://www.worldcat.org/oclc/18584362","WorldCat Record")</f>
        <v/>
      </c>
      <c r="AU218" t="inlineStr">
        <is>
          <t>3589762:eng</t>
        </is>
      </c>
      <c r="AV218" t="inlineStr">
        <is>
          <t>18584362</t>
        </is>
      </c>
      <c r="AW218" t="inlineStr">
        <is>
          <t>991001371759702656</t>
        </is>
      </c>
      <c r="AX218" t="inlineStr">
        <is>
          <t>991001371759702656</t>
        </is>
      </c>
      <c r="AY218" t="inlineStr">
        <is>
          <t>2268478730002656</t>
        </is>
      </c>
      <c r="AZ218" t="inlineStr">
        <is>
          <t>BOOK</t>
        </is>
      </c>
      <c r="BB218" t="inlineStr">
        <is>
          <t>9780822467915</t>
        </is>
      </c>
      <c r="BC218" t="inlineStr">
        <is>
          <t>32285000156900</t>
        </is>
      </c>
      <c r="BD218" t="inlineStr">
        <is>
          <t>893891524</t>
        </is>
      </c>
    </row>
    <row r="219">
      <c r="A219" t="inlineStr">
        <is>
          <t>No</t>
        </is>
      </c>
      <c r="B219" t="inlineStr">
        <is>
          <t>LB1025.2 .C269 1984</t>
        </is>
      </c>
      <c r="C219" t="inlineStr">
        <is>
          <t>0                      LB 1025200C  269         1984</t>
        </is>
      </c>
      <c r="D219" t="inlineStr">
        <is>
          <t>The growing teacher : how to become the teacher you've always wanted to be / Jon Carlson and Casey Thorpe.</t>
        </is>
      </c>
      <c r="F219" t="inlineStr">
        <is>
          <t>No</t>
        </is>
      </c>
      <c r="G219" t="inlineStr">
        <is>
          <t>1</t>
        </is>
      </c>
      <c r="H219" t="inlineStr">
        <is>
          <t>No</t>
        </is>
      </c>
      <c r="I219" t="inlineStr">
        <is>
          <t>No</t>
        </is>
      </c>
      <c r="J219" t="inlineStr">
        <is>
          <t>0</t>
        </is>
      </c>
      <c r="K219" t="inlineStr">
        <is>
          <t>Carlson, Jon.</t>
        </is>
      </c>
      <c r="L219" t="inlineStr">
        <is>
          <t>Englewood Cliffs, N.J. : Prentice-Hall, c1984.</t>
        </is>
      </c>
      <c r="M219" t="inlineStr">
        <is>
          <t>1984</t>
        </is>
      </c>
      <c r="O219" t="inlineStr">
        <is>
          <t>eng</t>
        </is>
      </c>
      <c r="P219" t="inlineStr">
        <is>
          <t>nju</t>
        </is>
      </c>
      <c r="R219" t="inlineStr">
        <is>
          <t xml:space="preserve">LB </t>
        </is>
      </c>
      <c r="S219" t="n">
        <v>9</v>
      </c>
      <c r="T219" t="n">
        <v>9</v>
      </c>
      <c r="U219" t="inlineStr">
        <is>
          <t>2009-02-06</t>
        </is>
      </c>
      <c r="V219" t="inlineStr">
        <is>
          <t>2009-02-06</t>
        </is>
      </c>
      <c r="W219" t="inlineStr">
        <is>
          <t>1990-07-02</t>
        </is>
      </c>
      <c r="X219" t="inlineStr">
        <is>
          <t>1990-07-02</t>
        </is>
      </c>
      <c r="Y219" t="n">
        <v>189</v>
      </c>
      <c r="Z219" t="n">
        <v>164</v>
      </c>
      <c r="AA219" t="n">
        <v>164</v>
      </c>
      <c r="AB219" t="n">
        <v>3</v>
      </c>
      <c r="AC219" t="n">
        <v>3</v>
      </c>
      <c r="AD219" t="n">
        <v>2</v>
      </c>
      <c r="AE219" t="n">
        <v>2</v>
      </c>
      <c r="AF219" t="n">
        <v>1</v>
      </c>
      <c r="AG219" t="n">
        <v>1</v>
      </c>
      <c r="AH219" t="n">
        <v>0</v>
      </c>
      <c r="AI219" t="n">
        <v>0</v>
      </c>
      <c r="AJ219" t="n">
        <v>1</v>
      </c>
      <c r="AK219" t="n">
        <v>1</v>
      </c>
      <c r="AL219" t="n">
        <v>1</v>
      </c>
      <c r="AM219" t="n">
        <v>1</v>
      </c>
      <c r="AN219" t="n">
        <v>0</v>
      </c>
      <c r="AO219" t="n">
        <v>0</v>
      </c>
      <c r="AP219" t="inlineStr">
        <is>
          <t>No</t>
        </is>
      </c>
      <c r="AQ219" t="inlineStr">
        <is>
          <t>No</t>
        </is>
      </c>
      <c r="AS219">
        <f>HYPERLINK("https://creighton-primo.hosted.exlibrisgroup.com/primo-explore/search?tab=default_tab&amp;search_scope=EVERYTHING&amp;vid=01CRU&amp;lang=en_US&amp;offset=0&amp;query=any,contains,991000450619702656","Catalog Record")</f>
        <v/>
      </c>
      <c r="AT219">
        <f>HYPERLINK("http://www.worldcat.org/oclc/10878706","WorldCat Record")</f>
        <v/>
      </c>
      <c r="AU219" t="inlineStr">
        <is>
          <t>472577368:eng</t>
        </is>
      </c>
      <c r="AV219" t="inlineStr">
        <is>
          <t>10878706</t>
        </is>
      </c>
      <c r="AW219" t="inlineStr">
        <is>
          <t>991000450619702656</t>
        </is>
      </c>
      <c r="AX219" t="inlineStr">
        <is>
          <t>991000450619702656</t>
        </is>
      </c>
      <c r="AY219" t="inlineStr">
        <is>
          <t>2272697410002656</t>
        </is>
      </c>
      <c r="AZ219" t="inlineStr">
        <is>
          <t>BOOK</t>
        </is>
      </c>
      <c r="BB219" t="inlineStr">
        <is>
          <t>9780133666915</t>
        </is>
      </c>
      <c r="BC219" t="inlineStr">
        <is>
          <t>32285000225481</t>
        </is>
      </c>
      <c r="BD219" t="inlineStr">
        <is>
          <t>893689699</t>
        </is>
      </c>
    </row>
    <row r="220">
      <c r="A220" t="inlineStr">
        <is>
          <t>No</t>
        </is>
      </c>
      <c r="B220" t="inlineStr">
        <is>
          <t>LB1025.2 .C5496 1990</t>
        </is>
      </c>
      <c r="C220" t="inlineStr">
        <is>
          <t>0                      LB 1025200C  5496        1990</t>
        </is>
      </c>
      <c r="D220" t="inlineStr">
        <is>
          <t>Teaching : an introduction / D. Cecil Clark, Beverly Romney Cutler.</t>
        </is>
      </c>
      <c r="F220" t="inlineStr">
        <is>
          <t>No</t>
        </is>
      </c>
      <c r="G220" t="inlineStr">
        <is>
          <t>1</t>
        </is>
      </c>
      <c r="H220" t="inlineStr">
        <is>
          <t>No</t>
        </is>
      </c>
      <c r="I220" t="inlineStr">
        <is>
          <t>No</t>
        </is>
      </c>
      <c r="J220" t="inlineStr">
        <is>
          <t>0</t>
        </is>
      </c>
      <c r="K220" t="inlineStr">
        <is>
          <t>Clark, D. Cecil.</t>
        </is>
      </c>
      <c r="L220" t="inlineStr">
        <is>
          <t>San Diego : Harcourt Brace Jovanovich, c1990.</t>
        </is>
      </c>
      <c r="M220" t="inlineStr">
        <is>
          <t>1990</t>
        </is>
      </c>
      <c r="O220" t="inlineStr">
        <is>
          <t>eng</t>
        </is>
      </c>
      <c r="P220" t="inlineStr">
        <is>
          <t>cau</t>
        </is>
      </c>
      <c r="R220" t="inlineStr">
        <is>
          <t xml:space="preserve">LB </t>
        </is>
      </c>
      <c r="S220" t="n">
        <v>21</v>
      </c>
      <c r="T220" t="n">
        <v>21</v>
      </c>
      <c r="U220" t="inlineStr">
        <is>
          <t>2006-02-19</t>
        </is>
      </c>
      <c r="V220" t="inlineStr">
        <is>
          <t>2006-02-19</t>
        </is>
      </c>
      <c r="W220" t="inlineStr">
        <is>
          <t>1990-12-19</t>
        </is>
      </c>
      <c r="X220" t="inlineStr">
        <is>
          <t>1990-12-19</t>
        </is>
      </c>
      <c r="Y220" t="n">
        <v>126</v>
      </c>
      <c r="Z220" t="n">
        <v>97</v>
      </c>
      <c r="AA220" t="n">
        <v>97</v>
      </c>
      <c r="AB220" t="n">
        <v>2</v>
      </c>
      <c r="AC220" t="n">
        <v>2</v>
      </c>
      <c r="AD220" t="n">
        <v>2</v>
      </c>
      <c r="AE220" t="n">
        <v>2</v>
      </c>
      <c r="AF220" t="n">
        <v>1</v>
      </c>
      <c r="AG220" t="n">
        <v>1</v>
      </c>
      <c r="AH220" t="n">
        <v>0</v>
      </c>
      <c r="AI220" t="n">
        <v>0</v>
      </c>
      <c r="AJ220" t="n">
        <v>1</v>
      </c>
      <c r="AK220" t="n">
        <v>1</v>
      </c>
      <c r="AL220" t="n">
        <v>1</v>
      </c>
      <c r="AM220" t="n">
        <v>1</v>
      </c>
      <c r="AN220" t="n">
        <v>0</v>
      </c>
      <c r="AO220" t="n">
        <v>0</v>
      </c>
      <c r="AP220" t="inlineStr">
        <is>
          <t>No</t>
        </is>
      </c>
      <c r="AQ220" t="inlineStr">
        <is>
          <t>No</t>
        </is>
      </c>
      <c r="AS220">
        <f>HYPERLINK("https://creighton-primo.hosted.exlibrisgroup.com/primo-explore/search?tab=default_tab&amp;search_scope=EVERYTHING&amp;vid=01CRU&amp;lang=en_US&amp;offset=0&amp;query=any,contains,991001662129702656","Catalog Record")</f>
        <v/>
      </c>
      <c r="AT220">
        <f>HYPERLINK("http://www.worldcat.org/oclc/21191984","WorldCat Record")</f>
        <v/>
      </c>
      <c r="AU220" t="inlineStr">
        <is>
          <t>902458010:eng</t>
        </is>
      </c>
      <c r="AV220" t="inlineStr">
        <is>
          <t>21191984</t>
        </is>
      </c>
      <c r="AW220" t="inlineStr">
        <is>
          <t>991001662129702656</t>
        </is>
      </c>
      <c r="AX220" t="inlineStr">
        <is>
          <t>991001662129702656</t>
        </is>
      </c>
      <c r="AY220" t="inlineStr">
        <is>
          <t>2270045260002656</t>
        </is>
      </c>
      <c r="AZ220" t="inlineStr">
        <is>
          <t>BOOK</t>
        </is>
      </c>
      <c r="BB220" t="inlineStr">
        <is>
          <t>9780155865976</t>
        </is>
      </c>
      <c r="BC220" t="inlineStr">
        <is>
          <t>32285000405273</t>
        </is>
      </c>
      <c r="BD220" t="inlineStr">
        <is>
          <t>893709443</t>
        </is>
      </c>
    </row>
    <row r="221">
      <c r="A221" t="inlineStr">
        <is>
          <t>No</t>
        </is>
      </c>
      <c r="B221" t="inlineStr">
        <is>
          <t>LB1025.2 .C55</t>
        </is>
      </c>
      <c r="C221" t="inlineStr">
        <is>
          <t>0                      LB 1025200C  55</t>
        </is>
      </c>
      <c r="D221" t="inlineStr">
        <is>
          <t>Humanistic teaching / [by] Donald H. Clark [and] Asya L. Kadis.</t>
        </is>
      </c>
      <c r="F221" t="inlineStr">
        <is>
          <t>No</t>
        </is>
      </c>
      <c r="G221" t="inlineStr">
        <is>
          <t>1</t>
        </is>
      </c>
      <c r="H221" t="inlineStr">
        <is>
          <t>No</t>
        </is>
      </c>
      <c r="I221" t="inlineStr">
        <is>
          <t>No</t>
        </is>
      </c>
      <c r="J221" t="inlineStr">
        <is>
          <t>0</t>
        </is>
      </c>
      <c r="K221" t="inlineStr">
        <is>
          <t>Clark, Donald H., 1930-</t>
        </is>
      </c>
      <c r="L221" t="inlineStr">
        <is>
          <t>Columbus, Ohio : Merrill, [1971]</t>
        </is>
      </c>
      <c r="M221" t="inlineStr">
        <is>
          <t>1971</t>
        </is>
      </c>
      <c r="O221" t="inlineStr">
        <is>
          <t>eng</t>
        </is>
      </c>
      <c r="P221" t="inlineStr">
        <is>
          <t>ohu</t>
        </is>
      </c>
      <c r="Q221" t="inlineStr">
        <is>
          <t>Studies of the person</t>
        </is>
      </c>
      <c r="R221" t="inlineStr">
        <is>
          <t xml:space="preserve">LB </t>
        </is>
      </c>
      <c r="S221" t="n">
        <v>5</v>
      </c>
      <c r="T221" t="n">
        <v>5</v>
      </c>
      <c r="U221" t="inlineStr">
        <is>
          <t>2006-12-04</t>
        </is>
      </c>
      <c r="V221" t="inlineStr">
        <is>
          <t>2006-12-04</t>
        </is>
      </c>
      <c r="W221" t="inlineStr">
        <is>
          <t>1993-05-28</t>
        </is>
      </c>
      <c r="X221" t="inlineStr">
        <is>
          <t>1993-05-28</t>
        </is>
      </c>
      <c r="Y221" t="n">
        <v>317</v>
      </c>
      <c r="Z221" t="n">
        <v>253</v>
      </c>
      <c r="AA221" t="n">
        <v>261</v>
      </c>
      <c r="AB221" t="n">
        <v>3</v>
      </c>
      <c r="AC221" t="n">
        <v>3</v>
      </c>
      <c r="AD221" t="n">
        <v>11</v>
      </c>
      <c r="AE221" t="n">
        <v>11</v>
      </c>
      <c r="AF221" t="n">
        <v>3</v>
      </c>
      <c r="AG221" t="n">
        <v>3</v>
      </c>
      <c r="AH221" t="n">
        <v>3</v>
      </c>
      <c r="AI221" t="n">
        <v>3</v>
      </c>
      <c r="AJ221" t="n">
        <v>6</v>
      </c>
      <c r="AK221" t="n">
        <v>6</v>
      </c>
      <c r="AL221" t="n">
        <v>2</v>
      </c>
      <c r="AM221" t="n">
        <v>2</v>
      </c>
      <c r="AN221" t="n">
        <v>0</v>
      </c>
      <c r="AO221" t="n">
        <v>0</v>
      </c>
      <c r="AP221" t="inlineStr">
        <is>
          <t>No</t>
        </is>
      </c>
      <c r="AQ221" t="inlineStr">
        <is>
          <t>Yes</t>
        </is>
      </c>
      <c r="AR221">
        <f>HYPERLINK("http://catalog.hathitrust.org/Record/009912007","HathiTrust Record")</f>
        <v/>
      </c>
      <c r="AS221">
        <f>HYPERLINK("https://creighton-primo.hosted.exlibrisgroup.com/primo-explore/search?tab=default_tab&amp;search_scope=EVERYTHING&amp;vid=01CRU&amp;lang=en_US&amp;offset=0&amp;query=any,contains,991001234199702656","Catalog Record")</f>
        <v/>
      </c>
      <c r="AT221">
        <f>HYPERLINK("http://www.worldcat.org/oclc/204508","WorldCat Record")</f>
        <v/>
      </c>
      <c r="AU221" t="inlineStr">
        <is>
          <t>1862719272:eng</t>
        </is>
      </c>
      <c r="AV221" t="inlineStr">
        <is>
          <t>204508</t>
        </is>
      </c>
      <c r="AW221" t="inlineStr">
        <is>
          <t>991001234199702656</t>
        </is>
      </c>
      <c r="AX221" t="inlineStr">
        <is>
          <t>991001234199702656</t>
        </is>
      </c>
      <c r="AY221" t="inlineStr">
        <is>
          <t>2255557570002656</t>
        </is>
      </c>
      <c r="AZ221" t="inlineStr">
        <is>
          <t>BOOK</t>
        </is>
      </c>
      <c r="BB221" t="inlineStr">
        <is>
          <t>9780675096263</t>
        </is>
      </c>
      <c r="BC221" t="inlineStr">
        <is>
          <t>32285001693380</t>
        </is>
      </c>
      <c r="BD221" t="inlineStr">
        <is>
          <t>893797418</t>
        </is>
      </c>
    </row>
    <row r="222">
      <c r="A222" t="inlineStr">
        <is>
          <t>No</t>
        </is>
      </c>
      <c r="B222" t="inlineStr">
        <is>
          <t>LB1025.2 .C572 1984</t>
        </is>
      </c>
      <c r="C222" t="inlineStr">
        <is>
          <t>0                      LB 1025200C  572         1984</t>
        </is>
      </c>
      <c r="D222" t="inlineStr">
        <is>
          <t>Classroom teaching skills : the research findings of the Teacher Education Project / edited by E.C. Wragg.</t>
        </is>
      </c>
      <c r="F222" t="inlineStr">
        <is>
          <t>No</t>
        </is>
      </c>
      <c r="G222" t="inlineStr">
        <is>
          <t>1</t>
        </is>
      </c>
      <c r="H222" t="inlineStr">
        <is>
          <t>No</t>
        </is>
      </c>
      <c r="I222" t="inlineStr">
        <is>
          <t>No</t>
        </is>
      </c>
      <c r="J222" t="inlineStr">
        <is>
          <t>0</t>
        </is>
      </c>
      <c r="L222" t="inlineStr">
        <is>
          <t>London : Croom Helm ; New York : Nichols Pub. Co., 1984.</t>
        </is>
      </c>
      <c r="M222" t="inlineStr">
        <is>
          <t>1984</t>
        </is>
      </c>
      <c r="O222" t="inlineStr">
        <is>
          <t>eng</t>
        </is>
      </c>
      <c r="P222" t="inlineStr">
        <is>
          <t>enk</t>
        </is>
      </c>
      <c r="R222" t="inlineStr">
        <is>
          <t xml:space="preserve">LB </t>
        </is>
      </c>
      <c r="S222" t="n">
        <v>7</v>
      </c>
      <c r="T222" t="n">
        <v>7</v>
      </c>
      <c r="U222" t="inlineStr">
        <is>
          <t>2006-02-13</t>
        </is>
      </c>
      <c r="V222" t="inlineStr">
        <is>
          <t>2006-02-13</t>
        </is>
      </c>
      <c r="W222" t="inlineStr">
        <is>
          <t>1992-10-20</t>
        </is>
      </c>
      <c r="X222" t="inlineStr">
        <is>
          <t>1992-10-20</t>
        </is>
      </c>
      <c r="Y222" t="n">
        <v>448</v>
      </c>
      <c r="Z222" t="n">
        <v>277</v>
      </c>
      <c r="AA222" t="n">
        <v>313</v>
      </c>
      <c r="AB222" t="n">
        <v>2</v>
      </c>
      <c r="AC222" t="n">
        <v>2</v>
      </c>
      <c r="AD222" t="n">
        <v>9</v>
      </c>
      <c r="AE222" t="n">
        <v>9</v>
      </c>
      <c r="AF222" t="n">
        <v>4</v>
      </c>
      <c r="AG222" t="n">
        <v>4</v>
      </c>
      <c r="AH222" t="n">
        <v>1</v>
      </c>
      <c r="AI222" t="n">
        <v>1</v>
      </c>
      <c r="AJ222" t="n">
        <v>5</v>
      </c>
      <c r="AK222" t="n">
        <v>5</v>
      </c>
      <c r="AL222" t="n">
        <v>1</v>
      </c>
      <c r="AM222" t="n">
        <v>1</v>
      </c>
      <c r="AN222" t="n">
        <v>0</v>
      </c>
      <c r="AO222" t="n">
        <v>0</v>
      </c>
      <c r="AP222" t="inlineStr">
        <is>
          <t>No</t>
        </is>
      </c>
      <c r="AQ222" t="inlineStr">
        <is>
          <t>No</t>
        </is>
      </c>
      <c r="AS222">
        <f>HYPERLINK("https://creighton-primo.hosted.exlibrisgroup.com/primo-explore/search?tab=default_tab&amp;search_scope=EVERYTHING&amp;vid=01CRU&amp;lang=en_US&amp;offset=0&amp;query=any,contains,991000341329702656","Catalog Record")</f>
        <v/>
      </c>
      <c r="AT222">
        <f>HYPERLINK("http://www.worldcat.org/oclc/10273036","WorldCat Record")</f>
        <v/>
      </c>
      <c r="AU222" t="inlineStr">
        <is>
          <t>1047533793:eng</t>
        </is>
      </c>
      <c r="AV222" t="inlineStr">
        <is>
          <t>10273036</t>
        </is>
      </c>
      <c r="AW222" t="inlineStr">
        <is>
          <t>991000341329702656</t>
        </is>
      </c>
      <c r="AX222" t="inlineStr">
        <is>
          <t>991000341329702656</t>
        </is>
      </c>
      <c r="AY222" t="inlineStr">
        <is>
          <t>2267502860002656</t>
        </is>
      </c>
      <c r="AZ222" t="inlineStr">
        <is>
          <t>BOOK</t>
        </is>
      </c>
      <c r="BB222" t="inlineStr">
        <is>
          <t>9780893971878</t>
        </is>
      </c>
      <c r="BC222" t="inlineStr">
        <is>
          <t>32285001352433</t>
        </is>
      </c>
      <c r="BD222" t="inlineStr">
        <is>
          <t>893601666</t>
        </is>
      </c>
    </row>
    <row r="223">
      <c r="A223" t="inlineStr">
        <is>
          <t>No</t>
        </is>
      </c>
      <c r="B223" t="inlineStr">
        <is>
          <t>LB1025.2 .C68</t>
        </is>
      </c>
      <c r="C223" t="inlineStr">
        <is>
          <t>0                      LB 1025200C  68</t>
        </is>
      </c>
      <c r="D223" t="inlineStr">
        <is>
          <t>Teaching is tough / Donald R. Cruickshank and associates.</t>
        </is>
      </c>
      <c r="F223" t="inlineStr">
        <is>
          <t>No</t>
        </is>
      </c>
      <c r="G223" t="inlineStr">
        <is>
          <t>1</t>
        </is>
      </c>
      <c r="H223" t="inlineStr">
        <is>
          <t>No</t>
        </is>
      </c>
      <c r="I223" t="inlineStr">
        <is>
          <t>No</t>
        </is>
      </c>
      <c r="J223" t="inlineStr">
        <is>
          <t>0</t>
        </is>
      </c>
      <c r="K223" t="inlineStr">
        <is>
          <t>Cruickshank, Donald R.</t>
        </is>
      </c>
      <c r="L223" t="inlineStr">
        <is>
          <t>Englewood Cliffs, N.J. : Prentice-Hall, c1980.</t>
        </is>
      </c>
      <c r="M223" t="inlineStr">
        <is>
          <t>1980</t>
        </is>
      </c>
      <c r="O223" t="inlineStr">
        <is>
          <t>eng</t>
        </is>
      </c>
      <c r="P223" t="inlineStr">
        <is>
          <t>nju</t>
        </is>
      </c>
      <c r="Q223" t="inlineStr">
        <is>
          <t>A Spectrum book</t>
        </is>
      </c>
      <c r="R223" t="inlineStr">
        <is>
          <t xml:space="preserve">LB </t>
        </is>
      </c>
      <c r="S223" t="n">
        <v>10</v>
      </c>
      <c r="T223" t="n">
        <v>10</v>
      </c>
      <c r="U223" t="inlineStr">
        <is>
          <t>2006-04-20</t>
        </is>
      </c>
      <c r="V223" t="inlineStr">
        <is>
          <t>2006-04-20</t>
        </is>
      </c>
      <c r="W223" t="inlineStr">
        <is>
          <t>1990-07-02</t>
        </is>
      </c>
      <c r="X223" t="inlineStr">
        <is>
          <t>1990-07-02</t>
        </is>
      </c>
      <c r="Y223" t="n">
        <v>388</v>
      </c>
      <c r="Z223" t="n">
        <v>314</v>
      </c>
      <c r="AA223" t="n">
        <v>315</v>
      </c>
      <c r="AB223" t="n">
        <v>4</v>
      </c>
      <c r="AC223" t="n">
        <v>4</v>
      </c>
      <c r="AD223" t="n">
        <v>12</v>
      </c>
      <c r="AE223" t="n">
        <v>12</v>
      </c>
      <c r="AF223" t="n">
        <v>6</v>
      </c>
      <c r="AG223" t="n">
        <v>6</v>
      </c>
      <c r="AH223" t="n">
        <v>2</v>
      </c>
      <c r="AI223" t="n">
        <v>2</v>
      </c>
      <c r="AJ223" t="n">
        <v>4</v>
      </c>
      <c r="AK223" t="n">
        <v>4</v>
      </c>
      <c r="AL223" t="n">
        <v>3</v>
      </c>
      <c r="AM223" t="n">
        <v>3</v>
      </c>
      <c r="AN223" t="n">
        <v>0</v>
      </c>
      <c r="AO223" t="n">
        <v>0</v>
      </c>
      <c r="AP223" t="inlineStr">
        <is>
          <t>No</t>
        </is>
      </c>
      <c r="AQ223" t="inlineStr">
        <is>
          <t>Yes</t>
        </is>
      </c>
      <c r="AR223">
        <f>HYPERLINK("http://catalog.hathitrust.org/Record/000140368","HathiTrust Record")</f>
        <v/>
      </c>
      <c r="AS223">
        <f>HYPERLINK("https://creighton-primo.hosted.exlibrisgroup.com/primo-explore/search?tab=default_tab&amp;search_scope=EVERYTHING&amp;vid=01CRU&amp;lang=en_US&amp;offset=0&amp;query=any,contains,991004954749702656","Catalog Record")</f>
        <v/>
      </c>
      <c r="AT223">
        <f>HYPERLINK("http://www.worldcat.org/oclc/6277381","WorldCat Record")</f>
        <v/>
      </c>
      <c r="AU223" t="inlineStr">
        <is>
          <t>21595303:eng</t>
        </is>
      </c>
      <c r="AV223" t="inlineStr">
        <is>
          <t>6277381</t>
        </is>
      </c>
      <c r="AW223" t="inlineStr">
        <is>
          <t>991004954749702656</t>
        </is>
      </c>
      <c r="AX223" t="inlineStr">
        <is>
          <t>991004954749702656</t>
        </is>
      </c>
      <c r="AY223" t="inlineStr">
        <is>
          <t>2268784230002656</t>
        </is>
      </c>
      <c r="AZ223" t="inlineStr">
        <is>
          <t>BOOK</t>
        </is>
      </c>
      <c r="BB223" t="inlineStr">
        <is>
          <t>9780138934873</t>
        </is>
      </c>
      <c r="BC223" t="inlineStr">
        <is>
          <t>32285000220508</t>
        </is>
      </c>
      <c r="BD223" t="inlineStr">
        <is>
          <t>893694548</t>
        </is>
      </c>
    </row>
    <row r="224">
      <c r="A224" t="inlineStr">
        <is>
          <t>No</t>
        </is>
      </c>
      <c r="B224" t="inlineStr">
        <is>
          <t>LB1025.2 .D84</t>
        </is>
      </c>
      <c r="C224" t="inlineStr">
        <is>
          <t>0                      LB 1025200D  84</t>
        </is>
      </c>
      <c r="D224" t="inlineStr">
        <is>
          <t>Teaching with charisma / Lloyd Duck.</t>
        </is>
      </c>
      <c r="F224" t="inlineStr">
        <is>
          <t>No</t>
        </is>
      </c>
      <c r="G224" t="inlineStr">
        <is>
          <t>1</t>
        </is>
      </c>
      <c r="H224" t="inlineStr">
        <is>
          <t>No</t>
        </is>
      </c>
      <c r="I224" t="inlineStr">
        <is>
          <t>No</t>
        </is>
      </c>
      <c r="J224" t="inlineStr">
        <is>
          <t>0</t>
        </is>
      </c>
      <c r="K224" t="inlineStr">
        <is>
          <t>Duck, Lloyd.</t>
        </is>
      </c>
      <c r="L224" t="inlineStr">
        <is>
          <t>Boston : Allyn and Bacon, 1981.</t>
        </is>
      </c>
      <c r="M224" t="inlineStr">
        <is>
          <t>1981</t>
        </is>
      </c>
      <c r="O224" t="inlineStr">
        <is>
          <t>eng</t>
        </is>
      </c>
      <c r="P224" t="inlineStr">
        <is>
          <t>mau</t>
        </is>
      </c>
      <c r="R224" t="inlineStr">
        <is>
          <t xml:space="preserve">LB </t>
        </is>
      </c>
      <c r="S224" t="n">
        <v>3</v>
      </c>
      <c r="T224" t="n">
        <v>3</v>
      </c>
      <c r="U224" t="inlineStr">
        <is>
          <t>2008-01-31</t>
        </is>
      </c>
      <c r="V224" t="inlineStr">
        <is>
          <t>2008-01-31</t>
        </is>
      </c>
      <c r="W224" t="inlineStr">
        <is>
          <t>1992-10-20</t>
        </is>
      </c>
      <c r="X224" t="inlineStr">
        <is>
          <t>1992-10-20</t>
        </is>
      </c>
      <c r="Y224" t="n">
        <v>611</v>
      </c>
      <c r="Z224" t="n">
        <v>542</v>
      </c>
      <c r="AA224" t="n">
        <v>543</v>
      </c>
      <c r="AB224" t="n">
        <v>5</v>
      </c>
      <c r="AC224" t="n">
        <v>5</v>
      </c>
      <c r="AD224" t="n">
        <v>25</v>
      </c>
      <c r="AE224" t="n">
        <v>25</v>
      </c>
      <c r="AF224" t="n">
        <v>10</v>
      </c>
      <c r="AG224" t="n">
        <v>10</v>
      </c>
      <c r="AH224" t="n">
        <v>4</v>
      </c>
      <c r="AI224" t="n">
        <v>4</v>
      </c>
      <c r="AJ224" t="n">
        <v>12</v>
      </c>
      <c r="AK224" t="n">
        <v>12</v>
      </c>
      <c r="AL224" t="n">
        <v>4</v>
      </c>
      <c r="AM224" t="n">
        <v>4</v>
      </c>
      <c r="AN224" t="n">
        <v>0</v>
      </c>
      <c r="AO224" t="n">
        <v>0</v>
      </c>
      <c r="AP224" t="inlineStr">
        <is>
          <t>No</t>
        </is>
      </c>
      <c r="AQ224" t="inlineStr">
        <is>
          <t>Yes</t>
        </is>
      </c>
      <c r="AR224">
        <f>HYPERLINK("http://catalog.hathitrust.org/Record/000182047","HathiTrust Record")</f>
        <v/>
      </c>
      <c r="AS224">
        <f>HYPERLINK("https://creighton-primo.hosted.exlibrisgroup.com/primo-explore/search?tab=default_tab&amp;search_scope=EVERYTHING&amp;vid=01CRU&amp;lang=en_US&amp;offset=0&amp;query=any,contains,991005003679702656","Catalog Record")</f>
        <v/>
      </c>
      <c r="AT224">
        <f>HYPERLINK("http://www.worldcat.org/oclc/6555355","WorldCat Record")</f>
        <v/>
      </c>
      <c r="AU224" t="inlineStr">
        <is>
          <t>22733239:eng</t>
        </is>
      </c>
      <c r="AV224" t="inlineStr">
        <is>
          <t>6555355</t>
        </is>
      </c>
      <c r="AW224" t="inlineStr">
        <is>
          <t>991005003679702656</t>
        </is>
      </c>
      <c r="AX224" t="inlineStr">
        <is>
          <t>991005003679702656</t>
        </is>
      </c>
      <c r="AY224" t="inlineStr">
        <is>
          <t>2255086150002656</t>
        </is>
      </c>
      <c r="AZ224" t="inlineStr">
        <is>
          <t>BOOK</t>
        </is>
      </c>
      <c r="BB224" t="inlineStr">
        <is>
          <t>9780205072576</t>
        </is>
      </c>
      <c r="BC224" t="inlineStr">
        <is>
          <t>32285001352482</t>
        </is>
      </c>
      <c r="BD224" t="inlineStr">
        <is>
          <t>893248208</t>
        </is>
      </c>
    </row>
    <row r="225">
      <c r="A225" t="inlineStr">
        <is>
          <t>No</t>
        </is>
      </c>
      <c r="B225" t="inlineStr">
        <is>
          <t>LB1025.2 .D86</t>
        </is>
      </c>
      <c r="C225" t="inlineStr">
        <is>
          <t>0                      LB 1025200D  86</t>
        </is>
      </c>
      <c r="D225" t="inlineStr">
        <is>
          <t>The study of teaching [by] Michael J. Dunkin [and] Bruce J. Biddle.</t>
        </is>
      </c>
      <c r="F225" t="inlineStr">
        <is>
          <t>No</t>
        </is>
      </c>
      <c r="G225" t="inlineStr">
        <is>
          <t>1</t>
        </is>
      </c>
      <c r="H225" t="inlineStr">
        <is>
          <t>No</t>
        </is>
      </c>
      <c r="I225" t="inlineStr">
        <is>
          <t>No</t>
        </is>
      </c>
      <c r="J225" t="inlineStr">
        <is>
          <t>0</t>
        </is>
      </c>
      <c r="K225" t="inlineStr">
        <is>
          <t>Dunkin, Michael J.</t>
        </is>
      </c>
      <c r="L225" t="inlineStr">
        <is>
          <t>New York, Holt, Rinehart and Winston [1974]</t>
        </is>
      </c>
      <c r="M225" t="inlineStr">
        <is>
          <t>1974</t>
        </is>
      </c>
      <c r="O225" t="inlineStr">
        <is>
          <t>eng</t>
        </is>
      </c>
      <c r="P225" t="inlineStr">
        <is>
          <t>nyu</t>
        </is>
      </c>
      <c r="R225" t="inlineStr">
        <is>
          <t xml:space="preserve">LB </t>
        </is>
      </c>
      <c r="S225" t="n">
        <v>5</v>
      </c>
      <c r="T225" t="n">
        <v>5</v>
      </c>
      <c r="U225" t="inlineStr">
        <is>
          <t>2006-02-13</t>
        </is>
      </c>
      <c r="V225" t="inlineStr">
        <is>
          <t>2006-02-13</t>
        </is>
      </c>
      <c r="W225" t="inlineStr">
        <is>
          <t>1990-07-02</t>
        </is>
      </c>
      <c r="X225" t="inlineStr">
        <is>
          <t>1990-07-02</t>
        </is>
      </c>
      <c r="Y225" t="n">
        <v>489</v>
      </c>
      <c r="Z225" t="n">
        <v>310</v>
      </c>
      <c r="AA225" t="n">
        <v>441</v>
      </c>
      <c r="AB225" t="n">
        <v>3</v>
      </c>
      <c r="AC225" t="n">
        <v>5</v>
      </c>
      <c r="AD225" t="n">
        <v>16</v>
      </c>
      <c r="AE225" t="n">
        <v>23</v>
      </c>
      <c r="AF225" t="n">
        <v>6</v>
      </c>
      <c r="AG225" t="n">
        <v>9</v>
      </c>
      <c r="AH225" t="n">
        <v>4</v>
      </c>
      <c r="AI225" t="n">
        <v>5</v>
      </c>
      <c r="AJ225" t="n">
        <v>8</v>
      </c>
      <c r="AK225" t="n">
        <v>10</v>
      </c>
      <c r="AL225" t="n">
        <v>2</v>
      </c>
      <c r="AM225" t="n">
        <v>4</v>
      </c>
      <c r="AN225" t="n">
        <v>0</v>
      </c>
      <c r="AO225" t="n">
        <v>0</v>
      </c>
      <c r="AP225" t="inlineStr">
        <is>
          <t>No</t>
        </is>
      </c>
      <c r="AQ225" t="inlineStr">
        <is>
          <t>Yes</t>
        </is>
      </c>
      <c r="AR225">
        <f>HYPERLINK("http://catalog.hathitrust.org/Record/000012122","HathiTrust Record")</f>
        <v/>
      </c>
      <c r="AS225">
        <f>HYPERLINK("https://creighton-primo.hosted.exlibrisgroup.com/primo-explore/search?tab=default_tab&amp;search_scope=EVERYTHING&amp;vid=01CRU&amp;lang=en_US&amp;offset=0&amp;query=any,contains,991003284309702656","Catalog Record")</f>
        <v/>
      </c>
      <c r="AT225">
        <f>HYPERLINK("http://www.worldcat.org/oclc/805985","WorldCat Record")</f>
        <v/>
      </c>
      <c r="AU225" t="inlineStr">
        <is>
          <t>483478:eng</t>
        </is>
      </c>
      <c r="AV225" t="inlineStr">
        <is>
          <t>805985</t>
        </is>
      </c>
      <c r="AW225" t="inlineStr">
        <is>
          <t>991003284309702656</t>
        </is>
      </c>
      <c r="AX225" t="inlineStr">
        <is>
          <t>991003284309702656</t>
        </is>
      </c>
      <c r="AY225" t="inlineStr">
        <is>
          <t>2265335940002656</t>
        </is>
      </c>
      <c r="AZ225" t="inlineStr">
        <is>
          <t>BOOK</t>
        </is>
      </c>
      <c r="BB225" t="inlineStr">
        <is>
          <t>9780030880995</t>
        </is>
      </c>
      <c r="BC225" t="inlineStr">
        <is>
          <t>32285000220540</t>
        </is>
      </c>
      <c r="BD225" t="inlineStr">
        <is>
          <t>893705089</t>
        </is>
      </c>
    </row>
    <row r="226">
      <c r="A226" t="inlineStr">
        <is>
          <t>No</t>
        </is>
      </c>
      <c r="B226" t="inlineStr">
        <is>
          <t>LB1025.2 .E369 1986</t>
        </is>
      </c>
      <c r="C226" t="inlineStr">
        <is>
          <t>0                      LB 1025200E  369         1986</t>
        </is>
      </c>
      <c r="D226" t="inlineStr">
        <is>
          <t>Education, values and mind : essays for R.S. Peters / edited by David E. Cooper.</t>
        </is>
      </c>
      <c r="F226" t="inlineStr">
        <is>
          <t>No</t>
        </is>
      </c>
      <c r="G226" t="inlineStr">
        <is>
          <t>1</t>
        </is>
      </c>
      <c r="H226" t="inlineStr">
        <is>
          <t>No</t>
        </is>
      </c>
      <c r="I226" t="inlineStr">
        <is>
          <t>No</t>
        </is>
      </c>
      <c r="J226" t="inlineStr">
        <is>
          <t>0</t>
        </is>
      </c>
      <c r="L226" t="inlineStr">
        <is>
          <t>London ; Boston : Routledge &amp; K. Paul, 1986.</t>
        </is>
      </c>
      <c r="M226" t="inlineStr">
        <is>
          <t>1986</t>
        </is>
      </c>
      <c r="O226" t="inlineStr">
        <is>
          <t>eng</t>
        </is>
      </c>
      <c r="P226" t="inlineStr">
        <is>
          <t>enk</t>
        </is>
      </c>
      <c r="Q226" t="inlineStr">
        <is>
          <t>International library of the philosophy of education</t>
        </is>
      </c>
      <c r="R226" t="inlineStr">
        <is>
          <t xml:space="preserve">LB </t>
        </is>
      </c>
      <c r="S226" t="n">
        <v>1</v>
      </c>
      <c r="T226" t="n">
        <v>1</v>
      </c>
      <c r="U226" t="inlineStr">
        <is>
          <t>2004-12-05</t>
        </is>
      </c>
      <c r="V226" t="inlineStr">
        <is>
          <t>2004-12-05</t>
        </is>
      </c>
      <c r="W226" t="inlineStr">
        <is>
          <t>1992-10-20</t>
        </is>
      </c>
      <c r="X226" t="inlineStr">
        <is>
          <t>1992-10-20</t>
        </is>
      </c>
      <c r="Y226" t="n">
        <v>461</v>
      </c>
      <c r="Z226" t="n">
        <v>302</v>
      </c>
      <c r="AA226" t="n">
        <v>343</v>
      </c>
      <c r="AB226" t="n">
        <v>3</v>
      </c>
      <c r="AC226" t="n">
        <v>3</v>
      </c>
      <c r="AD226" t="n">
        <v>18</v>
      </c>
      <c r="AE226" t="n">
        <v>18</v>
      </c>
      <c r="AF226" t="n">
        <v>4</v>
      </c>
      <c r="AG226" t="n">
        <v>4</v>
      </c>
      <c r="AH226" t="n">
        <v>6</v>
      </c>
      <c r="AI226" t="n">
        <v>6</v>
      </c>
      <c r="AJ226" t="n">
        <v>13</v>
      </c>
      <c r="AK226" t="n">
        <v>13</v>
      </c>
      <c r="AL226" t="n">
        <v>2</v>
      </c>
      <c r="AM226" t="n">
        <v>2</v>
      </c>
      <c r="AN226" t="n">
        <v>0</v>
      </c>
      <c r="AO226" t="n">
        <v>0</v>
      </c>
      <c r="AP226" t="inlineStr">
        <is>
          <t>No</t>
        </is>
      </c>
      <c r="AQ226" t="inlineStr">
        <is>
          <t>Yes</t>
        </is>
      </c>
      <c r="AR226">
        <f>HYPERLINK("http://catalog.hathitrust.org/Record/000662562","HathiTrust Record")</f>
        <v/>
      </c>
      <c r="AS226">
        <f>HYPERLINK("https://creighton-primo.hosted.exlibrisgroup.com/primo-explore/search?tab=default_tab&amp;search_scope=EVERYTHING&amp;vid=01CRU&amp;lang=en_US&amp;offset=0&amp;query=any,contains,991000634879702656","Catalog Record")</f>
        <v/>
      </c>
      <c r="AT226">
        <f>HYPERLINK("http://www.worldcat.org/oclc/12080054","WorldCat Record")</f>
        <v/>
      </c>
      <c r="AU226" t="inlineStr">
        <is>
          <t>797338635:eng</t>
        </is>
      </c>
      <c r="AV226" t="inlineStr">
        <is>
          <t>12080054</t>
        </is>
      </c>
      <c r="AW226" t="inlineStr">
        <is>
          <t>991000634879702656</t>
        </is>
      </c>
      <c r="AX226" t="inlineStr">
        <is>
          <t>991000634879702656</t>
        </is>
      </c>
      <c r="AY226" t="inlineStr">
        <is>
          <t>2268046610002656</t>
        </is>
      </c>
      <c r="AZ226" t="inlineStr">
        <is>
          <t>BOOK</t>
        </is>
      </c>
      <c r="BB226" t="inlineStr">
        <is>
          <t>9780710099051</t>
        </is>
      </c>
      <c r="BC226" t="inlineStr">
        <is>
          <t>32285001352490</t>
        </is>
      </c>
      <c r="BD226" t="inlineStr">
        <is>
          <t>893771811</t>
        </is>
      </c>
    </row>
    <row r="227">
      <c r="A227" t="inlineStr">
        <is>
          <t>No</t>
        </is>
      </c>
      <c r="B227" t="inlineStr">
        <is>
          <t>LB1025.2 .F33</t>
        </is>
      </c>
      <c r="C227" t="inlineStr">
        <is>
          <t>0                      LB 1025200F  33</t>
        </is>
      </c>
      <c r="D227" t="inlineStr">
        <is>
          <t>Teaching in America / Stephen M. Fain, Robert Shostak, John F. Dean.</t>
        </is>
      </c>
      <c r="F227" t="inlineStr">
        <is>
          <t>No</t>
        </is>
      </c>
      <c r="G227" t="inlineStr">
        <is>
          <t>1</t>
        </is>
      </c>
      <c r="H227" t="inlineStr">
        <is>
          <t>No</t>
        </is>
      </c>
      <c r="I227" t="inlineStr">
        <is>
          <t>No</t>
        </is>
      </c>
      <c r="J227" t="inlineStr">
        <is>
          <t>0</t>
        </is>
      </c>
      <c r="K227" t="inlineStr">
        <is>
          <t>Fain, Stephen M., 1940-</t>
        </is>
      </c>
      <c r="L227" t="inlineStr">
        <is>
          <t>Glenview, Ill. : Scott, Foresman and Co., [1979]</t>
        </is>
      </c>
      <c r="M227" t="inlineStr">
        <is>
          <t>1979</t>
        </is>
      </c>
      <c r="O227" t="inlineStr">
        <is>
          <t>eng</t>
        </is>
      </c>
      <c r="P227" t="inlineStr">
        <is>
          <t>ilu</t>
        </is>
      </c>
      <c r="R227" t="inlineStr">
        <is>
          <t xml:space="preserve">LB </t>
        </is>
      </c>
      <c r="S227" t="n">
        <v>6</v>
      </c>
      <c r="T227" t="n">
        <v>6</v>
      </c>
      <c r="U227" t="inlineStr">
        <is>
          <t>2008-01-31</t>
        </is>
      </c>
      <c r="V227" t="inlineStr">
        <is>
          <t>2008-01-31</t>
        </is>
      </c>
      <c r="W227" t="inlineStr">
        <is>
          <t>1992-10-20</t>
        </is>
      </c>
      <c r="X227" t="inlineStr">
        <is>
          <t>1992-10-20</t>
        </is>
      </c>
      <c r="Y227" t="n">
        <v>168</v>
      </c>
      <c r="Z227" t="n">
        <v>156</v>
      </c>
      <c r="AA227" t="n">
        <v>156</v>
      </c>
      <c r="AB227" t="n">
        <v>3</v>
      </c>
      <c r="AC227" t="n">
        <v>3</v>
      </c>
      <c r="AD227" t="n">
        <v>5</v>
      </c>
      <c r="AE227" t="n">
        <v>5</v>
      </c>
      <c r="AF227" t="n">
        <v>0</v>
      </c>
      <c r="AG227" t="n">
        <v>0</v>
      </c>
      <c r="AH227" t="n">
        <v>0</v>
      </c>
      <c r="AI227" t="n">
        <v>0</v>
      </c>
      <c r="AJ227" t="n">
        <v>3</v>
      </c>
      <c r="AK227" t="n">
        <v>3</v>
      </c>
      <c r="AL227" t="n">
        <v>2</v>
      </c>
      <c r="AM227" t="n">
        <v>2</v>
      </c>
      <c r="AN227" t="n">
        <v>0</v>
      </c>
      <c r="AO227" t="n">
        <v>0</v>
      </c>
      <c r="AP227" t="inlineStr">
        <is>
          <t>No</t>
        </is>
      </c>
      <c r="AQ227" t="inlineStr">
        <is>
          <t>No</t>
        </is>
      </c>
      <c r="AS227">
        <f>HYPERLINK("https://creighton-primo.hosted.exlibrisgroup.com/primo-explore/search?tab=default_tab&amp;search_scope=EVERYTHING&amp;vid=01CRU&amp;lang=en_US&amp;offset=0&amp;query=any,contains,991004717519702656","Catalog Record")</f>
        <v/>
      </c>
      <c r="AT227">
        <f>HYPERLINK("http://www.worldcat.org/oclc/4776832","WorldCat Record")</f>
        <v/>
      </c>
      <c r="AU227" t="inlineStr">
        <is>
          <t>520293:eng</t>
        </is>
      </c>
      <c r="AV227" t="inlineStr">
        <is>
          <t>4776832</t>
        </is>
      </c>
      <c r="AW227" t="inlineStr">
        <is>
          <t>991004717519702656</t>
        </is>
      </c>
      <c r="AX227" t="inlineStr">
        <is>
          <t>991004717519702656</t>
        </is>
      </c>
      <c r="AY227" t="inlineStr">
        <is>
          <t>2254718870002656</t>
        </is>
      </c>
      <c r="AZ227" t="inlineStr">
        <is>
          <t>BOOK</t>
        </is>
      </c>
      <c r="BB227" t="inlineStr">
        <is>
          <t>9780673150561</t>
        </is>
      </c>
      <c r="BC227" t="inlineStr">
        <is>
          <t>32285001352508</t>
        </is>
      </c>
      <c r="BD227" t="inlineStr">
        <is>
          <t>893513580</t>
        </is>
      </c>
    </row>
    <row r="228">
      <c r="A228" t="inlineStr">
        <is>
          <t>No</t>
        </is>
      </c>
      <c r="B228" t="inlineStr">
        <is>
          <t>LB1025.2 .F463 1986</t>
        </is>
      </c>
      <c r="C228" t="inlineStr">
        <is>
          <t>0                      LB 1025200F  463         1986</t>
        </is>
      </c>
      <c r="D228" t="inlineStr">
        <is>
          <t>Approaches to teaching / Gary D. Fenstermacher, Jonas F. Soltis.</t>
        </is>
      </c>
      <c r="F228" t="inlineStr">
        <is>
          <t>No</t>
        </is>
      </c>
      <c r="G228" t="inlineStr">
        <is>
          <t>1</t>
        </is>
      </c>
      <c r="H228" t="inlineStr">
        <is>
          <t>No</t>
        </is>
      </c>
      <c r="I228" t="inlineStr">
        <is>
          <t>Yes</t>
        </is>
      </c>
      <c r="J228" t="inlineStr">
        <is>
          <t>0</t>
        </is>
      </c>
      <c r="K228" t="inlineStr">
        <is>
          <t>Fenstermacher, Gary D.</t>
        </is>
      </c>
      <c r="L228" t="inlineStr">
        <is>
          <t>New York : Teachers College, Columbia University, c1986.</t>
        </is>
      </c>
      <c r="M228" t="inlineStr">
        <is>
          <t>1986</t>
        </is>
      </c>
      <c r="O228" t="inlineStr">
        <is>
          <t>eng</t>
        </is>
      </c>
      <c r="P228" t="inlineStr">
        <is>
          <t>nyu</t>
        </is>
      </c>
      <c r="Q228" t="inlineStr">
        <is>
          <t>Thinking about education series</t>
        </is>
      </c>
      <c r="R228" t="inlineStr">
        <is>
          <t xml:space="preserve">LB </t>
        </is>
      </c>
      <c r="S228" t="n">
        <v>13</v>
      </c>
      <c r="T228" t="n">
        <v>13</v>
      </c>
      <c r="U228" t="inlineStr">
        <is>
          <t>1999-09-23</t>
        </is>
      </c>
      <c r="V228" t="inlineStr">
        <is>
          <t>1999-09-23</t>
        </is>
      </c>
      <c r="W228" t="inlineStr">
        <is>
          <t>1992-10-20</t>
        </is>
      </c>
      <c r="X228" t="inlineStr">
        <is>
          <t>1992-10-20</t>
        </is>
      </c>
      <c r="Y228" t="n">
        <v>548</v>
      </c>
      <c r="Z228" t="n">
        <v>487</v>
      </c>
      <c r="AA228" t="n">
        <v>1594</v>
      </c>
      <c r="AB228" t="n">
        <v>3</v>
      </c>
      <c r="AC228" t="n">
        <v>11</v>
      </c>
      <c r="AD228" t="n">
        <v>22</v>
      </c>
      <c r="AE228" t="n">
        <v>51</v>
      </c>
      <c r="AF228" t="n">
        <v>8</v>
      </c>
      <c r="AG228" t="n">
        <v>27</v>
      </c>
      <c r="AH228" t="n">
        <v>5</v>
      </c>
      <c r="AI228" t="n">
        <v>9</v>
      </c>
      <c r="AJ228" t="n">
        <v>13</v>
      </c>
      <c r="AK228" t="n">
        <v>23</v>
      </c>
      <c r="AL228" t="n">
        <v>2</v>
      </c>
      <c r="AM228" t="n">
        <v>6</v>
      </c>
      <c r="AN228" t="n">
        <v>0</v>
      </c>
      <c r="AO228" t="n">
        <v>0</v>
      </c>
      <c r="AP228" t="inlineStr">
        <is>
          <t>No</t>
        </is>
      </c>
      <c r="AQ228" t="inlineStr">
        <is>
          <t>No</t>
        </is>
      </c>
      <c r="AS228">
        <f>HYPERLINK("https://creighton-primo.hosted.exlibrisgroup.com/primo-explore/search?tab=default_tab&amp;search_scope=EVERYTHING&amp;vid=01CRU&amp;lang=en_US&amp;offset=0&amp;query=any,contains,991000770399702656","Catalog Record")</f>
        <v/>
      </c>
      <c r="AT228">
        <f>HYPERLINK("http://www.worldcat.org/oclc/13010872","WorldCat Record")</f>
        <v/>
      </c>
      <c r="AU228" t="inlineStr">
        <is>
          <t>961334:eng</t>
        </is>
      </c>
      <c r="AV228" t="inlineStr">
        <is>
          <t>13010872</t>
        </is>
      </c>
      <c r="AW228" t="inlineStr">
        <is>
          <t>991000770399702656</t>
        </is>
      </c>
      <c r="AX228" t="inlineStr">
        <is>
          <t>991000770399702656</t>
        </is>
      </c>
      <c r="AY228" t="inlineStr">
        <is>
          <t>2258359830002656</t>
        </is>
      </c>
      <c r="AZ228" t="inlineStr">
        <is>
          <t>BOOK</t>
        </is>
      </c>
      <c r="BB228" t="inlineStr">
        <is>
          <t>9780807727898</t>
        </is>
      </c>
      <c r="BC228" t="inlineStr">
        <is>
          <t>32285001352516</t>
        </is>
      </c>
      <c r="BD228" t="inlineStr">
        <is>
          <t>893426019</t>
        </is>
      </c>
    </row>
    <row r="229">
      <c r="A229" t="inlineStr">
        <is>
          <t>No</t>
        </is>
      </c>
      <c r="B229" t="inlineStr">
        <is>
          <t>LB1025.2 .H456</t>
        </is>
      </c>
      <c r="C229" t="inlineStr">
        <is>
          <t>0                      LB 1025200H  456</t>
        </is>
      </c>
      <c r="D229" t="inlineStr">
        <is>
          <t>Becoming involved in teaching / Kenneth T. Henson, Marvin A. Henry ; [ill. by Steven Rockwell].</t>
        </is>
      </c>
      <c r="F229" t="inlineStr">
        <is>
          <t>No</t>
        </is>
      </c>
      <c r="G229" t="inlineStr">
        <is>
          <t>1</t>
        </is>
      </c>
      <c r="H229" t="inlineStr">
        <is>
          <t>No</t>
        </is>
      </c>
      <c r="I229" t="inlineStr">
        <is>
          <t>No</t>
        </is>
      </c>
      <c r="J229" t="inlineStr">
        <is>
          <t>0</t>
        </is>
      </c>
      <c r="K229" t="inlineStr">
        <is>
          <t>Henson, Kenneth T.</t>
        </is>
      </c>
      <c r="L229" t="inlineStr">
        <is>
          <t>Terre Haute, Ind. : Sycamore Press, c1976.</t>
        </is>
      </c>
      <c r="M229" t="inlineStr">
        <is>
          <t>1976</t>
        </is>
      </c>
      <c r="O229" t="inlineStr">
        <is>
          <t>eng</t>
        </is>
      </c>
      <c r="P229" t="inlineStr">
        <is>
          <t>inu</t>
        </is>
      </c>
      <c r="R229" t="inlineStr">
        <is>
          <t xml:space="preserve">LB </t>
        </is>
      </c>
      <c r="S229" t="n">
        <v>2</v>
      </c>
      <c r="T229" t="n">
        <v>2</v>
      </c>
      <c r="U229" t="inlineStr">
        <is>
          <t>2008-09-18</t>
        </is>
      </c>
      <c r="V229" t="inlineStr">
        <is>
          <t>2008-09-18</t>
        </is>
      </c>
      <c r="W229" t="inlineStr">
        <is>
          <t>1997-04-25</t>
        </is>
      </c>
      <c r="X229" t="inlineStr">
        <is>
          <t>1997-04-25</t>
        </is>
      </c>
      <c r="Y229" t="n">
        <v>139</v>
      </c>
      <c r="Z229" t="n">
        <v>122</v>
      </c>
      <c r="AA229" t="n">
        <v>129</v>
      </c>
      <c r="AB229" t="n">
        <v>4</v>
      </c>
      <c r="AC229" t="n">
        <v>4</v>
      </c>
      <c r="AD229" t="n">
        <v>9</v>
      </c>
      <c r="AE229" t="n">
        <v>9</v>
      </c>
      <c r="AF229" t="n">
        <v>2</v>
      </c>
      <c r="AG229" t="n">
        <v>2</v>
      </c>
      <c r="AH229" t="n">
        <v>2</v>
      </c>
      <c r="AI229" t="n">
        <v>2</v>
      </c>
      <c r="AJ229" t="n">
        <v>3</v>
      </c>
      <c r="AK229" t="n">
        <v>3</v>
      </c>
      <c r="AL229" t="n">
        <v>3</v>
      </c>
      <c r="AM229" t="n">
        <v>3</v>
      </c>
      <c r="AN229" t="n">
        <v>0</v>
      </c>
      <c r="AO229" t="n">
        <v>0</v>
      </c>
      <c r="AP229" t="inlineStr">
        <is>
          <t>No</t>
        </is>
      </c>
      <c r="AQ229" t="inlineStr">
        <is>
          <t>Yes</t>
        </is>
      </c>
      <c r="AR229">
        <f>HYPERLINK("http://catalog.hathitrust.org/Record/000722414","HathiTrust Record")</f>
        <v/>
      </c>
      <c r="AS229">
        <f>HYPERLINK("https://creighton-primo.hosted.exlibrisgroup.com/primo-explore/search?tab=default_tab&amp;search_scope=EVERYTHING&amp;vid=01CRU&amp;lang=en_US&amp;offset=0&amp;query=any,contains,991004100979702656","Catalog Record")</f>
        <v/>
      </c>
      <c r="AT229">
        <f>HYPERLINK("http://www.worldcat.org/oclc/2372306","WorldCat Record")</f>
        <v/>
      </c>
      <c r="AU229" t="inlineStr">
        <is>
          <t>4741857:eng</t>
        </is>
      </c>
      <c r="AV229" t="inlineStr">
        <is>
          <t>2372306</t>
        </is>
      </c>
      <c r="AW229" t="inlineStr">
        <is>
          <t>991004100979702656</t>
        </is>
      </c>
      <c r="AX229" t="inlineStr">
        <is>
          <t>991004100979702656</t>
        </is>
      </c>
      <c r="AY229" t="inlineStr">
        <is>
          <t>2255226320002656</t>
        </is>
      </c>
      <c r="AZ229" t="inlineStr">
        <is>
          <t>BOOK</t>
        </is>
      </c>
      <c r="BB229" t="inlineStr">
        <is>
          <t>9780916768010</t>
        </is>
      </c>
      <c r="BC229" t="inlineStr">
        <is>
          <t>32285002599461</t>
        </is>
      </c>
      <c r="BD229" t="inlineStr">
        <is>
          <t>893423383</t>
        </is>
      </c>
    </row>
    <row r="230">
      <c r="A230" t="inlineStr">
        <is>
          <t>No</t>
        </is>
      </c>
      <c r="B230" t="inlineStr">
        <is>
          <t>LB1025.2 .H4565 1988</t>
        </is>
      </c>
      <c r="C230" t="inlineStr">
        <is>
          <t>0                      LB 1025200H  4565        1988</t>
        </is>
      </c>
      <c r="D230" t="inlineStr">
        <is>
          <t>Methods and strategies for teaching in secondary and middle schools / Kenneth T. Henson.</t>
        </is>
      </c>
      <c r="F230" t="inlineStr">
        <is>
          <t>No</t>
        </is>
      </c>
      <c r="G230" t="inlineStr">
        <is>
          <t>1</t>
        </is>
      </c>
      <c r="H230" t="inlineStr">
        <is>
          <t>No</t>
        </is>
      </c>
      <c r="I230" t="inlineStr">
        <is>
          <t>No</t>
        </is>
      </c>
      <c r="J230" t="inlineStr">
        <is>
          <t>0</t>
        </is>
      </c>
      <c r="K230" t="inlineStr">
        <is>
          <t>Henson, Kenneth T.</t>
        </is>
      </c>
      <c r="L230" t="inlineStr">
        <is>
          <t>New York : Longman, c1988.</t>
        </is>
      </c>
      <c r="M230" t="inlineStr">
        <is>
          <t>1988</t>
        </is>
      </c>
      <c r="O230" t="inlineStr">
        <is>
          <t>eng</t>
        </is>
      </c>
      <c r="P230" t="inlineStr">
        <is>
          <t>nyu</t>
        </is>
      </c>
      <c r="R230" t="inlineStr">
        <is>
          <t xml:space="preserve">LB </t>
        </is>
      </c>
      <c r="S230" t="n">
        <v>6</v>
      </c>
      <c r="T230" t="n">
        <v>6</v>
      </c>
      <c r="U230" t="inlineStr">
        <is>
          <t>2002-09-23</t>
        </is>
      </c>
      <c r="V230" t="inlineStr">
        <is>
          <t>2002-09-23</t>
        </is>
      </c>
      <c r="W230" t="inlineStr">
        <is>
          <t>1990-07-02</t>
        </is>
      </c>
      <c r="X230" t="inlineStr">
        <is>
          <t>1990-07-02</t>
        </is>
      </c>
      <c r="Y230" t="n">
        <v>301</v>
      </c>
      <c r="Z230" t="n">
        <v>267</v>
      </c>
      <c r="AA230" t="n">
        <v>449</v>
      </c>
      <c r="AB230" t="n">
        <v>2</v>
      </c>
      <c r="AC230" t="n">
        <v>3</v>
      </c>
      <c r="AD230" t="n">
        <v>8</v>
      </c>
      <c r="AE230" t="n">
        <v>19</v>
      </c>
      <c r="AF230" t="n">
        <v>5</v>
      </c>
      <c r="AG230" t="n">
        <v>9</v>
      </c>
      <c r="AH230" t="n">
        <v>0</v>
      </c>
      <c r="AI230" t="n">
        <v>4</v>
      </c>
      <c r="AJ230" t="n">
        <v>4</v>
      </c>
      <c r="AK230" t="n">
        <v>10</v>
      </c>
      <c r="AL230" t="n">
        <v>1</v>
      </c>
      <c r="AM230" t="n">
        <v>2</v>
      </c>
      <c r="AN230" t="n">
        <v>0</v>
      </c>
      <c r="AO230" t="n">
        <v>0</v>
      </c>
      <c r="AP230" t="inlineStr">
        <is>
          <t>No</t>
        </is>
      </c>
      <c r="AQ230" t="inlineStr">
        <is>
          <t>No</t>
        </is>
      </c>
      <c r="AS230">
        <f>HYPERLINK("https://creighton-primo.hosted.exlibrisgroup.com/primo-explore/search?tab=default_tab&amp;search_scope=EVERYTHING&amp;vid=01CRU&amp;lang=en_US&amp;offset=0&amp;query=any,contains,991001032099702656","Catalog Record")</f>
        <v/>
      </c>
      <c r="AT230">
        <f>HYPERLINK("http://www.worldcat.org/oclc/15519672","WorldCat Record")</f>
        <v/>
      </c>
      <c r="AU230" t="inlineStr">
        <is>
          <t>10172653:eng</t>
        </is>
      </c>
      <c r="AV230" t="inlineStr">
        <is>
          <t>15519672</t>
        </is>
      </c>
      <c r="AW230" t="inlineStr">
        <is>
          <t>991001032099702656</t>
        </is>
      </c>
      <c r="AX230" t="inlineStr">
        <is>
          <t>991001032099702656</t>
        </is>
      </c>
      <c r="AY230" t="inlineStr">
        <is>
          <t>2265238650002656</t>
        </is>
      </c>
      <c r="AZ230" t="inlineStr">
        <is>
          <t>BOOK</t>
        </is>
      </c>
      <c r="BB230" t="inlineStr">
        <is>
          <t>9780801300172</t>
        </is>
      </c>
      <c r="BC230" t="inlineStr">
        <is>
          <t>32285000220581</t>
        </is>
      </c>
      <c r="BD230" t="inlineStr">
        <is>
          <t>893614713</t>
        </is>
      </c>
    </row>
    <row r="231">
      <c r="A231" t="inlineStr">
        <is>
          <t>No</t>
        </is>
      </c>
      <c r="B231" t="inlineStr">
        <is>
          <t>LB1025.2 .H5</t>
        </is>
      </c>
      <c r="C231" t="inlineStr">
        <is>
          <t>0                      LB 1025200H  5</t>
        </is>
      </c>
      <c r="D231" t="inlineStr">
        <is>
          <t>The immortal profession : the joys of teaching and learning / Gilbert Highet.</t>
        </is>
      </c>
      <c r="F231" t="inlineStr">
        <is>
          <t>No</t>
        </is>
      </c>
      <c r="G231" t="inlineStr">
        <is>
          <t>1</t>
        </is>
      </c>
      <c r="H231" t="inlineStr">
        <is>
          <t>No</t>
        </is>
      </c>
      <c r="I231" t="inlineStr">
        <is>
          <t>No</t>
        </is>
      </c>
      <c r="J231" t="inlineStr">
        <is>
          <t>0</t>
        </is>
      </c>
      <c r="K231" t="inlineStr">
        <is>
          <t>Highet, Gilbert, 1906-1978.</t>
        </is>
      </c>
      <c r="L231" t="inlineStr">
        <is>
          <t>New York : Weybright and Talley, c1976.</t>
        </is>
      </c>
      <c r="M231" t="inlineStr">
        <is>
          <t>1976</t>
        </is>
      </c>
      <c r="O231" t="inlineStr">
        <is>
          <t>eng</t>
        </is>
      </c>
      <c r="P231" t="inlineStr">
        <is>
          <t>nyu</t>
        </is>
      </c>
      <c r="R231" t="inlineStr">
        <is>
          <t xml:space="preserve">LB </t>
        </is>
      </c>
      <c r="S231" t="n">
        <v>4</v>
      </c>
      <c r="T231" t="n">
        <v>4</v>
      </c>
      <c r="U231" t="inlineStr">
        <is>
          <t>2006-02-02</t>
        </is>
      </c>
      <c r="V231" t="inlineStr">
        <is>
          <t>2006-02-02</t>
        </is>
      </c>
      <c r="W231" t="inlineStr">
        <is>
          <t>1991-09-17</t>
        </is>
      </c>
      <c r="X231" t="inlineStr">
        <is>
          <t>1991-09-17</t>
        </is>
      </c>
      <c r="Y231" t="n">
        <v>1087</v>
      </c>
      <c r="Z231" t="n">
        <v>980</v>
      </c>
      <c r="AA231" t="n">
        <v>990</v>
      </c>
      <c r="AB231" t="n">
        <v>7</v>
      </c>
      <c r="AC231" t="n">
        <v>7</v>
      </c>
      <c r="AD231" t="n">
        <v>38</v>
      </c>
      <c r="AE231" t="n">
        <v>38</v>
      </c>
      <c r="AF231" t="n">
        <v>14</v>
      </c>
      <c r="AG231" t="n">
        <v>14</v>
      </c>
      <c r="AH231" t="n">
        <v>10</v>
      </c>
      <c r="AI231" t="n">
        <v>10</v>
      </c>
      <c r="AJ231" t="n">
        <v>19</v>
      </c>
      <c r="AK231" t="n">
        <v>19</v>
      </c>
      <c r="AL231" t="n">
        <v>5</v>
      </c>
      <c r="AM231" t="n">
        <v>5</v>
      </c>
      <c r="AN231" t="n">
        <v>0</v>
      </c>
      <c r="AO231" t="n">
        <v>0</v>
      </c>
      <c r="AP231" t="inlineStr">
        <is>
          <t>No</t>
        </is>
      </c>
      <c r="AQ231" t="inlineStr">
        <is>
          <t>Yes</t>
        </is>
      </c>
      <c r="AR231">
        <f>HYPERLINK("http://catalog.hathitrust.org/Record/000702692","HathiTrust Record")</f>
        <v/>
      </c>
      <c r="AS231">
        <f>HYPERLINK("https://creighton-primo.hosted.exlibrisgroup.com/primo-explore/search?tab=default_tab&amp;search_scope=EVERYTHING&amp;vid=01CRU&amp;lang=en_US&amp;offset=0&amp;query=any,contains,991004001909702656","Catalog Record")</f>
        <v/>
      </c>
      <c r="AT231">
        <f>HYPERLINK("http://www.worldcat.org/oclc/2074339","WorldCat Record")</f>
        <v/>
      </c>
      <c r="AU231" t="inlineStr">
        <is>
          <t>4001020:eng</t>
        </is>
      </c>
      <c r="AV231" t="inlineStr">
        <is>
          <t>2074339</t>
        </is>
      </c>
      <c r="AW231" t="inlineStr">
        <is>
          <t>991004001909702656</t>
        </is>
      </c>
      <c r="AX231" t="inlineStr">
        <is>
          <t>991004001909702656</t>
        </is>
      </c>
      <c r="AY231" t="inlineStr">
        <is>
          <t>2263929040002656</t>
        </is>
      </c>
      <c r="AZ231" t="inlineStr">
        <is>
          <t>BOOK</t>
        </is>
      </c>
      <c r="BB231" t="inlineStr">
        <is>
          <t>9780679401308</t>
        </is>
      </c>
      <c r="BC231" t="inlineStr">
        <is>
          <t>32285000757954</t>
        </is>
      </c>
      <c r="BD231" t="inlineStr">
        <is>
          <t>893875575</t>
        </is>
      </c>
    </row>
    <row r="232">
      <c r="A232" t="inlineStr">
        <is>
          <t>No</t>
        </is>
      </c>
      <c r="B232" t="inlineStr">
        <is>
          <t>LB1025.2 .J3 1986</t>
        </is>
      </c>
      <c r="C232" t="inlineStr">
        <is>
          <t>0                      LB 1025200J  3           1986</t>
        </is>
      </c>
      <c r="D232" t="inlineStr">
        <is>
          <t>The practice of teaching / Philip W. Jackson.</t>
        </is>
      </c>
      <c r="F232" t="inlineStr">
        <is>
          <t>No</t>
        </is>
      </c>
      <c r="G232" t="inlineStr">
        <is>
          <t>1</t>
        </is>
      </c>
      <c r="H232" t="inlineStr">
        <is>
          <t>No</t>
        </is>
      </c>
      <c r="I232" t="inlineStr">
        <is>
          <t>No</t>
        </is>
      </c>
      <c r="J232" t="inlineStr">
        <is>
          <t>0</t>
        </is>
      </c>
      <c r="K232" t="inlineStr">
        <is>
          <t>Jackson, Philip W. (Philip Wesley), 1928-2015.</t>
        </is>
      </c>
      <c r="L232" t="inlineStr">
        <is>
          <t>New York : Teachers College Press, c1986.</t>
        </is>
      </c>
      <c r="M232" t="inlineStr">
        <is>
          <t>1986</t>
        </is>
      </c>
      <c r="O232" t="inlineStr">
        <is>
          <t>eng</t>
        </is>
      </c>
      <c r="P232" t="inlineStr">
        <is>
          <t>nyu</t>
        </is>
      </c>
      <c r="R232" t="inlineStr">
        <is>
          <t xml:space="preserve">LB </t>
        </is>
      </c>
      <c r="S232" t="n">
        <v>4</v>
      </c>
      <c r="T232" t="n">
        <v>4</v>
      </c>
      <c r="U232" t="inlineStr">
        <is>
          <t>2003-09-30</t>
        </is>
      </c>
      <c r="V232" t="inlineStr">
        <is>
          <t>2003-09-30</t>
        </is>
      </c>
      <c r="W232" t="inlineStr">
        <is>
          <t>1992-10-20</t>
        </is>
      </c>
      <c r="X232" t="inlineStr">
        <is>
          <t>1992-10-20</t>
        </is>
      </c>
      <c r="Y232" t="n">
        <v>870</v>
      </c>
      <c r="Z232" t="n">
        <v>766</v>
      </c>
      <c r="AA232" t="n">
        <v>775</v>
      </c>
      <c r="AB232" t="n">
        <v>10</v>
      </c>
      <c r="AC232" t="n">
        <v>10</v>
      </c>
      <c r="AD232" t="n">
        <v>41</v>
      </c>
      <c r="AE232" t="n">
        <v>42</v>
      </c>
      <c r="AF232" t="n">
        <v>18</v>
      </c>
      <c r="AG232" t="n">
        <v>19</v>
      </c>
      <c r="AH232" t="n">
        <v>6</v>
      </c>
      <c r="AI232" t="n">
        <v>7</v>
      </c>
      <c r="AJ232" t="n">
        <v>18</v>
      </c>
      <c r="AK232" t="n">
        <v>18</v>
      </c>
      <c r="AL232" t="n">
        <v>9</v>
      </c>
      <c r="AM232" t="n">
        <v>9</v>
      </c>
      <c r="AN232" t="n">
        <v>0</v>
      </c>
      <c r="AO232" t="n">
        <v>0</v>
      </c>
      <c r="AP232" t="inlineStr">
        <is>
          <t>No</t>
        </is>
      </c>
      <c r="AQ232" t="inlineStr">
        <is>
          <t>No</t>
        </is>
      </c>
      <c r="AS232">
        <f>HYPERLINK("https://creighton-primo.hosted.exlibrisgroup.com/primo-explore/search?tab=default_tab&amp;search_scope=EVERYTHING&amp;vid=01CRU&amp;lang=en_US&amp;offset=0&amp;query=any,contains,991000784389702656","Catalog Record")</f>
        <v/>
      </c>
      <c r="AT232">
        <f>HYPERLINK("http://www.worldcat.org/oclc/13122633","WorldCat Record")</f>
        <v/>
      </c>
      <c r="AU232" t="inlineStr">
        <is>
          <t>5660136:eng</t>
        </is>
      </c>
      <c r="AV232" t="inlineStr">
        <is>
          <t>13122633</t>
        </is>
      </c>
      <c r="AW232" t="inlineStr">
        <is>
          <t>991000784389702656</t>
        </is>
      </c>
      <c r="AX232" t="inlineStr">
        <is>
          <t>991000784389702656</t>
        </is>
      </c>
      <c r="AY232" t="inlineStr">
        <is>
          <t>2254769990002656</t>
        </is>
      </c>
      <c r="AZ232" t="inlineStr">
        <is>
          <t>BOOK</t>
        </is>
      </c>
      <c r="BB232" t="inlineStr">
        <is>
          <t>9780807728116</t>
        </is>
      </c>
      <c r="BC232" t="inlineStr">
        <is>
          <t>32285001352649</t>
        </is>
      </c>
      <c r="BD232" t="inlineStr">
        <is>
          <t>893407511</t>
        </is>
      </c>
    </row>
    <row r="233">
      <c r="A233" t="inlineStr">
        <is>
          <t>No</t>
        </is>
      </c>
      <c r="B233" t="inlineStr">
        <is>
          <t>LB1025.2 .K45 1986</t>
        </is>
      </c>
      <c r="C233" t="inlineStr">
        <is>
          <t>0                      LB 1025200K  45          1986</t>
        </is>
      </c>
      <c r="D233" t="inlineStr">
        <is>
          <t>Invitation to teaching / Trevor Kerry.</t>
        </is>
      </c>
      <c r="F233" t="inlineStr">
        <is>
          <t>No</t>
        </is>
      </c>
      <c r="G233" t="inlineStr">
        <is>
          <t>1</t>
        </is>
      </c>
      <c r="H233" t="inlineStr">
        <is>
          <t>No</t>
        </is>
      </c>
      <c r="I233" t="inlineStr">
        <is>
          <t>No</t>
        </is>
      </c>
      <c r="J233" t="inlineStr">
        <is>
          <t>0</t>
        </is>
      </c>
      <c r="K233" t="inlineStr">
        <is>
          <t>Kerry, Trevor.</t>
        </is>
      </c>
      <c r="L233" t="inlineStr">
        <is>
          <t>Oxford, OX, UK ; New York, NY, USA : B. Blackwell, 1986.</t>
        </is>
      </c>
      <c r="M233" t="inlineStr">
        <is>
          <t>1986</t>
        </is>
      </c>
      <c r="O233" t="inlineStr">
        <is>
          <t>eng</t>
        </is>
      </c>
      <c r="P233" t="inlineStr">
        <is>
          <t>enk</t>
        </is>
      </c>
      <c r="Q233" t="inlineStr">
        <is>
          <t>Invitation series</t>
        </is>
      </c>
      <c r="R233" t="inlineStr">
        <is>
          <t xml:space="preserve">LB </t>
        </is>
      </c>
      <c r="S233" t="n">
        <v>6</v>
      </c>
      <c r="T233" t="n">
        <v>6</v>
      </c>
      <c r="U233" t="inlineStr">
        <is>
          <t>2002-09-22</t>
        </is>
      </c>
      <c r="V233" t="inlineStr">
        <is>
          <t>2002-09-22</t>
        </is>
      </c>
      <c r="W233" t="inlineStr">
        <is>
          <t>1990-07-02</t>
        </is>
      </c>
      <c r="X233" t="inlineStr">
        <is>
          <t>1990-07-02</t>
        </is>
      </c>
      <c r="Y233" t="n">
        <v>146</v>
      </c>
      <c r="Z233" t="n">
        <v>71</v>
      </c>
      <c r="AA233" t="n">
        <v>76</v>
      </c>
      <c r="AB233" t="n">
        <v>1</v>
      </c>
      <c r="AC233" t="n">
        <v>1</v>
      </c>
      <c r="AD233" t="n">
        <v>1</v>
      </c>
      <c r="AE233" t="n">
        <v>1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1</v>
      </c>
      <c r="AL233" t="n">
        <v>0</v>
      </c>
      <c r="AM233" t="n">
        <v>0</v>
      </c>
      <c r="AN233" t="n">
        <v>0</v>
      </c>
      <c r="AO233" t="n">
        <v>0</v>
      </c>
      <c r="AP233" t="inlineStr">
        <is>
          <t>No</t>
        </is>
      </c>
      <c r="AQ233" t="inlineStr">
        <is>
          <t>No</t>
        </is>
      </c>
      <c r="AS233">
        <f>HYPERLINK("https://creighton-primo.hosted.exlibrisgroup.com/primo-explore/search?tab=default_tab&amp;search_scope=EVERYTHING&amp;vid=01CRU&amp;lang=en_US&amp;offset=0&amp;query=any,contains,991000832549702656","Catalog Record")</f>
        <v/>
      </c>
      <c r="AT233">
        <f>HYPERLINK("http://www.worldcat.org/oclc/13456065","WorldCat Record")</f>
        <v/>
      </c>
      <c r="AU233" t="inlineStr">
        <is>
          <t>6850921:eng</t>
        </is>
      </c>
      <c r="AV233" t="inlineStr">
        <is>
          <t>13456065</t>
        </is>
      </c>
      <c r="AW233" t="inlineStr">
        <is>
          <t>991000832549702656</t>
        </is>
      </c>
      <c r="AX233" t="inlineStr">
        <is>
          <t>991000832549702656</t>
        </is>
      </c>
      <c r="AY233" t="inlineStr">
        <is>
          <t>2263200410002656</t>
        </is>
      </c>
      <c r="AZ233" t="inlineStr">
        <is>
          <t>BOOK</t>
        </is>
      </c>
      <c r="BB233" t="inlineStr">
        <is>
          <t>9780631150213</t>
        </is>
      </c>
      <c r="BC233" t="inlineStr">
        <is>
          <t>32285000220599</t>
        </is>
      </c>
      <c r="BD233" t="inlineStr">
        <is>
          <t>893595930</t>
        </is>
      </c>
    </row>
    <row r="234">
      <c r="A234" t="inlineStr">
        <is>
          <t>No</t>
        </is>
      </c>
      <c r="B234" t="inlineStr">
        <is>
          <t>LB1025.2 .K5296 1988</t>
        </is>
      </c>
      <c r="C234" t="inlineStr">
        <is>
          <t>0                      LB 1025200K  5296        1988</t>
        </is>
      </c>
      <c r="D234" t="inlineStr">
        <is>
          <t>Dynamics of effective teaching / Richard Kindsvatter, William Wilen, Margaret Ishler.</t>
        </is>
      </c>
      <c r="F234" t="inlineStr">
        <is>
          <t>No</t>
        </is>
      </c>
      <c r="G234" t="inlineStr">
        <is>
          <t>1</t>
        </is>
      </c>
      <c r="H234" t="inlineStr">
        <is>
          <t>No</t>
        </is>
      </c>
      <c r="I234" t="inlineStr">
        <is>
          <t>No</t>
        </is>
      </c>
      <c r="J234" t="inlineStr">
        <is>
          <t>0</t>
        </is>
      </c>
      <c r="K234" t="inlineStr">
        <is>
          <t>Kindsvatter, Richard.</t>
        </is>
      </c>
      <c r="L234" t="inlineStr">
        <is>
          <t>New York : Longman, c1988.</t>
        </is>
      </c>
      <c r="M234" t="inlineStr">
        <is>
          <t>1988</t>
        </is>
      </c>
      <c r="O234" t="inlineStr">
        <is>
          <t>eng</t>
        </is>
      </c>
      <c r="P234" t="inlineStr">
        <is>
          <t>nyu</t>
        </is>
      </c>
      <c r="R234" t="inlineStr">
        <is>
          <t xml:space="preserve">LB </t>
        </is>
      </c>
      <c r="S234" t="n">
        <v>10</v>
      </c>
      <c r="T234" t="n">
        <v>10</v>
      </c>
      <c r="U234" t="inlineStr">
        <is>
          <t>2005-02-14</t>
        </is>
      </c>
      <c r="V234" t="inlineStr">
        <is>
          <t>2005-02-14</t>
        </is>
      </c>
      <c r="W234" t="inlineStr">
        <is>
          <t>1990-07-02</t>
        </is>
      </c>
      <c r="X234" t="inlineStr">
        <is>
          <t>1990-07-02</t>
        </is>
      </c>
      <c r="Y234" t="n">
        <v>340</v>
      </c>
      <c r="Z234" t="n">
        <v>292</v>
      </c>
      <c r="AA234" t="n">
        <v>534</v>
      </c>
      <c r="AB234" t="n">
        <v>2</v>
      </c>
      <c r="AC234" t="n">
        <v>4</v>
      </c>
      <c r="AD234" t="n">
        <v>9</v>
      </c>
      <c r="AE234" t="n">
        <v>23</v>
      </c>
      <c r="AF234" t="n">
        <v>6</v>
      </c>
      <c r="AG234" t="n">
        <v>13</v>
      </c>
      <c r="AH234" t="n">
        <v>2</v>
      </c>
      <c r="AI234" t="n">
        <v>5</v>
      </c>
      <c r="AJ234" t="n">
        <v>4</v>
      </c>
      <c r="AK234" t="n">
        <v>10</v>
      </c>
      <c r="AL234" t="n">
        <v>1</v>
      </c>
      <c r="AM234" t="n">
        <v>3</v>
      </c>
      <c r="AN234" t="n">
        <v>0</v>
      </c>
      <c r="AO234" t="n">
        <v>0</v>
      </c>
      <c r="AP234" t="inlineStr">
        <is>
          <t>No</t>
        </is>
      </c>
      <c r="AQ234" t="inlineStr">
        <is>
          <t>No</t>
        </is>
      </c>
      <c r="AS234">
        <f>HYPERLINK("https://creighton-primo.hosted.exlibrisgroup.com/primo-explore/search?tab=default_tab&amp;search_scope=EVERYTHING&amp;vid=01CRU&amp;lang=en_US&amp;offset=0&amp;query=any,contains,991001032139702656","Catalog Record")</f>
        <v/>
      </c>
      <c r="AT234">
        <f>HYPERLINK("http://www.worldcat.org/oclc/15519673","WorldCat Record")</f>
        <v/>
      </c>
      <c r="AU234" t="inlineStr">
        <is>
          <t>10172688:eng</t>
        </is>
      </c>
      <c r="AV234" t="inlineStr">
        <is>
          <t>15519673</t>
        </is>
      </c>
      <c r="AW234" t="inlineStr">
        <is>
          <t>991001032139702656</t>
        </is>
      </c>
      <c r="AX234" t="inlineStr">
        <is>
          <t>991001032139702656</t>
        </is>
      </c>
      <c r="AY234" t="inlineStr">
        <is>
          <t>2265239080002656</t>
        </is>
      </c>
      <c r="AZ234" t="inlineStr">
        <is>
          <t>BOOK</t>
        </is>
      </c>
      <c r="BB234" t="inlineStr">
        <is>
          <t>9780582286139</t>
        </is>
      </c>
      <c r="BC234" t="inlineStr">
        <is>
          <t>32285000220607</t>
        </is>
      </c>
      <c r="BD234" t="inlineStr">
        <is>
          <t>893346187</t>
        </is>
      </c>
    </row>
    <row r="235">
      <c r="A235" t="inlineStr">
        <is>
          <t>No</t>
        </is>
      </c>
      <c r="B235" t="inlineStr">
        <is>
          <t>LB1025.2 .K613 1989</t>
        </is>
      </c>
      <c r="C235" t="inlineStr">
        <is>
          <t>0                      LB 1025200K  613         1989</t>
        </is>
      </c>
      <c r="D235" t="inlineStr">
        <is>
          <t>Philosophy and education : an introduction in Christian perspective / George R. Knight.</t>
        </is>
      </c>
      <c r="F235" t="inlineStr">
        <is>
          <t>No</t>
        </is>
      </c>
      <c r="G235" t="inlineStr">
        <is>
          <t>1</t>
        </is>
      </c>
      <c r="H235" t="inlineStr">
        <is>
          <t>No</t>
        </is>
      </c>
      <c r="I235" t="inlineStr">
        <is>
          <t>No</t>
        </is>
      </c>
      <c r="J235" t="inlineStr">
        <is>
          <t>0</t>
        </is>
      </c>
      <c r="K235" t="inlineStr">
        <is>
          <t>Knight, George R.</t>
        </is>
      </c>
      <c r="L235" t="inlineStr">
        <is>
          <t>Berrien Springs, Mich. : Andrews University Press, c1989.</t>
        </is>
      </c>
      <c r="M235" t="inlineStr">
        <is>
          <t>1989</t>
        </is>
      </c>
      <c r="N235" t="inlineStr">
        <is>
          <t>2nd ed.</t>
        </is>
      </c>
      <c r="O235" t="inlineStr">
        <is>
          <t>eng</t>
        </is>
      </c>
      <c r="P235" t="inlineStr">
        <is>
          <t>miu</t>
        </is>
      </c>
      <c r="R235" t="inlineStr">
        <is>
          <t xml:space="preserve">LB </t>
        </is>
      </c>
      <c r="S235" t="n">
        <v>4</v>
      </c>
      <c r="T235" t="n">
        <v>4</v>
      </c>
      <c r="U235" t="inlineStr">
        <is>
          <t>2010-04-23</t>
        </is>
      </c>
      <c r="V235" t="inlineStr">
        <is>
          <t>2010-04-23</t>
        </is>
      </c>
      <c r="W235" t="inlineStr">
        <is>
          <t>2009-01-09</t>
        </is>
      </c>
      <c r="X235" t="inlineStr">
        <is>
          <t>2009-01-09</t>
        </is>
      </c>
      <c r="Y235" t="n">
        <v>102</v>
      </c>
      <c r="Z235" t="n">
        <v>88</v>
      </c>
      <c r="AA235" t="n">
        <v>351</v>
      </c>
      <c r="AB235" t="n">
        <v>2</v>
      </c>
      <c r="AC235" t="n">
        <v>3</v>
      </c>
      <c r="AD235" t="n">
        <v>3</v>
      </c>
      <c r="AE235" t="n">
        <v>20</v>
      </c>
      <c r="AF235" t="n">
        <v>1</v>
      </c>
      <c r="AG235" t="n">
        <v>9</v>
      </c>
      <c r="AH235" t="n">
        <v>0</v>
      </c>
      <c r="AI235" t="n">
        <v>2</v>
      </c>
      <c r="AJ235" t="n">
        <v>2</v>
      </c>
      <c r="AK235" t="n">
        <v>9</v>
      </c>
      <c r="AL235" t="n">
        <v>1</v>
      </c>
      <c r="AM235" t="n">
        <v>2</v>
      </c>
      <c r="AN235" t="n">
        <v>0</v>
      </c>
      <c r="AO235" t="n">
        <v>0</v>
      </c>
      <c r="AP235" t="inlineStr">
        <is>
          <t>No</t>
        </is>
      </c>
      <c r="AQ235" t="inlineStr">
        <is>
          <t>No</t>
        </is>
      </c>
      <c r="AS235">
        <f>HYPERLINK("https://creighton-primo.hosted.exlibrisgroup.com/primo-explore/search?tab=default_tab&amp;search_scope=EVERYTHING&amp;vid=01CRU&amp;lang=en_US&amp;offset=0&amp;query=any,contains,991005288349702656","Catalog Record")</f>
        <v/>
      </c>
      <c r="AT235">
        <f>HYPERLINK("http://www.worldcat.org/oclc/20632197","WorldCat Record")</f>
        <v/>
      </c>
      <c r="AU235" t="inlineStr">
        <is>
          <t>445411329:eng</t>
        </is>
      </c>
      <c r="AV235" t="inlineStr">
        <is>
          <t>20632197</t>
        </is>
      </c>
      <c r="AW235" t="inlineStr">
        <is>
          <t>991005288349702656</t>
        </is>
      </c>
      <c r="AX235" t="inlineStr">
        <is>
          <t>991005288349702656</t>
        </is>
      </c>
      <c r="AY235" t="inlineStr">
        <is>
          <t>2263626290002656</t>
        </is>
      </c>
      <c r="AZ235" t="inlineStr">
        <is>
          <t>BOOK</t>
        </is>
      </c>
      <c r="BB235" t="inlineStr">
        <is>
          <t>9780943872629</t>
        </is>
      </c>
      <c r="BC235" t="inlineStr">
        <is>
          <t>32285005476725</t>
        </is>
      </c>
      <c r="BD235" t="inlineStr">
        <is>
          <t>893808139</t>
        </is>
      </c>
    </row>
    <row r="236">
      <c r="A236" t="inlineStr">
        <is>
          <t>No</t>
        </is>
      </c>
      <c r="B236" t="inlineStr">
        <is>
          <t>LB1025.2 .K615 1989</t>
        </is>
      </c>
      <c r="C236" t="inlineStr">
        <is>
          <t>0                      LB 1025200K  615         1989</t>
        </is>
      </c>
      <c r="D236" t="inlineStr">
        <is>
          <t>Knowledge base for the beginning teacher / edited by Maynard C. Reynolds.</t>
        </is>
      </c>
      <c r="F236" t="inlineStr">
        <is>
          <t>No</t>
        </is>
      </c>
      <c r="G236" t="inlineStr">
        <is>
          <t>1</t>
        </is>
      </c>
      <c r="H236" t="inlineStr">
        <is>
          <t>No</t>
        </is>
      </c>
      <c r="I236" t="inlineStr">
        <is>
          <t>No</t>
        </is>
      </c>
      <c r="J236" t="inlineStr">
        <is>
          <t>0</t>
        </is>
      </c>
      <c r="L236" t="inlineStr">
        <is>
          <t>Oxford ; New York : Published for the American Association of Colleges for Teacher Education by Pergamon Press, 1989.</t>
        </is>
      </c>
      <c r="M236" t="inlineStr">
        <is>
          <t>1989</t>
        </is>
      </c>
      <c r="N236" t="inlineStr">
        <is>
          <t>1st ed.</t>
        </is>
      </c>
      <c r="O236" t="inlineStr">
        <is>
          <t>eng</t>
        </is>
      </c>
      <c r="P236" t="inlineStr">
        <is>
          <t>enk</t>
        </is>
      </c>
      <c r="R236" t="inlineStr">
        <is>
          <t xml:space="preserve">LB </t>
        </is>
      </c>
      <c r="S236" t="n">
        <v>3</v>
      </c>
      <c r="T236" t="n">
        <v>3</v>
      </c>
      <c r="U236" t="inlineStr">
        <is>
          <t>2003-09-27</t>
        </is>
      </c>
      <c r="V236" t="inlineStr">
        <is>
          <t>2003-09-27</t>
        </is>
      </c>
      <c r="W236" t="inlineStr">
        <is>
          <t>1990-07-02</t>
        </is>
      </c>
      <c r="X236" t="inlineStr">
        <is>
          <t>1990-07-02</t>
        </is>
      </c>
      <c r="Y236" t="n">
        <v>773</v>
      </c>
      <c r="Z236" t="n">
        <v>620</v>
      </c>
      <c r="AA236" t="n">
        <v>629</v>
      </c>
      <c r="AB236" t="n">
        <v>10</v>
      </c>
      <c r="AC236" t="n">
        <v>10</v>
      </c>
      <c r="AD236" t="n">
        <v>38</v>
      </c>
      <c r="AE236" t="n">
        <v>38</v>
      </c>
      <c r="AF236" t="n">
        <v>14</v>
      </c>
      <c r="AG236" t="n">
        <v>14</v>
      </c>
      <c r="AH236" t="n">
        <v>7</v>
      </c>
      <c r="AI236" t="n">
        <v>7</v>
      </c>
      <c r="AJ236" t="n">
        <v>17</v>
      </c>
      <c r="AK236" t="n">
        <v>17</v>
      </c>
      <c r="AL236" t="n">
        <v>9</v>
      </c>
      <c r="AM236" t="n">
        <v>9</v>
      </c>
      <c r="AN236" t="n">
        <v>0</v>
      </c>
      <c r="AO236" t="n">
        <v>0</v>
      </c>
      <c r="AP236" t="inlineStr">
        <is>
          <t>No</t>
        </is>
      </c>
      <c r="AQ236" t="inlineStr">
        <is>
          <t>No</t>
        </is>
      </c>
      <c r="AS236">
        <f>HYPERLINK("https://creighton-primo.hosted.exlibrisgroup.com/primo-explore/search?tab=default_tab&amp;search_scope=EVERYTHING&amp;vid=01CRU&amp;lang=en_US&amp;offset=0&amp;query=any,contains,991001376909702656","Catalog Record")</f>
        <v/>
      </c>
      <c r="AT236">
        <f>HYPERLINK("http://www.worldcat.org/oclc/18625118","WorldCat Record")</f>
        <v/>
      </c>
      <c r="AU236" t="inlineStr">
        <is>
          <t>355769627:eng</t>
        </is>
      </c>
      <c r="AV236" t="inlineStr">
        <is>
          <t>18625118</t>
        </is>
      </c>
      <c r="AW236" t="inlineStr">
        <is>
          <t>991001376909702656</t>
        </is>
      </c>
      <c r="AX236" t="inlineStr">
        <is>
          <t>991001376909702656</t>
        </is>
      </c>
      <c r="AY236" t="inlineStr">
        <is>
          <t>2262999540002656</t>
        </is>
      </c>
      <c r="AZ236" t="inlineStr">
        <is>
          <t>BOOK</t>
        </is>
      </c>
      <c r="BB236" t="inlineStr">
        <is>
          <t>9780080367675</t>
        </is>
      </c>
      <c r="BC236" t="inlineStr">
        <is>
          <t>32285000220615</t>
        </is>
      </c>
      <c r="BD236" t="inlineStr">
        <is>
          <t>893503367</t>
        </is>
      </c>
    </row>
    <row r="237">
      <c r="A237" t="inlineStr">
        <is>
          <t>No</t>
        </is>
      </c>
      <c r="B237" t="inlineStr">
        <is>
          <t>LB1025.2 .K62</t>
        </is>
      </c>
      <c r="C237" t="inlineStr">
        <is>
          <t>0                      LB 1025200K  62</t>
        </is>
      </c>
      <c r="D237" t="inlineStr">
        <is>
          <t>On teaching / Herbert R. Kohl.</t>
        </is>
      </c>
      <c r="F237" t="inlineStr">
        <is>
          <t>No</t>
        </is>
      </c>
      <c r="G237" t="inlineStr">
        <is>
          <t>1</t>
        </is>
      </c>
      <c r="H237" t="inlineStr">
        <is>
          <t>No</t>
        </is>
      </c>
      <c r="I237" t="inlineStr">
        <is>
          <t>No</t>
        </is>
      </c>
      <c r="J237" t="inlineStr">
        <is>
          <t>0</t>
        </is>
      </c>
      <c r="K237" t="inlineStr">
        <is>
          <t>Kohl, Herbert R.</t>
        </is>
      </c>
      <c r="L237" t="inlineStr">
        <is>
          <t>New York : Schocken Books, 1976.</t>
        </is>
      </c>
      <c r="M237" t="inlineStr">
        <is>
          <t>1976</t>
        </is>
      </c>
      <c r="O237" t="inlineStr">
        <is>
          <t>eng</t>
        </is>
      </c>
      <c r="P237" t="inlineStr">
        <is>
          <t>nyu</t>
        </is>
      </c>
      <c r="R237" t="inlineStr">
        <is>
          <t xml:space="preserve">LB </t>
        </is>
      </c>
      <c r="S237" t="n">
        <v>8</v>
      </c>
      <c r="T237" t="n">
        <v>8</v>
      </c>
      <c r="U237" t="inlineStr">
        <is>
          <t>2005-02-09</t>
        </is>
      </c>
      <c r="V237" t="inlineStr">
        <is>
          <t>2005-02-09</t>
        </is>
      </c>
      <c r="W237" t="inlineStr">
        <is>
          <t>1992-02-20</t>
        </is>
      </c>
      <c r="X237" t="inlineStr">
        <is>
          <t>1992-02-20</t>
        </is>
      </c>
      <c r="Y237" t="n">
        <v>958</v>
      </c>
      <c r="Z237" t="n">
        <v>891</v>
      </c>
      <c r="AA237" t="n">
        <v>933</v>
      </c>
      <c r="AB237" t="n">
        <v>8</v>
      </c>
      <c r="AC237" t="n">
        <v>8</v>
      </c>
      <c r="AD237" t="n">
        <v>28</v>
      </c>
      <c r="AE237" t="n">
        <v>30</v>
      </c>
      <c r="AF237" t="n">
        <v>13</v>
      </c>
      <c r="AG237" t="n">
        <v>14</v>
      </c>
      <c r="AH237" t="n">
        <v>5</v>
      </c>
      <c r="AI237" t="n">
        <v>5</v>
      </c>
      <c r="AJ237" t="n">
        <v>10</v>
      </c>
      <c r="AK237" t="n">
        <v>11</v>
      </c>
      <c r="AL237" t="n">
        <v>7</v>
      </c>
      <c r="AM237" t="n">
        <v>7</v>
      </c>
      <c r="AN237" t="n">
        <v>0</v>
      </c>
      <c r="AO237" t="n">
        <v>0</v>
      </c>
      <c r="AP237" t="inlineStr">
        <is>
          <t>No</t>
        </is>
      </c>
      <c r="AQ237" t="inlineStr">
        <is>
          <t>Yes</t>
        </is>
      </c>
      <c r="AR237">
        <f>HYPERLINK("http://catalog.hathitrust.org/Record/000702040","HathiTrust Record")</f>
        <v/>
      </c>
      <c r="AS237">
        <f>HYPERLINK("https://creighton-primo.hosted.exlibrisgroup.com/primo-explore/search?tab=default_tab&amp;search_scope=EVERYTHING&amp;vid=01CRU&amp;lang=en_US&amp;offset=0&amp;query=any,contains,991004041429702656","Catalog Record")</f>
        <v/>
      </c>
      <c r="AT237">
        <f>HYPERLINK("http://www.worldcat.org/oclc/2188953","WorldCat Record")</f>
        <v/>
      </c>
      <c r="AU237" t="inlineStr">
        <is>
          <t>298772:eng</t>
        </is>
      </c>
      <c r="AV237" t="inlineStr">
        <is>
          <t>2188953</t>
        </is>
      </c>
      <c r="AW237" t="inlineStr">
        <is>
          <t>991004041429702656</t>
        </is>
      </c>
      <c r="AX237" t="inlineStr">
        <is>
          <t>991004041429702656</t>
        </is>
      </c>
      <c r="AY237" t="inlineStr">
        <is>
          <t>2265412010002656</t>
        </is>
      </c>
      <c r="AZ237" t="inlineStr">
        <is>
          <t>BOOK</t>
        </is>
      </c>
      <c r="BB237" t="inlineStr">
        <is>
          <t>9780805236330</t>
        </is>
      </c>
      <c r="BC237" t="inlineStr">
        <is>
          <t>32285000972264</t>
        </is>
      </c>
      <c r="BD237" t="inlineStr">
        <is>
          <t>893331139</t>
        </is>
      </c>
    </row>
    <row r="238">
      <c r="A238" t="inlineStr">
        <is>
          <t>No</t>
        </is>
      </c>
      <c r="B238" t="inlineStr">
        <is>
          <t>LB1025.2 .K669 1987</t>
        </is>
      </c>
      <c r="C238" t="inlineStr">
        <is>
          <t>0                      LB 1025200K  669         1987</t>
        </is>
      </c>
      <c r="D238" t="inlineStr">
        <is>
          <t>Effective teaching : principles and practice / Marilyn Kourilsky, Lory Quaranta.</t>
        </is>
      </c>
      <c r="F238" t="inlineStr">
        <is>
          <t>No</t>
        </is>
      </c>
      <c r="G238" t="inlineStr">
        <is>
          <t>1</t>
        </is>
      </c>
      <c r="H238" t="inlineStr">
        <is>
          <t>No</t>
        </is>
      </c>
      <c r="I238" t="inlineStr">
        <is>
          <t>No</t>
        </is>
      </c>
      <c r="J238" t="inlineStr">
        <is>
          <t>0</t>
        </is>
      </c>
      <c r="K238" t="inlineStr">
        <is>
          <t>Kourilsky, Marilyn L.</t>
        </is>
      </c>
      <c r="L238" t="inlineStr">
        <is>
          <t>Glenview, Ill. : Scott, Foresman, c1987.</t>
        </is>
      </c>
      <c r="M238" t="inlineStr">
        <is>
          <t>1987</t>
        </is>
      </c>
      <c r="O238" t="inlineStr">
        <is>
          <t>eng</t>
        </is>
      </c>
      <c r="P238" t="inlineStr">
        <is>
          <t>ilu</t>
        </is>
      </c>
      <c r="R238" t="inlineStr">
        <is>
          <t xml:space="preserve">LB </t>
        </is>
      </c>
      <c r="S238" t="n">
        <v>10</v>
      </c>
      <c r="T238" t="n">
        <v>10</v>
      </c>
      <c r="U238" t="inlineStr">
        <is>
          <t>2005-02-14</t>
        </is>
      </c>
      <c r="V238" t="inlineStr">
        <is>
          <t>2005-02-14</t>
        </is>
      </c>
      <c r="W238" t="inlineStr">
        <is>
          <t>1990-07-02</t>
        </is>
      </c>
      <c r="X238" t="inlineStr">
        <is>
          <t>1990-07-02</t>
        </is>
      </c>
      <c r="Y238" t="n">
        <v>261</v>
      </c>
      <c r="Z238" t="n">
        <v>210</v>
      </c>
      <c r="AA238" t="n">
        <v>217</v>
      </c>
      <c r="AB238" t="n">
        <v>3</v>
      </c>
      <c r="AC238" t="n">
        <v>3</v>
      </c>
      <c r="AD238" t="n">
        <v>8</v>
      </c>
      <c r="AE238" t="n">
        <v>8</v>
      </c>
      <c r="AF238" t="n">
        <v>4</v>
      </c>
      <c r="AG238" t="n">
        <v>4</v>
      </c>
      <c r="AH238" t="n">
        <v>1</v>
      </c>
      <c r="AI238" t="n">
        <v>1</v>
      </c>
      <c r="AJ238" t="n">
        <v>3</v>
      </c>
      <c r="AK238" t="n">
        <v>3</v>
      </c>
      <c r="AL238" t="n">
        <v>2</v>
      </c>
      <c r="AM238" t="n">
        <v>2</v>
      </c>
      <c r="AN238" t="n">
        <v>0</v>
      </c>
      <c r="AO238" t="n">
        <v>0</v>
      </c>
      <c r="AP238" t="inlineStr">
        <is>
          <t>No</t>
        </is>
      </c>
      <c r="AQ238" t="inlineStr">
        <is>
          <t>No</t>
        </is>
      </c>
      <c r="AS238">
        <f>HYPERLINK("https://creighton-primo.hosted.exlibrisgroup.com/primo-explore/search?tab=default_tab&amp;search_scope=EVERYTHING&amp;vid=01CRU&amp;lang=en_US&amp;offset=0&amp;query=any,contains,991000905789702656","Catalog Record")</f>
        <v/>
      </c>
      <c r="AT238">
        <f>HYPERLINK("http://www.worldcat.org/oclc/14098180","WorldCat Record")</f>
        <v/>
      </c>
      <c r="AU238" t="inlineStr">
        <is>
          <t>475047332:eng</t>
        </is>
      </c>
      <c r="AV238" t="inlineStr">
        <is>
          <t>14098180</t>
        </is>
      </c>
      <c r="AW238" t="inlineStr">
        <is>
          <t>991000905789702656</t>
        </is>
      </c>
      <c r="AX238" t="inlineStr">
        <is>
          <t>991000905789702656</t>
        </is>
      </c>
      <c r="AY238" t="inlineStr">
        <is>
          <t>2264765840002656</t>
        </is>
      </c>
      <c r="AZ238" t="inlineStr">
        <is>
          <t>BOOK</t>
        </is>
      </c>
      <c r="BB238" t="inlineStr">
        <is>
          <t>9780673183866</t>
        </is>
      </c>
      <c r="BC238" t="inlineStr">
        <is>
          <t>32285000219633</t>
        </is>
      </c>
      <c r="BD238" t="inlineStr">
        <is>
          <t>893327698</t>
        </is>
      </c>
    </row>
    <row r="239">
      <c r="A239" t="inlineStr">
        <is>
          <t>No</t>
        </is>
      </c>
      <c r="B239" t="inlineStr">
        <is>
          <t>LB1025.2 .L38 1982</t>
        </is>
      </c>
      <c r="C239" t="inlineStr">
        <is>
          <t>0                      LB 1025200L  38          1982</t>
        </is>
      </c>
      <c r="D239" t="inlineStr">
        <is>
          <t>People types and tiger stripes : a practical guide to learning styles / Gordon Lawrence.</t>
        </is>
      </c>
      <c r="F239" t="inlineStr">
        <is>
          <t>No</t>
        </is>
      </c>
      <c r="G239" t="inlineStr">
        <is>
          <t>1</t>
        </is>
      </c>
      <c r="H239" t="inlineStr">
        <is>
          <t>No</t>
        </is>
      </c>
      <c r="I239" t="inlineStr">
        <is>
          <t>No</t>
        </is>
      </c>
      <c r="J239" t="inlineStr">
        <is>
          <t>0</t>
        </is>
      </c>
      <c r="K239" t="inlineStr">
        <is>
          <t>Lawrence, Gordon, 1930-</t>
        </is>
      </c>
      <c r="L239" t="inlineStr">
        <is>
          <t>Gainesville, Fla. : Center for Applications of Psychological Type, c1982.</t>
        </is>
      </c>
      <c r="M239" t="inlineStr">
        <is>
          <t>1982</t>
        </is>
      </c>
      <c r="N239" t="inlineStr">
        <is>
          <t>2nd ed.</t>
        </is>
      </c>
      <c r="O239" t="inlineStr">
        <is>
          <t>eng</t>
        </is>
      </c>
      <c r="P239" t="inlineStr">
        <is>
          <t>flu</t>
        </is>
      </c>
      <c r="R239" t="inlineStr">
        <is>
          <t xml:space="preserve">LB </t>
        </is>
      </c>
      <c r="S239" t="n">
        <v>13</v>
      </c>
      <c r="T239" t="n">
        <v>13</v>
      </c>
      <c r="U239" t="inlineStr">
        <is>
          <t>2007-11-01</t>
        </is>
      </c>
      <c r="V239" t="inlineStr">
        <is>
          <t>2007-11-01</t>
        </is>
      </c>
      <c r="W239" t="inlineStr">
        <is>
          <t>1993-06-21</t>
        </is>
      </c>
      <c r="X239" t="inlineStr">
        <is>
          <t>1993-06-21</t>
        </is>
      </c>
      <c r="Y239" t="n">
        <v>504</v>
      </c>
      <c r="Z239" t="n">
        <v>435</v>
      </c>
      <c r="AA239" t="n">
        <v>759</v>
      </c>
      <c r="AB239" t="n">
        <v>5</v>
      </c>
      <c r="AC239" t="n">
        <v>7</v>
      </c>
      <c r="AD239" t="n">
        <v>15</v>
      </c>
      <c r="AE239" t="n">
        <v>21</v>
      </c>
      <c r="AF239" t="n">
        <v>5</v>
      </c>
      <c r="AG239" t="n">
        <v>7</v>
      </c>
      <c r="AH239" t="n">
        <v>3</v>
      </c>
      <c r="AI239" t="n">
        <v>3</v>
      </c>
      <c r="AJ239" t="n">
        <v>7</v>
      </c>
      <c r="AK239" t="n">
        <v>10</v>
      </c>
      <c r="AL239" t="n">
        <v>3</v>
      </c>
      <c r="AM239" t="n">
        <v>5</v>
      </c>
      <c r="AN239" t="n">
        <v>0</v>
      </c>
      <c r="AO239" t="n">
        <v>0</v>
      </c>
      <c r="AP239" t="inlineStr">
        <is>
          <t>No</t>
        </is>
      </c>
      <c r="AQ239" t="inlineStr">
        <is>
          <t>Yes</t>
        </is>
      </c>
      <c r="AR239">
        <f>HYPERLINK("http://catalog.hathitrust.org/Record/005416207","HathiTrust Record")</f>
        <v/>
      </c>
      <c r="AS239">
        <f>HYPERLINK("https://creighton-primo.hosted.exlibrisgroup.com/primo-explore/search?tab=default_tab&amp;search_scope=EVERYTHING&amp;vid=01CRU&amp;lang=en_US&amp;offset=0&amp;query=any,contains,991005219549702656","Catalog Record")</f>
        <v/>
      </c>
      <c r="AT239">
        <f>HYPERLINK("http://www.worldcat.org/oclc/8219477","WorldCat Record")</f>
        <v/>
      </c>
      <c r="AU239" t="inlineStr">
        <is>
          <t>41258977:eng</t>
        </is>
      </c>
      <c r="AV239" t="inlineStr">
        <is>
          <t>8219477</t>
        </is>
      </c>
      <c r="AW239" t="inlineStr">
        <is>
          <t>991005219549702656</t>
        </is>
      </c>
      <c r="AX239" t="inlineStr">
        <is>
          <t>991005219549702656</t>
        </is>
      </c>
      <c r="AY239" t="inlineStr">
        <is>
          <t>2255659030002656</t>
        </is>
      </c>
      <c r="AZ239" t="inlineStr">
        <is>
          <t>BOOK</t>
        </is>
      </c>
      <c r="BB239" t="inlineStr">
        <is>
          <t>9780935652086</t>
        </is>
      </c>
      <c r="BC239" t="inlineStr">
        <is>
          <t>32285001700011</t>
        </is>
      </c>
      <c r="BD239" t="inlineStr">
        <is>
          <t>893870718</t>
        </is>
      </c>
    </row>
    <row r="240">
      <c r="A240" t="inlineStr">
        <is>
          <t>No</t>
        </is>
      </c>
      <c r="B240" t="inlineStr">
        <is>
          <t>LB1025.2 .L530 1984</t>
        </is>
      </c>
      <c r="C240" t="inlineStr">
        <is>
          <t>0                      LB 1025200L  530         1984</t>
        </is>
      </c>
      <c r="D240" t="inlineStr">
        <is>
          <t>Teachers, their world and their work : implications for school improvement / Ann Lieberman and Lynne Miller.</t>
        </is>
      </c>
      <c r="F240" t="inlineStr">
        <is>
          <t>No</t>
        </is>
      </c>
      <c r="G240" t="inlineStr">
        <is>
          <t>1</t>
        </is>
      </c>
      <c r="H240" t="inlineStr">
        <is>
          <t>No</t>
        </is>
      </c>
      <c r="I240" t="inlineStr">
        <is>
          <t>No</t>
        </is>
      </c>
      <c r="J240" t="inlineStr">
        <is>
          <t>0</t>
        </is>
      </c>
      <c r="K240" t="inlineStr">
        <is>
          <t>Lieberman, Ann.</t>
        </is>
      </c>
      <c r="L240" t="inlineStr">
        <is>
          <t>Alexandria, Va. : Association for Supervision and Curriculum Development, 1984.</t>
        </is>
      </c>
      <c r="M240" t="inlineStr">
        <is>
          <t>1984</t>
        </is>
      </c>
      <c r="O240" t="inlineStr">
        <is>
          <t>eng</t>
        </is>
      </c>
      <c r="P240" t="inlineStr">
        <is>
          <t>vau</t>
        </is>
      </c>
      <c r="R240" t="inlineStr">
        <is>
          <t xml:space="preserve">LB </t>
        </is>
      </c>
      <c r="S240" t="n">
        <v>4</v>
      </c>
      <c r="T240" t="n">
        <v>4</v>
      </c>
      <c r="U240" t="inlineStr">
        <is>
          <t>2002-03-28</t>
        </is>
      </c>
      <c r="V240" t="inlineStr">
        <is>
          <t>2002-03-28</t>
        </is>
      </c>
      <c r="W240" t="inlineStr">
        <is>
          <t>1992-10-20</t>
        </is>
      </c>
      <c r="X240" t="inlineStr">
        <is>
          <t>1992-10-20</t>
        </is>
      </c>
      <c r="Y240" t="n">
        <v>476</v>
      </c>
      <c r="Z240" t="n">
        <v>427</v>
      </c>
      <c r="AA240" t="n">
        <v>570</v>
      </c>
      <c r="AB240" t="n">
        <v>4</v>
      </c>
      <c r="AC240" t="n">
        <v>6</v>
      </c>
      <c r="AD240" t="n">
        <v>15</v>
      </c>
      <c r="AE240" t="n">
        <v>21</v>
      </c>
      <c r="AF240" t="n">
        <v>6</v>
      </c>
      <c r="AG240" t="n">
        <v>6</v>
      </c>
      <c r="AH240" t="n">
        <v>2</v>
      </c>
      <c r="AI240" t="n">
        <v>3</v>
      </c>
      <c r="AJ240" t="n">
        <v>11</v>
      </c>
      <c r="AK240" t="n">
        <v>14</v>
      </c>
      <c r="AL240" t="n">
        <v>2</v>
      </c>
      <c r="AM240" t="n">
        <v>4</v>
      </c>
      <c r="AN240" t="n">
        <v>0</v>
      </c>
      <c r="AO240" t="n">
        <v>0</v>
      </c>
      <c r="AP240" t="inlineStr">
        <is>
          <t>No</t>
        </is>
      </c>
      <c r="AQ240" t="inlineStr">
        <is>
          <t>No</t>
        </is>
      </c>
      <c r="AS240">
        <f>HYPERLINK("https://creighton-primo.hosted.exlibrisgroup.com/primo-explore/search?tab=default_tab&amp;search_scope=EVERYTHING&amp;vid=01CRU&amp;lang=en_US&amp;offset=0&amp;query=any,contains,991000518519702656","Catalog Record")</f>
        <v/>
      </c>
      <c r="AT240">
        <f>HYPERLINK("http://www.worldcat.org/oclc/11314603","WorldCat Record")</f>
        <v/>
      </c>
      <c r="AU240" t="inlineStr">
        <is>
          <t>2517277999:eng</t>
        </is>
      </c>
      <c r="AV240" t="inlineStr">
        <is>
          <t>11314603</t>
        </is>
      </c>
      <c r="AW240" t="inlineStr">
        <is>
          <t>991000518519702656</t>
        </is>
      </c>
      <c r="AX240" t="inlineStr">
        <is>
          <t>991000518519702656</t>
        </is>
      </c>
      <c r="AY240" t="inlineStr">
        <is>
          <t>2256267700002656</t>
        </is>
      </c>
      <c r="AZ240" t="inlineStr">
        <is>
          <t>BOOK</t>
        </is>
      </c>
      <c r="BB240" t="inlineStr">
        <is>
          <t>9780871201270</t>
        </is>
      </c>
      <c r="BC240" t="inlineStr">
        <is>
          <t>32285001352672</t>
        </is>
      </c>
      <c r="BD240" t="inlineStr">
        <is>
          <t>893419532</t>
        </is>
      </c>
    </row>
    <row r="241">
      <c r="A241" t="inlineStr">
        <is>
          <t>No</t>
        </is>
      </c>
      <c r="B241" t="inlineStr">
        <is>
          <t>LB1025.2 .M364 1983</t>
        </is>
      </c>
      <c r="C241" t="inlineStr">
        <is>
          <t>0                      LB 1025200M  364         1983</t>
        </is>
      </c>
      <c r="D241" t="inlineStr">
        <is>
          <t>Mastering instruction / Jack Martin.</t>
        </is>
      </c>
      <c r="F241" t="inlineStr">
        <is>
          <t>No</t>
        </is>
      </c>
      <c r="G241" t="inlineStr">
        <is>
          <t>1</t>
        </is>
      </c>
      <c r="H241" t="inlineStr">
        <is>
          <t>No</t>
        </is>
      </c>
      <c r="I241" t="inlineStr">
        <is>
          <t>No</t>
        </is>
      </c>
      <c r="J241" t="inlineStr">
        <is>
          <t>0</t>
        </is>
      </c>
      <c r="K241" t="inlineStr">
        <is>
          <t>Martin, Jack, 1950-</t>
        </is>
      </c>
      <c r="L241" t="inlineStr">
        <is>
          <t>Boston : Allyn and Bacon, c1983.</t>
        </is>
      </c>
      <c r="M241" t="inlineStr">
        <is>
          <t>1983</t>
        </is>
      </c>
      <c r="O241" t="inlineStr">
        <is>
          <t>eng</t>
        </is>
      </c>
      <c r="P241" t="inlineStr">
        <is>
          <t>mau</t>
        </is>
      </c>
      <c r="R241" t="inlineStr">
        <is>
          <t xml:space="preserve">LB </t>
        </is>
      </c>
      <c r="S241" t="n">
        <v>1</v>
      </c>
      <c r="T241" t="n">
        <v>1</v>
      </c>
      <c r="U241" t="inlineStr">
        <is>
          <t>2003-04-13</t>
        </is>
      </c>
      <c r="V241" t="inlineStr">
        <is>
          <t>2003-04-13</t>
        </is>
      </c>
      <c r="W241" t="inlineStr">
        <is>
          <t>1992-10-20</t>
        </is>
      </c>
      <c r="X241" t="inlineStr">
        <is>
          <t>1992-10-20</t>
        </is>
      </c>
      <c r="Y241" t="n">
        <v>162</v>
      </c>
      <c r="Z241" t="n">
        <v>117</v>
      </c>
      <c r="AA241" t="n">
        <v>119</v>
      </c>
      <c r="AB241" t="n">
        <v>2</v>
      </c>
      <c r="AC241" t="n">
        <v>2</v>
      </c>
      <c r="AD241" t="n">
        <v>6</v>
      </c>
      <c r="AE241" t="n">
        <v>6</v>
      </c>
      <c r="AF241" t="n">
        <v>2</v>
      </c>
      <c r="AG241" t="n">
        <v>2</v>
      </c>
      <c r="AH241" t="n">
        <v>1</v>
      </c>
      <c r="AI241" t="n">
        <v>1</v>
      </c>
      <c r="AJ241" t="n">
        <v>4</v>
      </c>
      <c r="AK241" t="n">
        <v>4</v>
      </c>
      <c r="AL241" t="n">
        <v>1</v>
      </c>
      <c r="AM241" t="n">
        <v>1</v>
      </c>
      <c r="AN241" t="n">
        <v>0</v>
      </c>
      <c r="AO241" t="n">
        <v>0</v>
      </c>
      <c r="AP241" t="inlineStr">
        <is>
          <t>No</t>
        </is>
      </c>
      <c r="AQ241" t="inlineStr">
        <is>
          <t>No</t>
        </is>
      </c>
      <c r="AS241">
        <f>HYPERLINK("https://creighton-primo.hosted.exlibrisgroup.com/primo-explore/search?tab=default_tab&amp;search_scope=EVERYTHING&amp;vid=01CRU&amp;lang=en_US&amp;offset=0&amp;query=any,contains,991000104779702656","Catalog Record")</f>
        <v/>
      </c>
      <c r="AT241">
        <f>HYPERLINK("http://www.worldcat.org/oclc/8974888","WorldCat Record")</f>
        <v/>
      </c>
      <c r="AU241" t="inlineStr">
        <is>
          <t>42728318:eng</t>
        </is>
      </c>
      <c r="AV241" t="inlineStr">
        <is>
          <t>8974888</t>
        </is>
      </c>
      <c r="AW241" t="inlineStr">
        <is>
          <t>991000104779702656</t>
        </is>
      </c>
      <c r="AX241" t="inlineStr">
        <is>
          <t>991000104779702656</t>
        </is>
      </c>
      <c r="AY241" t="inlineStr">
        <is>
          <t>2256959640002656</t>
        </is>
      </c>
      <c r="AZ241" t="inlineStr">
        <is>
          <t>BOOK</t>
        </is>
      </c>
      <c r="BB241" t="inlineStr">
        <is>
          <t>9780205078790</t>
        </is>
      </c>
      <c r="BC241" t="inlineStr">
        <is>
          <t>32285001352680</t>
        </is>
      </c>
      <c r="BD241" t="inlineStr">
        <is>
          <t>893808606</t>
        </is>
      </c>
    </row>
    <row r="242">
      <c r="A242" t="inlineStr">
        <is>
          <t>No</t>
        </is>
      </c>
      <c r="B242" t="inlineStr">
        <is>
          <t>LB1025.2 .M4478 1985</t>
        </is>
      </c>
      <c r="C242" t="inlineStr">
        <is>
          <t>0                      LB 1025200M  4478        1985</t>
        </is>
      </c>
      <c r="D242" t="inlineStr">
        <is>
          <t>Methods for teaching : a skills approach / David Jacobsen ... [et al.].</t>
        </is>
      </c>
      <c r="F242" t="inlineStr">
        <is>
          <t>No</t>
        </is>
      </c>
      <c r="G242" t="inlineStr">
        <is>
          <t>1</t>
        </is>
      </c>
      <c r="H242" t="inlineStr">
        <is>
          <t>No</t>
        </is>
      </c>
      <c r="I242" t="inlineStr">
        <is>
          <t>No</t>
        </is>
      </c>
      <c r="J242" t="inlineStr">
        <is>
          <t>0</t>
        </is>
      </c>
      <c r="L242" t="inlineStr">
        <is>
          <t>Columbus : C.E. Merrill, c1985.</t>
        </is>
      </c>
      <c r="M242" t="inlineStr">
        <is>
          <t>1985</t>
        </is>
      </c>
      <c r="N242" t="inlineStr">
        <is>
          <t>2nd ed.</t>
        </is>
      </c>
      <c r="O242" t="inlineStr">
        <is>
          <t>eng</t>
        </is>
      </c>
      <c r="P242" t="inlineStr">
        <is>
          <t>ohu</t>
        </is>
      </c>
      <c r="R242" t="inlineStr">
        <is>
          <t xml:space="preserve">LB </t>
        </is>
      </c>
      <c r="S242" t="n">
        <v>2</v>
      </c>
      <c r="T242" t="n">
        <v>2</v>
      </c>
      <c r="U242" t="inlineStr">
        <is>
          <t>2001-09-10</t>
        </is>
      </c>
      <c r="V242" t="inlineStr">
        <is>
          <t>2001-09-10</t>
        </is>
      </c>
      <c r="W242" t="inlineStr">
        <is>
          <t>1992-10-20</t>
        </is>
      </c>
      <c r="X242" t="inlineStr">
        <is>
          <t>1992-10-20</t>
        </is>
      </c>
      <c r="Y242" t="n">
        <v>199</v>
      </c>
      <c r="Z242" t="n">
        <v>145</v>
      </c>
      <c r="AA242" t="n">
        <v>424</v>
      </c>
      <c r="AB242" t="n">
        <v>2</v>
      </c>
      <c r="AC242" t="n">
        <v>4</v>
      </c>
      <c r="AD242" t="n">
        <v>7</v>
      </c>
      <c r="AE242" t="n">
        <v>16</v>
      </c>
      <c r="AF242" t="n">
        <v>3</v>
      </c>
      <c r="AG242" t="n">
        <v>7</v>
      </c>
      <c r="AH242" t="n">
        <v>1</v>
      </c>
      <c r="AI242" t="n">
        <v>3</v>
      </c>
      <c r="AJ242" t="n">
        <v>4</v>
      </c>
      <c r="AK242" t="n">
        <v>8</v>
      </c>
      <c r="AL242" t="n">
        <v>1</v>
      </c>
      <c r="AM242" t="n">
        <v>3</v>
      </c>
      <c r="AN242" t="n">
        <v>0</v>
      </c>
      <c r="AO242" t="n">
        <v>0</v>
      </c>
      <c r="AP242" t="inlineStr">
        <is>
          <t>No</t>
        </is>
      </c>
      <c r="AQ242" t="inlineStr">
        <is>
          <t>Yes</t>
        </is>
      </c>
      <c r="AR242">
        <f>HYPERLINK("http://catalog.hathitrust.org/Record/000588641","HathiTrust Record")</f>
        <v/>
      </c>
      <c r="AS242">
        <f>HYPERLINK("https://creighton-primo.hosted.exlibrisgroup.com/primo-explore/search?tab=default_tab&amp;search_scope=EVERYTHING&amp;vid=01CRU&amp;lang=en_US&amp;offset=0&amp;query=any,contains,991000572889702656","Catalog Record")</f>
        <v/>
      </c>
      <c r="AT242">
        <f>HYPERLINK("http://www.worldcat.org/oclc/11669606","WorldCat Record")</f>
        <v/>
      </c>
      <c r="AU242" t="inlineStr">
        <is>
          <t>796298815:eng</t>
        </is>
      </c>
      <c r="AV242" t="inlineStr">
        <is>
          <t>11669606</t>
        </is>
      </c>
      <c r="AW242" t="inlineStr">
        <is>
          <t>991000572889702656</t>
        </is>
      </c>
      <c r="AX242" t="inlineStr">
        <is>
          <t>991000572889702656</t>
        </is>
      </c>
      <c r="AY242" t="inlineStr">
        <is>
          <t>2268805970002656</t>
        </is>
      </c>
      <c r="AZ242" t="inlineStr">
        <is>
          <t>BOOK</t>
        </is>
      </c>
      <c r="BB242" t="inlineStr">
        <is>
          <t>9780675203234</t>
        </is>
      </c>
      <c r="BC242" t="inlineStr">
        <is>
          <t>32285001352706</t>
        </is>
      </c>
      <c r="BD242" t="inlineStr">
        <is>
          <t>893702240</t>
        </is>
      </c>
    </row>
    <row r="243">
      <c r="A243" t="inlineStr">
        <is>
          <t>No</t>
        </is>
      </c>
      <c r="B243" t="inlineStr">
        <is>
          <t>LB1025.2 .M55 1988</t>
        </is>
      </c>
      <c r="C243" t="inlineStr">
        <is>
          <t>0                      LB 1025200M  55          1988</t>
        </is>
      </c>
      <c r="D243" t="inlineStr">
        <is>
          <t>The holistic curriculum / John P. Miller.</t>
        </is>
      </c>
      <c r="F243" t="inlineStr">
        <is>
          <t>No</t>
        </is>
      </c>
      <c r="G243" t="inlineStr">
        <is>
          <t>1</t>
        </is>
      </c>
      <c r="H243" t="inlineStr">
        <is>
          <t>No</t>
        </is>
      </c>
      <c r="I243" t="inlineStr">
        <is>
          <t>No</t>
        </is>
      </c>
      <c r="J243" t="inlineStr">
        <is>
          <t>0</t>
        </is>
      </c>
      <c r="K243" t="inlineStr">
        <is>
          <t>Miller, John P., 1943-</t>
        </is>
      </c>
      <c r="L243" t="inlineStr">
        <is>
          <t>Toronto : OISE Press, c1988.</t>
        </is>
      </c>
      <c r="M243" t="inlineStr">
        <is>
          <t>1988</t>
        </is>
      </c>
      <c r="O243" t="inlineStr">
        <is>
          <t>eng</t>
        </is>
      </c>
      <c r="P243" t="inlineStr">
        <is>
          <t>onc</t>
        </is>
      </c>
      <c r="Q243" t="inlineStr">
        <is>
          <t>Research in education series ; 17</t>
        </is>
      </c>
      <c r="R243" t="inlineStr">
        <is>
          <t xml:space="preserve">LB </t>
        </is>
      </c>
      <c r="S243" t="n">
        <v>3</v>
      </c>
      <c r="T243" t="n">
        <v>3</v>
      </c>
      <c r="U243" t="inlineStr">
        <is>
          <t>2005-04-08</t>
        </is>
      </c>
      <c r="V243" t="inlineStr">
        <is>
          <t>2005-04-08</t>
        </is>
      </c>
      <c r="W243" t="inlineStr">
        <is>
          <t>1992-10-20</t>
        </is>
      </c>
      <c r="X243" t="inlineStr">
        <is>
          <t>1992-10-20</t>
        </is>
      </c>
      <c r="Y243" t="n">
        <v>246</v>
      </c>
      <c r="Z243" t="n">
        <v>152</v>
      </c>
      <c r="AA243" t="n">
        <v>502</v>
      </c>
      <c r="AB243" t="n">
        <v>3</v>
      </c>
      <c r="AC243" t="n">
        <v>6</v>
      </c>
      <c r="AD243" t="n">
        <v>7</v>
      </c>
      <c r="AE243" t="n">
        <v>24</v>
      </c>
      <c r="AF243" t="n">
        <v>2</v>
      </c>
      <c r="AG243" t="n">
        <v>10</v>
      </c>
      <c r="AH243" t="n">
        <v>1</v>
      </c>
      <c r="AI243" t="n">
        <v>4</v>
      </c>
      <c r="AJ243" t="n">
        <v>4</v>
      </c>
      <c r="AK243" t="n">
        <v>10</v>
      </c>
      <c r="AL243" t="n">
        <v>2</v>
      </c>
      <c r="AM243" t="n">
        <v>4</v>
      </c>
      <c r="AN243" t="n">
        <v>0</v>
      </c>
      <c r="AO243" t="n">
        <v>0</v>
      </c>
      <c r="AP243" t="inlineStr">
        <is>
          <t>No</t>
        </is>
      </c>
      <c r="AQ243" t="inlineStr">
        <is>
          <t>No</t>
        </is>
      </c>
      <c r="AS243">
        <f>HYPERLINK("https://creighton-primo.hosted.exlibrisgroup.com/primo-explore/search?tab=default_tab&amp;search_scope=EVERYTHING&amp;vid=01CRU&amp;lang=en_US&amp;offset=0&amp;query=any,contains,991001261509702656","Catalog Record")</f>
        <v/>
      </c>
      <c r="AT243">
        <f>HYPERLINK("http://www.worldcat.org/oclc/17768632","WorldCat Record")</f>
        <v/>
      </c>
      <c r="AU243" t="inlineStr">
        <is>
          <t>597027:eng</t>
        </is>
      </c>
      <c r="AV243" t="inlineStr">
        <is>
          <t>17768632</t>
        </is>
      </c>
      <c r="AW243" t="inlineStr">
        <is>
          <t>991001261509702656</t>
        </is>
      </c>
      <c r="AX243" t="inlineStr">
        <is>
          <t>991001261509702656</t>
        </is>
      </c>
      <c r="AY243" t="inlineStr">
        <is>
          <t>2258911110002656</t>
        </is>
      </c>
      <c r="AZ243" t="inlineStr">
        <is>
          <t>BOOK</t>
        </is>
      </c>
      <c r="BB243" t="inlineStr">
        <is>
          <t>9780774403207</t>
        </is>
      </c>
      <c r="BC243" t="inlineStr">
        <is>
          <t>32285001352730</t>
        </is>
      </c>
      <c r="BD243" t="inlineStr">
        <is>
          <t>893866095</t>
        </is>
      </c>
    </row>
    <row r="244">
      <c r="A244" t="inlineStr">
        <is>
          <t>No</t>
        </is>
      </c>
      <c r="B244" t="inlineStr">
        <is>
          <t>LB1025.2 .M57 1982</t>
        </is>
      </c>
      <c r="C244" t="inlineStr">
        <is>
          <t>0                      LB 1025200M  57          1982</t>
        </is>
      </c>
      <c r="D244" t="inlineStr">
        <is>
          <t>Philosophy of education : an introduction / T.W. Moore.</t>
        </is>
      </c>
      <c r="F244" t="inlineStr">
        <is>
          <t>No</t>
        </is>
      </c>
      <c r="G244" t="inlineStr">
        <is>
          <t>1</t>
        </is>
      </c>
      <c r="H244" t="inlineStr">
        <is>
          <t>No</t>
        </is>
      </c>
      <c r="I244" t="inlineStr">
        <is>
          <t>No</t>
        </is>
      </c>
      <c r="J244" t="inlineStr">
        <is>
          <t>0</t>
        </is>
      </c>
      <c r="K244" t="inlineStr">
        <is>
          <t>Moore, T. W.</t>
        </is>
      </c>
      <c r="L244" t="inlineStr">
        <is>
          <t>London ; Boston : Routledge &amp; K. Paul, 1982.</t>
        </is>
      </c>
      <c r="M244" t="inlineStr">
        <is>
          <t>1982</t>
        </is>
      </c>
      <c r="O244" t="inlineStr">
        <is>
          <t>eng</t>
        </is>
      </c>
      <c r="P244" t="inlineStr">
        <is>
          <t>enk</t>
        </is>
      </c>
      <c r="Q244" t="inlineStr">
        <is>
          <t>International library of the philosophy of education</t>
        </is>
      </c>
      <c r="R244" t="inlineStr">
        <is>
          <t xml:space="preserve">LB </t>
        </is>
      </c>
      <c r="S244" t="n">
        <v>14</v>
      </c>
      <c r="T244" t="n">
        <v>14</v>
      </c>
      <c r="U244" t="inlineStr">
        <is>
          <t>2010-04-13</t>
        </is>
      </c>
      <c r="V244" t="inlineStr">
        <is>
          <t>2010-04-13</t>
        </is>
      </c>
      <c r="W244" t="inlineStr">
        <is>
          <t>1992-10-20</t>
        </is>
      </c>
      <c r="X244" t="inlineStr">
        <is>
          <t>1992-10-20</t>
        </is>
      </c>
      <c r="Y244" t="n">
        <v>417</v>
      </c>
      <c r="Z244" t="n">
        <v>246</v>
      </c>
      <c r="AA244" t="n">
        <v>289</v>
      </c>
      <c r="AB244" t="n">
        <v>4</v>
      </c>
      <c r="AC244" t="n">
        <v>4</v>
      </c>
      <c r="AD244" t="n">
        <v>17</v>
      </c>
      <c r="AE244" t="n">
        <v>18</v>
      </c>
      <c r="AF244" t="n">
        <v>7</v>
      </c>
      <c r="AG244" t="n">
        <v>8</v>
      </c>
      <c r="AH244" t="n">
        <v>4</v>
      </c>
      <c r="AI244" t="n">
        <v>4</v>
      </c>
      <c r="AJ244" t="n">
        <v>8</v>
      </c>
      <c r="AK244" t="n">
        <v>9</v>
      </c>
      <c r="AL244" t="n">
        <v>3</v>
      </c>
      <c r="AM244" t="n">
        <v>3</v>
      </c>
      <c r="AN244" t="n">
        <v>0</v>
      </c>
      <c r="AO244" t="n">
        <v>0</v>
      </c>
      <c r="AP244" t="inlineStr">
        <is>
          <t>No</t>
        </is>
      </c>
      <c r="AQ244" t="inlineStr">
        <is>
          <t>No</t>
        </is>
      </c>
      <c r="AS244">
        <f>HYPERLINK("https://creighton-primo.hosted.exlibrisgroup.com/primo-explore/search?tab=default_tab&amp;search_scope=EVERYTHING&amp;vid=01CRU&amp;lang=en_US&amp;offset=0&amp;query=any,contains,991005219929702656","Catalog Record")</f>
        <v/>
      </c>
      <c r="AT244">
        <f>HYPERLINK("http://www.worldcat.org/oclc/8220732","WorldCat Record")</f>
        <v/>
      </c>
      <c r="AU244" t="inlineStr">
        <is>
          <t>3943511096:eng</t>
        </is>
      </c>
      <c r="AV244" t="inlineStr">
        <is>
          <t>8220732</t>
        </is>
      </c>
      <c r="AW244" t="inlineStr">
        <is>
          <t>991005219929702656</t>
        </is>
      </c>
      <c r="AX244" t="inlineStr">
        <is>
          <t>991005219929702656</t>
        </is>
      </c>
      <c r="AY244" t="inlineStr">
        <is>
          <t>2268519910002656</t>
        </is>
      </c>
      <c r="AZ244" t="inlineStr">
        <is>
          <t>BOOK</t>
        </is>
      </c>
      <c r="BB244" t="inlineStr">
        <is>
          <t>9780710091925</t>
        </is>
      </c>
      <c r="BC244" t="inlineStr">
        <is>
          <t>32285001352748</t>
        </is>
      </c>
      <c r="BD244" t="inlineStr">
        <is>
          <t>893713661</t>
        </is>
      </c>
    </row>
    <row r="245">
      <c r="A245" t="inlineStr">
        <is>
          <t>No</t>
        </is>
      </c>
      <c r="B245" t="inlineStr">
        <is>
          <t>LB1025.2 .O76</t>
        </is>
      </c>
      <c r="C245" t="inlineStr">
        <is>
          <t>0                      LB 1025200O  76</t>
        </is>
      </c>
      <c r="D245" t="inlineStr">
        <is>
          <t>Looking into teaching : an introduction to American education / Allan C. Ornstein, Harry L. Miller.</t>
        </is>
      </c>
      <c r="F245" t="inlineStr">
        <is>
          <t>No</t>
        </is>
      </c>
      <c r="G245" t="inlineStr">
        <is>
          <t>1</t>
        </is>
      </c>
      <c r="H245" t="inlineStr">
        <is>
          <t>No</t>
        </is>
      </c>
      <c r="I245" t="inlineStr">
        <is>
          <t>No</t>
        </is>
      </c>
      <c r="J245" t="inlineStr">
        <is>
          <t>0</t>
        </is>
      </c>
      <c r="K245" t="inlineStr">
        <is>
          <t>Ornstein, Allan C.</t>
        </is>
      </c>
      <c r="L245" t="inlineStr">
        <is>
          <t>Chicago : Rand McNally College Pub. Co., c1980.</t>
        </is>
      </c>
      <c r="M245" t="inlineStr">
        <is>
          <t>1980</t>
        </is>
      </c>
      <c r="O245" t="inlineStr">
        <is>
          <t>eng</t>
        </is>
      </c>
      <c r="P245" t="inlineStr">
        <is>
          <t>ilu</t>
        </is>
      </c>
      <c r="Q245" t="inlineStr">
        <is>
          <t>Rand McNally education series</t>
        </is>
      </c>
      <c r="R245" t="inlineStr">
        <is>
          <t xml:space="preserve">LB </t>
        </is>
      </c>
      <c r="S245" t="n">
        <v>11</v>
      </c>
      <c r="T245" t="n">
        <v>11</v>
      </c>
      <c r="U245" t="inlineStr">
        <is>
          <t>2002-01-21</t>
        </is>
      </c>
      <c r="V245" t="inlineStr">
        <is>
          <t>2002-01-21</t>
        </is>
      </c>
      <c r="W245" t="inlineStr">
        <is>
          <t>1992-02-07</t>
        </is>
      </c>
      <c r="X245" t="inlineStr">
        <is>
          <t>1992-02-07</t>
        </is>
      </c>
      <c r="Y245" t="n">
        <v>144</v>
      </c>
      <c r="Z245" t="n">
        <v>120</v>
      </c>
      <c r="AA245" t="n">
        <v>132</v>
      </c>
      <c r="AB245" t="n">
        <v>3</v>
      </c>
      <c r="AC245" t="n">
        <v>3</v>
      </c>
      <c r="AD245" t="n">
        <v>6</v>
      </c>
      <c r="AE245" t="n">
        <v>7</v>
      </c>
      <c r="AF245" t="n">
        <v>3</v>
      </c>
      <c r="AG245" t="n">
        <v>4</v>
      </c>
      <c r="AH245" t="n">
        <v>0</v>
      </c>
      <c r="AI245" t="n">
        <v>0</v>
      </c>
      <c r="AJ245" t="n">
        <v>2</v>
      </c>
      <c r="AK245" t="n">
        <v>3</v>
      </c>
      <c r="AL245" t="n">
        <v>2</v>
      </c>
      <c r="AM245" t="n">
        <v>2</v>
      </c>
      <c r="AN245" t="n">
        <v>0</v>
      </c>
      <c r="AO245" t="n">
        <v>0</v>
      </c>
      <c r="AP245" t="inlineStr">
        <is>
          <t>No</t>
        </is>
      </c>
      <c r="AQ245" t="inlineStr">
        <is>
          <t>No</t>
        </is>
      </c>
      <c r="AS245">
        <f>HYPERLINK("https://creighton-primo.hosted.exlibrisgroup.com/primo-explore/search?tab=default_tab&amp;search_scope=EVERYTHING&amp;vid=01CRU&amp;lang=en_US&amp;offset=0&amp;query=any,contains,991004958439702656","Catalog Record")</f>
        <v/>
      </c>
      <c r="AT245">
        <f>HYPERLINK("http://www.worldcat.org/oclc/6294082","WorldCat Record")</f>
        <v/>
      </c>
      <c r="AU245" t="inlineStr">
        <is>
          <t>21864105:eng</t>
        </is>
      </c>
      <c r="AV245" t="inlineStr">
        <is>
          <t>6294082</t>
        </is>
      </c>
      <c r="AW245" t="inlineStr">
        <is>
          <t>991004958439702656</t>
        </is>
      </c>
      <c r="AX245" t="inlineStr">
        <is>
          <t>991004958439702656</t>
        </is>
      </c>
      <c r="AY245" t="inlineStr">
        <is>
          <t>2270329590002656</t>
        </is>
      </c>
      <c r="AZ245" t="inlineStr">
        <is>
          <t>BOOK</t>
        </is>
      </c>
      <c r="BB245" t="inlineStr">
        <is>
          <t>9780528612534</t>
        </is>
      </c>
      <c r="BC245" t="inlineStr">
        <is>
          <t>32285000950674</t>
        </is>
      </c>
      <c r="BD245" t="inlineStr">
        <is>
          <t>893446478</t>
        </is>
      </c>
    </row>
    <row r="246">
      <c r="A246" t="inlineStr">
        <is>
          <t>No</t>
        </is>
      </c>
      <c r="B246" t="inlineStr">
        <is>
          <t>LB1025.2 .O762 1990</t>
        </is>
      </c>
      <c r="C246" t="inlineStr">
        <is>
          <t>0                      LB 1025200O  762         1990</t>
        </is>
      </c>
      <c r="D246" t="inlineStr">
        <is>
          <t>Strategies for effective teaching / Allan C. Ornstein.</t>
        </is>
      </c>
      <c r="F246" t="inlineStr">
        <is>
          <t>No</t>
        </is>
      </c>
      <c r="G246" t="inlineStr">
        <is>
          <t>1</t>
        </is>
      </c>
      <c r="H246" t="inlineStr">
        <is>
          <t>No</t>
        </is>
      </c>
      <c r="I246" t="inlineStr">
        <is>
          <t>No</t>
        </is>
      </c>
      <c r="J246" t="inlineStr">
        <is>
          <t>0</t>
        </is>
      </c>
      <c r="K246" t="inlineStr">
        <is>
          <t>Ornstein, Allan C.</t>
        </is>
      </c>
      <c r="L246" t="inlineStr">
        <is>
          <t>New York : Harper &amp; Row, c1990.</t>
        </is>
      </c>
      <c r="M246" t="inlineStr">
        <is>
          <t>1990</t>
        </is>
      </c>
      <c r="O246" t="inlineStr">
        <is>
          <t>eng</t>
        </is>
      </c>
      <c r="P246" t="inlineStr">
        <is>
          <t>nyu</t>
        </is>
      </c>
      <c r="R246" t="inlineStr">
        <is>
          <t xml:space="preserve">LB </t>
        </is>
      </c>
      <c r="S246" t="n">
        <v>22</v>
      </c>
      <c r="T246" t="n">
        <v>22</v>
      </c>
      <c r="U246" t="inlineStr">
        <is>
          <t>2005-09-08</t>
        </is>
      </c>
      <c r="V246" t="inlineStr">
        <is>
          <t>2005-09-08</t>
        </is>
      </c>
      <c r="W246" t="inlineStr">
        <is>
          <t>1990-12-28</t>
        </is>
      </c>
      <c r="X246" t="inlineStr">
        <is>
          <t>1990-12-28</t>
        </is>
      </c>
      <c r="Y246" t="n">
        <v>211</v>
      </c>
      <c r="Z246" t="n">
        <v>149</v>
      </c>
      <c r="AA246" t="n">
        <v>358</v>
      </c>
      <c r="AB246" t="n">
        <v>1</v>
      </c>
      <c r="AC246" t="n">
        <v>2</v>
      </c>
      <c r="AD246" t="n">
        <v>5</v>
      </c>
      <c r="AE246" t="n">
        <v>14</v>
      </c>
      <c r="AF246" t="n">
        <v>2</v>
      </c>
      <c r="AG246" t="n">
        <v>5</v>
      </c>
      <c r="AH246" t="n">
        <v>2</v>
      </c>
      <c r="AI246" t="n">
        <v>3</v>
      </c>
      <c r="AJ246" t="n">
        <v>4</v>
      </c>
      <c r="AK246" t="n">
        <v>10</v>
      </c>
      <c r="AL246" t="n">
        <v>0</v>
      </c>
      <c r="AM246" t="n">
        <v>1</v>
      </c>
      <c r="AN246" t="n">
        <v>0</v>
      </c>
      <c r="AO246" t="n">
        <v>0</v>
      </c>
      <c r="AP246" t="inlineStr">
        <is>
          <t>No</t>
        </is>
      </c>
      <c r="AQ246" t="inlineStr">
        <is>
          <t>Yes</t>
        </is>
      </c>
      <c r="AR246">
        <f>HYPERLINK("http://catalog.hathitrust.org/Record/007472816","HathiTrust Record")</f>
        <v/>
      </c>
      <c r="AS246">
        <f>HYPERLINK("https://creighton-primo.hosted.exlibrisgroup.com/primo-explore/search?tab=default_tab&amp;search_scope=EVERYTHING&amp;vid=01CRU&amp;lang=en_US&amp;offset=0&amp;query=any,contains,991001604269702656","Catalog Record")</f>
        <v/>
      </c>
      <c r="AT246">
        <f>HYPERLINK("http://www.worldcat.org/oclc/20690543","WorldCat Record")</f>
        <v/>
      </c>
      <c r="AU246" t="inlineStr">
        <is>
          <t>654138:eng</t>
        </is>
      </c>
      <c r="AV246" t="inlineStr">
        <is>
          <t>20690543</t>
        </is>
      </c>
      <c r="AW246" t="inlineStr">
        <is>
          <t>991001604269702656</t>
        </is>
      </c>
      <c r="AX246" t="inlineStr">
        <is>
          <t>991001604269702656</t>
        </is>
      </c>
      <c r="AY246" t="inlineStr">
        <is>
          <t>2258062100002656</t>
        </is>
      </c>
      <c r="AZ246" t="inlineStr">
        <is>
          <t>BOOK</t>
        </is>
      </c>
      <c r="BB246" t="inlineStr">
        <is>
          <t>9780060449278</t>
        </is>
      </c>
      <c r="BC246" t="inlineStr">
        <is>
          <t>32285000405786</t>
        </is>
      </c>
      <c r="BD246" t="inlineStr">
        <is>
          <t>893772687</t>
        </is>
      </c>
    </row>
    <row r="247">
      <c r="A247" t="inlineStr">
        <is>
          <t>No</t>
        </is>
      </c>
      <c r="B247" t="inlineStr">
        <is>
          <t>LB1025.2 .P34</t>
        </is>
      </c>
      <c r="C247" t="inlineStr">
        <is>
          <t>0                      LB 1025200P  34</t>
        </is>
      </c>
      <c r="D247" t="inlineStr">
        <is>
          <t>Teaching today : tasks and challenges / [compiled by] J. Michael Palardy.</t>
        </is>
      </c>
      <c r="F247" t="inlineStr">
        <is>
          <t>No</t>
        </is>
      </c>
      <c r="G247" t="inlineStr">
        <is>
          <t>1</t>
        </is>
      </c>
      <c r="H247" t="inlineStr">
        <is>
          <t>No</t>
        </is>
      </c>
      <c r="I247" t="inlineStr">
        <is>
          <t>No</t>
        </is>
      </c>
      <c r="J247" t="inlineStr">
        <is>
          <t>0</t>
        </is>
      </c>
      <c r="K247" t="inlineStr">
        <is>
          <t>Palardy, J. Michael, compiler.</t>
        </is>
      </c>
      <c r="L247" t="inlineStr">
        <is>
          <t>New York : Macmillan, [1975]</t>
        </is>
      </c>
      <c r="M247" t="inlineStr">
        <is>
          <t>1975</t>
        </is>
      </c>
      <c r="O247" t="inlineStr">
        <is>
          <t>eng</t>
        </is>
      </c>
      <c r="P247" t="inlineStr">
        <is>
          <t>nyu</t>
        </is>
      </c>
      <c r="R247" t="inlineStr">
        <is>
          <t xml:space="preserve">LB </t>
        </is>
      </c>
      <c r="S247" t="n">
        <v>18</v>
      </c>
      <c r="T247" t="n">
        <v>18</v>
      </c>
      <c r="U247" t="inlineStr">
        <is>
          <t>2009-02-09</t>
        </is>
      </c>
      <c r="V247" t="inlineStr">
        <is>
          <t>2009-02-09</t>
        </is>
      </c>
      <c r="W247" t="inlineStr">
        <is>
          <t>1992-01-24</t>
        </is>
      </c>
      <c r="X247" t="inlineStr">
        <is>
          <t>1992-01-24</t>
        </is>
      </c>
      <c r="Y247" t="n">
        <v>340</v>
      </c>
      <c r="Z247" t="n">
        <v>297</v>
      </c>
      <c r="AA247" t="n">
        <v>302</v>
      </c>
      <c r="AB247" t="n">
        <v>4</v>
      </c>
      <c r="AC247" t="n">
        <v>4</v>
      </c>
      <c r="AD247" t="n">
        <v>13</v>
      </c>
      <c r="AE247" t="n">
        <v>13</v>
      </c>
      <c r="AF247" t="n">
        <v>6</v>
      </c>
      <c r="AG247" t="n">
        <v>6</v>
      </c>
      <c r="AH247" t="n">
        <v>2</v>
      </c>
      <c r="AI247" t="n">
        <v>2</v>
      </c>
      <c r="AJ247" t="n">
        <v>4</v>
      </c>
      <c r="AK247" t="n">
        <v>4</v>
      </c>
      <c r="AL247" t="n">
        <v>3</v>
      </c>
      <c r="AM247" t="n">
        <v>3</v>
      </c>
      <c r="AN247" t="n">
        <v>0</v>
      </c>
      <c r="AO247" t="n">
        <v>0</v>
      </c>
      <c r="AP247" t="inlineStr">
        <is>
          <t>No</t>
        </is>
      </c>
      <c r="AQ247" t="inlineStr">
        <is>
          <t>No</t>
        </is>
      </c>
      <c r="AS247">
        <f>HYPERLINK("https://creighton-primo.hosted.exlibrisgroup.com/primo-explore/search?tab=default_tab&amp;search_scope=EVERYTHING&amp;vid=01CRU&amp;lang=en_US&amp;offset=0&amp;query=any,contains,991003395529702656","Catalog Record")</f>
        <v/>
      </c>
      <c r="AT247">
        <f>HYPERLINK("http://www.worldcat.org/oclc/934375","WorldCat Record")</f>
        <v/>
      </c>
      <c r="AU247" t="inlineStr">
        <is>
          <t>3857852067:eng</t>
        </is>
      </c>
      <c r="AV247" t="inlineStr">
        <is>
          <t>934375</t>
        </is>
      </c>
      <c r="AW247" t="inlineStr">
        <is>
          <t>991003395529702656</t>
        </is>
      </c>
      <c r="AX247" t="inlineStr">
        <is>
          <t>991003395529702656</t>
        </is>
      </c>
      <c r="AY247" t="inlineStr">
        <is>
          <t>2269648150002656</t>
        </is>
      </c>
      <c r="AZ247" t="inlineStr">
        <is>
          <t>BOOK</t>
        </is>
      </c>
      <c r="BB247" t="inlineStr">
        <is>
          <t>9780023904103</t>
        </is>
      </c>
      <c r="BC247" t="inlineStr">
        <is>
          <t>32285000917483</t>
        </is>
      </c>
      <c r="BD247" t="inlineStr">
        <is>
          <t>893342526</t>
        </is>
      </c>
    </row>
    <row r="248">
      <c r="A248" t="inlineStr">
        <is>
          <t>No</t>
        </is>
      </c>
      <c r="B248" t="inlineStr">
        <is>
          <t>LB1025.2 .P375 1980</t>
        </is>
      </c>
      <c r="C248" t="inlineStr">
        <is>
          <t>0                      LB 1025200P  375         1980</t>
        </is>
      </c>
      <c r="D248" t="inlineStr">
        <is>
          <t>The philosophy of teaching / John Passmore.</t>
        </is>
      </c>
      <c r="F248" t="inlineStr">
        <is>
          <t>No</t>
        </is>
      </c>
      <c r="G248" t="inlineStr">
        <is>
          <t>1</t>
        </is>
      </c>
      <c r="H248" t="inlineStr">
        <is>
          <t>No</t>
        </is>
      </c>
      <c r="I248" t="inlineStr">
        <is>
          <t>No</t>
        </is>
      </c>
      <c r="J248" t="inlineStr">
        <is>
          <t>0</t>
        </is>
      </c>
      <c r="K248" t="inlineStr">
        <is>
          <t>Passmore, John Arthur.</t>
        </is>
      </c>
      <c r="L248" t="inlineStr">
        <is>
          <t>Cambridge, Mass. : Harvard University Press, 1980.</t>
        </is>
      </c>
      <c r="M248" t="inlineStr">
        <is>
          <t>1980</t>
        </is>
      </c>
      <c r="O248" t="inlineStr">
        <is>
          <t>eng</t>
        </is>
      </c>
      <c r="P248" t="inlineStr">
        <is>
          <t>mau</t>
        </is>
      </c>
      <c r="R248" t="inlineStr">
        <is>
          <t xml:space="preserve">LB </t>
        </is>
      </c>
      <c r="S248" t="n">
        <v>21</v>
      </c>
      <c r="T248" t="n">
        <v>21</v>
      </c>
      <c r="U248" t="inlineStr">
        <is>
          <t>2010-04-13</t>
        </is>
      </c>
      <c r="V248" t="inlineStr">
        <is>
          <t>2010-04-13</t>
        </is>
      </c>
      <c r="W248" t="inlineStr">
        <is>
          <t>1992-10-20</t>
        </is>
      </c>
      <c r="X248" t="inlineStr">
        <is>
          <t>1992-10-20</t>
        </is>
      </c>
      <c r="Y248" t="n">
        <v>542</v>
      </c>
      <c r="Z248" t="n">
        <v>477</v>
      </c>
      <c r="AA248" t="n">
        <v>527</v>
      </c>
      <c r="AB248" t="n">
        <v>8</v>
      </c>
      <c r="AC248" t="n">
        <v>9</v>
      </c>
      <c r="AD248" t="n">
        <v>30</v>
      </c>
      <c r="AE248" t="n">
        <v>35</v>
      </c>
      <c r="AF248" t="n">
        <v>10</v>
      </c>
      <c r="AG248" t="n">
        <v>11</v>
      </c>
      <c r="AH248" t="n">
        <v>6</v>
      </c>
      <c r="AI248" t="n">
        <v>7</v>
      </c>
      <c r="AJ248" t="n">
        <v>15</v>
      </c>
      <c r="AK248" t="n">
        <v>19</v>
      </c>
      <c r="AL248" t="n">
        <v>7</v>
      </c>
      <c r="AM248" t="n">
        <v>8</v>
      </c>
      <c r="AN248" t="n">
        <v>0</v>
      </c>
      <c r="AO248" t="n">
        <v>0</v>
      </c>
      <c r="AP248" t="inlineStr">
        <is>
          <t>No</t>
        </is>
      </c>
      <c r="AQ248" t="inlineStr">
        <is>
          <t>Yes</t>
        </is>
      </c>
      <c r="AR248">
        <f>HYPERLINK("http://catalog.hathitrust.org/Record/008307187","HathiTrust Record")</f>
        <v/>
      </c>
      <c r="AS248">
        <f>HYPERLINK("https://creighton-primo.hosted.exlibrisgroup.com/primo-explore/search?tab=default_tab&amp;search_scope=EVERYTHING&amp;vid=01CRU&amp;lang=en_US&amp;offset=0&amp;query=any,contains,991004930469702656","Catalog Record")</f>
        <v/>
      </c>
      <c r="AT248">
        <f>HYPERLINK("http://www.worldcat.org/oclc/6092581","WorldCat Record")</f>
        <v/>
      </c>
      <c r="AU248" t="inlineStr">
        <is>
          <t>21063363:eng</t>
        </is>
      </c>
      <c r="AV248" t="inlineStr">
        <is>
          <t>6092581</t>
        </is>
      </c>
      <c r="AW248" t="inlineStr">
        <is>
          <t>991004930469702656</t>
        </is>
      </c>
      <c r="AX248" t="inlineStr">
        <is>
          <t>991004930469702656</t>
        </is>
      </c>
      <c r="AY248" t="inlineStr">
        <is>
          <t>2263390210002656</t>
        </is>
      </c>
      <c r="AZ248" t="inlineStr">
        <is>
          <t>BOOK</t>
        </is>
      </c>
      <c r="BB248" t="inlineStr">
        <is>
          <t>9780674665651</t>
        </is>
      </c>
      <c r="BC248" t="inlineStr">
        <is>
          <t>32285001352771</t>
        </is>
      </c>
      <c r="BD248" t="inlineStr">
        <is>
          <t>893694516</t>
        </is>
      </c>
    </row>
    <row r="249">
      <c r="A249" t="inlineStr">
        <is>
          <t>No</t>
        </is>
      </c>
      <c r="B249" t="inlineStr">
        <is>
          <t>LB1025.2 .P413 1984</t>
        </is>
      </c>
      <c r="C249" t="inlineStr">
        <is>
          <t>0                      LB 1025200P  413         1984</t>
        </is>
      </c>
      <c r="D249" t="inlineStr">
        <is>
          <t>Perspectives on effective teaching and the cooperative classroom / Judy Reinhartz, editor ; Elliot W. Eisner ... [et al.].</t>
        </is>
      </c>
      <c r="F249" t="inlineStr">
        <is>
          <t>No</t>
        </is>
      </c>
      <c r="G249" t="inlineStr">
        <is>
          <t>1</t>
        </is>
      </c>
      <c r="H249" t="inlineStr">
        <is>
          <t>No</t>
        </is>
      </c>
      <c r="I249" t="inlineStr">
        <is>
          <t>No</t>
        </is>
      </c>
      <c r="J249" t="inlineStr">
        <is>
          <t>0</t>
        </is>
      </c>
      <c r="L249" t="inlineStr">
        <is>
          <t>Washington, D.C. : NEA Professional Library, National Education Association, c1984.</t>
        </is>
      </c>
      <c r="M249" t="inlineStr">
        <is>
          <t>1984</t>
        </is>
      </c>
      <c r="O249" t="inlineStr">
        <is>
          <t>eng</t>
        </is>
      </c>
      <c r="P249" t="inlineStr">
        <is>
          <t>dcu</t>
        </is>
      </c>
      <c r="Q249" t="inlineStr">
        <is>
          <t>Analysis and action series</t>
        </is>
      </c>
      <c r="R249" t="inlineStr">
        <is>
          <t xml:space="preserve">LB </t>
        </is>
      </c>
      <c r="S249" t="n">
        <v>3</v>
      </c>
      <c r="T249" t="n">
        <v>3</v>
      </c>
      <c r="U249" t="inlineStr">
        <is>
          <t>2006-09-13</t>
        </is>
      </c>
      <c r="V249" t="inlineStr">
        <is>
          <t>2006-09-13</t>
        </is>
      </c>
      <c r="W249" t="inlineStr">
        <is>
          <t>1992-10-20</t>
        </is>
      </c>
      <c r="X249" t="inlineStr">
        <is>
          <t>1992-10-20</t>
        </is>
      </c>
      <c r="Y249" t="n">
        <v>242</v>
      </c>
      <c r="Z249" t="n">
        <v>235</v>
      </c>
      <c r="AA249" t="n">
        <v>237</v>
      </c>
      <c r="AB249" t="n">
        <v>3</v>
      </c>
      <c r="AC249" t="n">
        <v>3</v>
      </c>
      <c r="AD249" t="n">
        <v>7</v>
      </c>
      <c r="AE249" t="n">
        <v>7</v>
      </c>
      <c r="AF249" t="n">
        <v>4</v>
      </c>
      <c r="AG249" t="n">
        <v>4</v>
      </c>
      <c r="AH249" t="n">
        <v>1</v>
      </c>
      <c r="AI249" t="n">
        <v>1</v>
      </c>
      <c r="AJ249" t="n">
        <v>3</v>
      </c>
      <c r="AK249" t="n">
        <v>3</v>
      </c>
      <c r="AL249" t="n">
        <v>2</v>
      </c>
      <c r="AM249" t="n">
        <v>2</v>
      </c>
      <c r="AN249" t="n">
        <v>0</v>
      </c>
      <c r="AO249" t="n">
        <v>0</v>
      </c>
      <c r="AP249" t="inlineStr">
        <is>
          <t>No</t>
        </is>
      </c>
      <c r="AQ249" t="inlineStr">
        <is>
          <t>Yes</t>
        </is>
      </c>
      <c r="AR249">
        <f>HYPERLINK("http://catalog.hathitrust.org/Record/000340100","HathiTrust Record")</f>
        <v/>
      </c>
      <c r="AS249">
        <f>HYPERLINK("https://creighton-primo.hosted.exlibrisgroup.com/primo-explore/search?tab=default_tab&amp;search_scope=EVERYTHING&amp;vid=01CRU&amp;lang=en_US&amp;offset=0&amp;query=any,contains,991000456509702656","Catalog Record")</f>
        <v/>
      </c>
      <c r="AT249">
        <f>HYPERLINK("http://www.worldcat.org/oclc/10914040","WorldCat Record")</f>
        <v/>
      </c>
      <c r="AU249" t="inlineStr">
        <is>
          <t>1075864:eng</t>
        </is>
      </c>
      <c r="AV249" t="inlineStr">
        <is>
          <t>10914040</t>
        </is>
      </c>
      <c r="AW249" t="inlineStr">
        <is>
          <t>991000456509702656</t>
        </is>
      </c>
      <c r="AX249" t="inlineStr">
        <is>
          <t>991000456509702656</t>
        </is>
      </c>
      <c r="AY249" t="inlineStr">
        <is>
          <t>2256460030002656</t>
        </is>
      </c>
      <c r="AZ249" t="inlineStr">
        <is>
          <t>BOOK</t>
        </is>
      </c>
      <c r="BB249" t="inlineStr">
        <is>
          <t>9780810616912</t>
        </is>
      </c>
      <c r="BC249" t="inlineStr">
        <is>
          <t>32285001352789</t>
        </is>
      </c>
      <c r="BD249" t="inlineStr">
        <is>
          <t>893871669</t>
        </is>
      </c>
    </row>
    <row r="250">
      <c r="A250" t="inlineStr">
        <is>
          <t>No</t>
        </is>
      </c>
      <c r="B250" t="inlineStr">
        <is>
          <t>LB1025.2 .P656 1984</t>
        </is>
      </c>
      <c r="C250" t="inlineStr">
        <is>
          <t>0                      LB 1025200P  656         1984</t>
        </is>
      </c>
      <c r="D250" t="inlineStr">
        <is>
          <t>Preparing for reflective teaching / [compiled by] Carl A. Grant.</t>
        </is>
      </c>
      <c r="F250" t="inlineStr">
        <is>
          <t>No</t>
        </is>
      </c>
      <c r="G250" t="inlineStr">
        <is>
          <t>1</t>
        </is>
      </c>
      <c r="H250" t="inlineStr">
        <is>
          <t>No</t>
        </is>
      </c>
      <c r="I250" t="inlineStr">
        <is>
          <t>No</t>
        </is>
      </c>
      <c r="J250" t="inlineStr">
        <is>
          <t>0</t>
        </is>
      </c>
      <c r="L250" t="inlineStr">
        <is>
          <t>Boston : Allyn and Bacon, c1984.</t>
        </is>
      </c>
      <c r="M250" t="inlineStr">
        <is>
          <t>1984</t>
        </is>
      </c>
      <c r="O250" t="inlineStr">
        <is>
          <t>eng</t>
        </is>
      </c>
      <c r="P250" t="inlineStr">
        <is>
          <t>mau</t>
        </is>
      </c>
      <c r="R250" t="inlineStr">
        <is>
          <t xml:space="preserve">LB </t>
        </is>
      </c>
      <c r="S250" t="n">
        <v>3</v>
      </c>
      <c r="T250" t="n">
        <v>3</v>
      </c>
      <c r="U250" t="inlineStr">
        <is>
          <t>2003-03-04</t>
        </is>
      </c>
      <c r="V250" t="inlineStr">
        <is>
          <t>2003-03-04</t>
        </is>
      </c>
      <c r="W250" t="inlineStr">
        <is>
          <t>1991-10-28</t>
        </is>
      </c>
      <c r="X250" t="inlineStr">
        <is>
          <t>1991-10-28</t>
        </is>
      </c>
      <c r="Y250" t="n">
        <v>160</v>
      </c>
      <c r="Z250" t="n">
        <v>120</v>
      </c>
      <c r="AA250" t="n">
        <v>121</v>
      </c>
      <c r="AB250" t="n">
        <v>2</v>
      </c>
      <c r="AC250" t="n">
        <v>2</v>
      </c>
      <c r="AD250" t="n">
        <v>5</v>
      </c>
      <c r="AE250" t="n">
        <v>5</v>
      </c>
      <c r="AF250" t="n">
        <v>1</v>
      </c>
      <c r="AG250" t="n">
        <v>1</v>
      </c>
      <c r="AH250" t="n">
        <v>1</v>
      </c>
      <c r="AI250" t="n">
        <v>1</v>
      </c>
      <c r="AJ250" t="n">
        <v>4</v>
      </c>
      <c r="AK250" t="n">
        <v>4</v>
      </c>
      <c r="AL250" t="n">
        <v>1</v>
      </c>
      <c r="AM250" t="n">
        <v>1</v>
      </c>
      <c r="AN250" t="n">
        <v>0</v>
      </c>
      <c r="AO250" t="n">
        <v>0</v>
      </c>
      <c r="AP250" t="inlineStr">
        <is>
          <t>No</t>
        </is>
      </c>
      <c r="AQ250" t="inlineStr">
        <is>
          <t>No</t>
        </is>
      </c>
      <c r="AS250">
        <f>HYPERLINK("https://creighton-primo.hosted.exlibrisgroup.com/primo-explore/search?tab=default_tab&amp;search_scope=EVERYTHING&amp;vid=01CRU&amp;lang=en_US&amp;offset=0&amp;query=any,contains,991000343499702656","Catalog Record")</f>
        <v/>
      </c>
      <c r="AT250">
        <f>HYPERLINK("http://www.worldcat.org/oclc/10275865","WorldCat Record")</f>
        <v/>
      </c>
      <c r="AU250" t="inlineStr">
        <is>
          <t>3375391:eng</t>
        </is>
      </c>
      <c r="AV250" t="inlineStr">
        <is>
          <t>10275865</t>
        </is>
      </c>
      <c r="AW250" t="inlineStr">
        <is>
          <t>991000343499702656</t>
        </is>
      </c>
      <c r="AX250" t="inlineStr">
        <is>
          <t>991000343499702656</t>
        </is>
      </c>
      <c r="AY250" t="inlineStr">
        <is>
          <t>2270835360002656</t>
        </is>
      </c>
      <c r="AZ250" t="inlineStr">
        <is>
          <t>BOOK</t>
        </is>
      </c>
      <c r="BB250" t="inlineStr">
        <is>
          <t>9780205080922</t>
        </is>
      </c>
      <c r="BC250" t="inlineStr">
        <is>
          <t>32285000801737</t>
        </is>
      </c>
      <c r="BD250" t="inlineStr">
        <is>
          <t>893708293</t>
        </is>
      </c>
    </row>
    <row r="251">
      <c r="A251" t="inlineStr">
        <is>
          <t>No</t>
        </is>
      </c>
      <c r="B251" t="inlineStr">
        <is>
          <t>LB1025.2 .R735 1985</t>
        </is>
      </c>
      <c r="C251" t="inlineStr">
        <is>
          <t>0                      LB 1025200R  735         1985</t>
        </is>
      </c>
      <c r="D251" t="inlineStr">
        <is>
          <t>Artistry in teaching / Louis J. Rubin.</t>
        </is>
      </c>
      <c r="F251" t="inlineStr">
        <is>
          <t>No</t>
        </is>
      </c>
      <c r="G251" t="inlineStr">
        <is>
          <t>1</t>
        </is>
      </c>
      <c r="H251" t="inlineStr">
        <is>
          <t>No</t>
        </is>
      </c>
      <c r="I251" t="inlineStr">
        <is>
          <t>No</t>
        </is>
      </c>
      <c r="J251" t="inlineStr">
        <is>
          <t>0</t>
        </is>
      </c>
      <c r="K251" t="inlineStr">
        <is>
          <t>Rubin, Louis J.</t>
        </is>
      </c>
      <c r="L251" t="inlineStr">
        <is>
          <t>New York : Random House, c1985.</t>
        </is>
      </c>
      <c r="M251" t="inlineStr">
        <is>
          <t>1985</t>
        </is>
      </c>
      <c r="N251" t="inlineStr">
        <is>
          <t>1st ed.</t>
        </is>
      </c>
      <c r="O251" t="inlineStr">
        <is>
          <t>eng</t>
        </is>
      </c>
      <c r="P251" t="inlineStr">
        <is>
          <t>nyu</t>
        </is>
      </c>
      <c r="R251" t="inlineStr">
        <is>
          <t xml:space="preserve">LB </t>
        </is>
      </c>
      <c r="S251" t="n">
        <v>3</v>
      </c>
      <c r="T251" t="n">
        <v>3</v>
      </c>
      <c r="U251" t="inlineStr">
        <is>
          <t>1993-10-01</t>
        </is>
      </c>
      <c r="V251" t="inlineStr">
        <is>
          <t>1993-10-01</t>
        </is>
      </c>
      <c r="W251" t="inlineStr">
        <is>
          <t>1993-11-24</t>
        </is>
      </c>
      <c r="X251" t="inlineStr">
        <is>
          <t>1993-11-24</t>
        </is>
      </c>
      <c r="Y251" t="n">
        <v>345</v>
      </c>
      <c r="Z251" t="n">
        <v>308</v>
      </c>
      <c r="AA251" t="n">
        <v>332</v>
      </c>
      <c r="AB251" t="n">
        <v>4</v>
      </c>
      <c r="AC251" t="n">
        <v>4</v>
      </c>
      <c r="AD251" t="n">
        <v>16</v>
      </c>
      <c r="AE251" t="n">
        <v>17</v>
      </c>
      <c r="AF251" t="n">
        <v>9</v>
      </c>
      <c r="AG251" t="n">
        <v>9</v>
      </c>
      <c r="AH251" t="n">
        <v>1</v>
      </c>
      <c r="AI251" t="n">
        <v>1</v>
      </c>
      <c r="AJ251" t="n">
        <v>6</v>
      </c>
      <c r="AK251" t="n">
        <v>7</v>
      </c>
      <c r="AL251" t="n">
        <v>3</v>
      </c>
      <c r="AM251" t="n">
        <v>3</v>
      </c>
      <c r="AN251" t="n">
        <v>0</v>
      </c>
      <c r="AO251" t="n">
        <v>0</v>
      </c>
      <c r="AP251" t="inlineStr">
        <is>
          <t>No</t>
        </is>
      </c>
      <c r="AQ251" t="inlineStr">
        <is>
          <t>No</t>
        </is>
      </c>
      <c r="AS251">
        <f>HYPERLINK("https://creighton-primo.hosted.exlibrisgroup.com/primo-explore/search?tab=default_tab&amp;search_scope=EVERYTHING&amp;vid=01CRU&amp;lang=en_US&amp;offset=0&amp;query=any,contains,991000449199702656","Catalog Record")</f>
        <v/>
      </c>
      <c r="AT251">
        <f>HYPERLINK("http://www.worldcat.org/oclc/10876721","WorldCat Record")</f>
        <v/>
      </c>
      <c r="AU251" t="inlineStr">
        <is>
          <t>3340473:eng</t>
        </is>
      </c>
      <c r="AV251" t="inlineStr">
        <is>
          <t>10876721</t>
        </is>
      </c>
      <c r="AW251" t="inlineStr">
        <is>
          <t>991000449199702656</t>
        </is>
      </c>
      <c r="AX251" t="inlineStr">
        <is>
          <t>991000449199702656</t>
        </is>
      </c>
      <c r="AY251" t="inlineStr">
        <is>
          <t>2269662370002656</t>
        </is>
      </c>
      <c r="AZ251" t="inlineStr">
        <is>
          <t>BOOK</t>
        </is>
      </c>
      <c r="BB251" t="inlineStr">
        <is>
          <t>9780394339504</t>
        </is>
      </c>
      <c r="BC251" t="inlineStr">
        <is>
          <t>32285001777324</t>
        </is>
      </c>
      <c r="BD251" t="inlineStr">
        <is>
          <t>893255427</t>
        </is>
      </c>
    </row>
    <row r="252">
      <c r="A252" t="inlineStr">
        <is>
          <t>No</t>
        </is>
      </c>
      <c r="B252" t="inlineStr">
        <is>
          <t>LB1025.2 .R9 1995</t>
        </is>
      </c>
      <c r="C252" t="inlineStr">
        <is>
          <t>0                      LB 1025200R  9           1995</t>
        </is>
      </c>
      <c r="D252" t="inlineStr">
        <is>
          <t>Those who can, teach / Kevin Ryan, James M. Cooper.</t>
        </is>
      </c>
      <c r="F252" t="inlineStr">
        <is>
          <t>No</t>
        </is>
      </c>
      <c r="G252" t="inlineStr">
        <is>
          <t>1</t>
        </is>
      </c>
      <c r="H252" t="inlineStr">
        <is>
          <t>No</t>
        </is>
      </c>
      <c r="I252" t="inlineStr">
        <is>
          <t>Yes</t>
        </is>
      </c>
      <c r="J252" t="inlineStr">
        <is>
          <t>0</t>
        </is>
      </c>
      <c r="K252" t="inlineStr">
        <is>
          <t>Ryan, Kevin, 1932-</t>
        </is>
      </c>
      <c r="L252" t="inlineStr">
        <is>
          <t>Boston : Houghton Mifflin, c1995.</t>
        </is>
      </c>
      <c r="M252" t="inlineStr">
        <is>
          <t>1995</t>
        </is>
      </c>
      <c r="N252" t="inlineStr">
        <is>
          <t>7th ed.</t>
        </is>
      </c>
      <c r="O252" t="inlineStr">
        <is>
          <t>eng</t>
        </is>
      </c>
      <c r="P252" t="inlineStr">
        <is>
          <t>mau</t>
        </is>
      </c>
      <c r="R252" t="inlineStr">
        <is>
          <t xml:space="preserve">LB </t>
        </is>
      </c>
      <c r="S252" t="n">
        <v>60</v>
      </c>
      <c r="T252" t="n">
        <v>60</v>
      </c>
      <c r="U252" t="inlineStr">
        <is>
          <t>2009-02-06</t>
        </is>
      </c>
      <c r="V252" t="inlineStr">
        <is>
          <t>2009-02-06</t>
        </is>
      </c>
      <c r="W252" t="inlineStr">
        <is>
          <t>1995-05-31</t>
        </is>
      </c>
      <c r="X252" t="inlineStr">
        <is>
          <t>1995-05-31</t>
        </is>
      </c>
      <c r="Y252" t="n">
        <v>129</v>
      </c>
      <c r="Z252" t="n">
        <v>110</v>
      </c>
      <c r="AA252" t="n">
        <v>1135</v>
      </c>
      <c r="AB252" t="n">
        <v>3</v>
      </c>
      <c r="AC252" t="n">
        <v>11</v>
      </c>
      <c r="AD252" t="n">
        <v>3</v>
      </c>
      <c r="AE252" t="n">
        <v>38</v>
      </c>
      <c r="AF252" t="n">
        <v>0</v>
      </c>
      <c r="AG252" t="n">
        <v>15</v>
      </c>
      <c r="AH252" t="n">
        <v>0</v>
      </c>
      <c r="AI252" t="n">
        <v>7</v>
      </c>
      <c r="AJ252" t="n">
        <v>1</v>
      </c>
      <c r="AK252" t="n">
        <v>17</v>
      </c>
      <c r="AL252" t="n">
        <v>2</v>
      </c>
      <c r="AM252" t="n">
        <v>8</v>
      </c>
      <c r="AN252" t="n">
        <v>0</v>
      </c>
      <c r="AO252" t="n">
        <v>0</v>
      </c>
      <c r="AP252" t="inlineStr">
        <is>
          <t>No</t>
        </is>
      </c>
      <c r="AQ252" t="inlineStr">
        <is>
          <t>Yes</t>
        </is>
      </c>
      <c r="AR252">
        <f>HYPERLINK("http://catalog.hathitrust.org/Record/003311223","HathiTrust Record")</f>
        <v/>
      </c>
      <c r="AS252">
        <f>HYPERLINK("https://creighton-primo.hosted.exlibrisgroup.com/primo-explore/search?tab=default_tab&amp;search_scope=EVERYTHING&amp;vid=01CRU&amp;lang=en_US&amp;offset=0&amp;query=any,contains,991002427899702656","Catalog Record")</f>
        <v/>
      </c>
      <c r="AT252">
        <f>HYPERLINK("http://www.worldcat.org/oclc/31622641","WorldCat Record")</f>
        <v/>
      </c>
      <c r="AU252" t="inlineStr">
        <is>
          <t>4714352705:eng</t>
        </is>
      </c>
      <c r="AV252" t="inlineStr">
        <is>
          <t>31622641</t>
        </is>
      </c>
      <c r="AW252" t="inlineStr">
        <is>
          <t>991002427899702656</t>
        </is>
      </c>
      <c r="AX252" t="inlineStr">
        <is>
          <t>991002427899702656</t>
        </is>
      </c>
      <c r="AY252" t="inlineStr">
        <is>
          <t>2270276300002656</t>
        </is>
      </c>
      <c r="AZ252" t="inlineStr">
        <is>
          <t>BOOK</t>
        </is>
      </c>
      <c r="BB252" t="inlineStr">
        <is>
          <t>9780395712429</t>
        </is>
      </c>
      <c r="BC252" t="inlineStr">
        <is>
          <t>32285002047727</t>
        </is>
      </c>
      <c r="BD252" t="inlineStr">
        <is>
          <t>893504378</t>
        </is>
      </c>
    </row>
    <row r="253">
      <c r="A253" t="inlineStr">
        <is>
          <t>No</t>
        </is>
      </c>
      <c r="B253" t="inlineStr">
        <is>
          <t>LB1025.2 .S44</t>
        </is>
      </c>
      <c r="C253" t="inlineStr">
        <is>
          <t>0                      LB 1025200S  44</t>
        </is>
      </c>
      <c r="D253" t="inlineStr">
        <is>
          <t>Critical teaching and everyday life / Ira Shor.</t>
        </is>
      </c>
      <c r="F253" t="inlineStr">
        <is>
          <t>No</t>
        </is>
      </c>
      <c r="G253" t="inlineStr">
        <is>
          <t>1</t>
        </is>
      </c>
      <c r="H253" t="inlineStr">
        <is>
          <t>No</t>
        </is>
      </c>
      <c r="I253" t="inlineStr">
        <is>
          <t>No</t>
        </is>
      </c>
      <c r="J253" t="inlineStr">
        <is>
          <t>0</t>
        </is>
      </c>
      <c r="K253" t="inlineStr">
        <is>
          <t>Shor, Ira, 1945-</t>
        </is>
      </c>
      <c r="L253" t="inlineStr">
        <is>
          <t>Boston : South End Press, c1980.</t>
        </is>
      </c>
      <c r="M253" t="inlineStr">
        <is>
          <t>1980</t>
        </is>
      </c>
      <c r="O253" t="inlineStr">
        <is>
          <t>eng</t>
        </is>
      </c>
      <c r="P253" t="inlineStr">
        <is>
          <t>mau</t>
        </is>
      </c>
      <c r="R253" t="inlineStr">
        <is>
          <t xml:space="preserve">LB </t>
        </is>
      </c>
      <c r="S253" t="n">
        <v>5</v>
      </c>
      <c r="T253" t="n">
        <v>5</v>
      </c>
      <c r="U253" t="inlineStr">
        <is>
          <t>2004-12-01</t>
        </is>
      </c>
      <c r="V253" t="inlineStr">
        <is>
          <t>2004-12-01</t>
        </is>
      </c>
      <c r="W253" t="inlineStr">
        <is>
          <t>1993-06-01</t>
        </is>
      </c>
      <c r="X253" t="inlineStr">
        <is>
          <t>1993-06-01</t>
        </is>
      </c>
      <c r="Y253" t="n">
        <v>453</v>
      </c>
      <c r="Z253" t="n">
        <v>406</v>
      </c>
      <c r="AA253" t="n">
        <v>679</v>
      </c>
      <c r="AB253" t="n">
        <v>4</v>
      </c>
      <c r="AC253" t="n">
        <v>5</v>
      </c>
      <c r="AD253" t="n">
        <v>15</v>
      </c>
      <c r="AE253" t="n">
        <v>26</v>
      </c>
      <c r="AF253" t="n">
        <v>4</v>
      </c>
      <c r="AG253" t="n">
        <v>9</v>
      </c>
      <c r="AH253" t="n">
        <v>3</v>
      </c>
      <c r="AI253" t="n">
        <v>5</v>
      </c>
      <c r="AJ253" t="n">
        <v>7</v>
      </c>
      <c r="AK253" t="n">
        <v>15</v>
      </c>
      <c r="AL253" t="n">
        <v>3</v>
      </c>
      <c r="AM253" t="n">
        <v>4</v>
      </c>
      <c r="AN253" t="n">
        <v>0</v>
      </c>
      <c r="AO253" t="n">
        <v>0</v>
      </c>
      <c r="AP253" t="inlineStr">
        <is>
          <t>No</t>
        </is>
      </c>
      <c r="AQ253" t="inlineStr">
        <is>
          <t>Yes</t>
        </is>
      </c>
      <c r="AR253">
        <f>HYPERLINK("http://catalog.hathitrust.org/Record/000097139","HathiTrust Record")</f>
        <v/>
      </c>
      <c r="AS253">
        <f>HYPERLINK("https://creighton-primo.hosted.exlibrisgroup.com/primo-explore/search?tab=default_tab&amp;search_scope=EVERYTHING&amp;vid=01CRU&amp;lang=en_US&amp;offset=0&amp;query=any,contains,991004972269702656","Catalog Record")</f>
        <v/>
      </c>
      <c r="AT253">
        <f>HYPERLINK("http://www.worldcat.org/oclc/7555594","WorldCat Record")</f>
        <v/>
      </c>
      <c r="AU253" t="inlineStr">
        <is>
          <t>8528115:eng</t>
        </is>
      </c>
      <c r="AV253" t="inlineStr">
        <is>
          <t>7555594</t>
        </is>
      </c>
      <c r="AW253" t="inlineStr">
        <is>
          <t>991004972269702656</t>
        </is>
      </c>
      <c r="AX253" t="inlineStr">
        <is>
          <t>991004972269702656</t>
        </is>
      </c>
      <c r="AY253" t="inlineStr">
        <is>
          <t>2269806400002656</t>
        </is>
      </c>
      <c r="AZ253" t="inlineStr">
        <is>
          <t>BOOK</t>
        </is>
      </c>
      <c r="BB253" t="inlineStr">
        <is>
          <t>9780896081079</t>
        </is>
      </c>
      <c r="BC253" t="inlineStr">
        <is>
          <t>32285001715134</t>
        </is>
      </c>
      <c r="BD253" t="inlineStr">
        <is>
          <t>893254278</t>
        </is>
      </c>
    </row>
    <row r="254">
      <c r="A254" t="inlineStr">
        <is>
          <t>No</t>
        </is>
      </c>
      <c r="B254" t="inlineStr">
        <is>
          <t>LB1025.2 .S78</t>
        </is>
      </c>
      <c r="C254" t="inlineStr">
        <is>
          <t>0                      LB 1025200S  78</t>
        </is>
      </c>
      <c r="D254" t="inlineStr">
        <is>
          <t>Theories for teaching, by Joe Park [and others] Lindley J. Stiles, editor.</t>
        </is>
      </c>
      <c r="F254" t="inlineStr">
        <is>
          <t>No</t>
        </is>
      </c>
      <c r="G254" t="inlineStr">
        <is>
          <t>1</t>
        </is>
      </c>
      <c r="H254" t="inlineStr">
        <is>
          <t>No</t>
        </is>
      </c>
      <c r="I254" t="inlineStr">
        <is>
          <t>No</t>
        </is>
      </c>
      <c r="J254" t="inlineStr">
        <is>
          <t>0</t>
        </is>
      </c>
      <c r="K254" t="inlineStr">
        <is>
          <t>Stiles, Lindley J., 1913-2008.</t>
        </is>
      </c>
      <c r="L254" t="inlineStr">
        <is>
          <t>New York, Dodd, Mead, 1974.</t>
        </is>
      </c>
      <c r="M254" t="inlineStr">
        <is>
          <t>1974</t>
        </is>
      </c>
      <c r="O254" t="inlineStr">
        <is>
          <t>eng</t>
        </is>
      </c>
      <c r="P254" t="inlineStr">
        <is>
          <t>nyu</t>
        </is>
      </c>
      <c r="R254" t="inlineStr">
        <is>
          <t xml:space="preserve">LB </t>
        </is>
      </c>
      <c r="S254" t="n">
        <v>8</v>
      </c>
      <c r="T254" t="n">
        <v>8</v>
      </c>
      <c r="U254" t="inlineStr">
        <is>
          <t>2010-11-28</t>
        </is>
      </c>
      <c r="V254" t="inlineStr">
        <is>
          <t>2010-11-28</t>
        </is>
      </c>
      <c r="W254" t="inlineStr">
        <is>
          <t>1997-04-25</t>
        </is>
      </c>
      <c r="X254" t="inlineStr">
        <is>
          <t>1997-04-25</t>
        </is>
      </c>
      <c r="Y254" t="n">
        <v>386</v>
      </c>
      <c r="Z254" t="n">
        <v>317</v>
      </c>
      <c r="AA254" t="n">
        <v>323</v>
      </c>
      <c r="AB254" t="n">
        <v>4</v>
      </c>
      <c r="AC254" t="n">
        <v>4</v>
      </c>
      <c r="AD254" t="n">
        <v>17</v>
      </c>
      <c r="AE254" t="n">
        <v>17</v>
      </c>
      <c r="AF254" t="n">
        <v>6</v>
      </c>
      <c r="AG254" t="n">
        <v>6</v>
      </c>
      <c r="AH254" t="n">
        <v>3</v>
      </c>
      <c r="AI254" t="n">
        <v>3</v>
      </c>
      <c r="AJ254" t="n">
        <v>9</v>
      </c>
      <c r="AK254" t="n">
        <v>9</v>
      </c>
      <c r="AL254" t="n">
        <v>3</v>
      </c>
      <c r="AM254" t="n">
        <v>3</v>
      </c>
      <c r="AN254" t="n">
        <v>0</v>
      </c>
      <c r="AO254" t="n">
        <v>0</v>
      </c>
      <c r="AP254" t="inlineStr">
        <is>
          <t>No</t>
        </is>
      </c>
      <c r="AQ254" t="inlineStr">
        <is>
          <t>Yes</t>
        </is>
      </c>
      <c r="AR254">
        <f>HYPERLINK("http://catalog.hathitrust.org/Record/001067770","HathiTrust Record")</f>
        <v/>
      </c>
      <c r="AS254">
        <f>HYPERLINK("https://creighton-primo.hosted.exlibrisgroup.com/primo-explore/search?tab=default_tab&amp;search_scope=EVERYTHING&amp;vid=01CRU&amp;lang=en_US&amp;offset=0&amp;query=any,contains,991003328049702656","Catalog Record")</f>
        <v/>
      </c>
      <c r="AT254">
        <f>HYPERLINK("http://www.worldcat.org/oclc/858282","WorldCat Record")</f>
        <v/>
      </c>
      <c r="AU254" t="inlineStr">
        <is>
          <t>1813026:eng</t>
        </is>
      </c>
      <c r="AV254" t="inlineStr">
        <is>
          <t>858282</t>
        </is>
      </c>
      <c r="AW254" t="inlineStr">
        <is>
          <t>991003328049702656</t>
        </is>
      </c>
      <c r="AX254" t="inlineStr">
        <is>
          <t>991003328049702656</t>
        </is>
      </c>
      <c r="AY254" t="inlineStr">
        <is>
          <t>2267229780002656</t>
        </is>
      </c>
      <c r="AZ254" t="inlineStr">
        <is>
          <t>BOOK</t>
        </is>
      </c>
      <c r="BB254" t="inlineStr">
        <is>
          <t>9780396069058</t>
        </is>
      </c>
      <c r="BC254" t="inlineStr">
        <is>
          <t>32285002599560</t>
        </is>
      </c>
      <c r="BD254" t="inlineStr">
        <is>
          <t>893422462</t>
        </is>
      </c>
    </row>
    <row r="255">
      <c r="A255" t="inlineStr">
        <is>
          <t>No</t>
        </is>
      </c>
      <c r="B255" t="inlineStr">
        <is>
          <t>LB1025.2 .T35 1987</t>
        </is>
      </c>
      <c r="C255" t="inlineStr">
        <is>
          <t>0                      LB 1025200T  35          1987</t>
        </is>
      </c>
      <c r="D255" t="inlineStr">
        <is>
          <t>Talks to teachers : a festschrift for N.L. Gage / edited by David C. Berliner, Barak V. Rosenshine.</t>
        </is>
      </c>
      <c r="F255" t="inlineStr">
        <is>
          <t>No</t>
        </is>
      </c>
      <c r="G255" t="inlineStr">
        <is>
          <t>1</t>
        </is>
      </c>
      <c r="H255" t="inlineStr">
        <is>
          <t>No</t>
        </is>
      </c>
      <c r="I255" t="inlineStr">
        <is>
          <t>No</t>
        </is>
      </c>
      <c r="J255" t="inlineStr">
        <is>
          <t>0</t>
        </is>
      </c>
      <c r="L255" t="inlineStr">
        <is>
          <t>New York : Random House, c1987.</t>
        </is>
      </c>
      <c r="M255" t="inlineStr">
        <is>
          <t>1987</t>
        </is>
      </c>
      <c r="N255" t="inlineStr">
        <is>
          <t>1st ed.</t>
        </is>
      </c>
      <c r="O255" t="inlineStr">
        <is>
          <t>eng</t>
        </is>
      </c>
      <c r="P255" t="inlineStr">
        <is>
          <t>nyu</t>
        </is>
      </c>
      <c r="R255" t="inlineStr">
        <is>
          <t xml:space="preserve">LB </t>
        </is>
      </c>
      <c r="S255" t="n">
        <v>9</v>
      </c>
      <c r="T255" t="n">
        <v>9</v>
      </c>
      <c r="U255" t="inlineStr">
        <is>
          <t>2008-09-18</t>
        </is>
      </c>
      <c r="V255" t="inlineStr">
        <is>
          <t>2008-09-18</t>
        </is>
      </c>
      <c r="W255" t="inlineStr">
        <is>
          <t>1991-03-08</t>
        </is>
      </c>
      <c r="X255" t="inlineStr">
        <is>
          <t>1991-03-08</t>
        </is>
      </c>
      <c r="Y255" t="n">
        <v>306</v>
      </c>
      <c r="Z255" t="n">
        <v>256</v>
      </c>
      <c r="AA255" t="n">
        <v>256</v>
      </c>
      <c r="AB255" t="n">
        <v>4</v>
      </c>
      <c r="AC255" t="n">
        <v>4</v>
      </c>
      <c r="AD255" t="n">
        <v>11</v>
      </c>
      <c r="AE255" t="n">
        <v>11</v>
      </c>
      <c r="AF255" t="n">
        <v>3</v>
      </c>
      <c r="AG255" t="n">
        <v>3</v>
      </c>
      <c r="AH255" t="n">
        <v>1</v>
      </c>
      <c r="AI255" t="n">
        <v>1</v>
      </c>
      <c r="AJ255" t="n">
        <v>6</v>
      </c>
      <c r="AK255" t="n">
        <v>6</v>
      </c>
      <c r="AL255" t="n">
        <v>3</v>
      </c>
      <c r="AM255" t="n">
        <v>3</v>
      </c>
      <c r="AN255" t="n">
        <v>0</v>
      </c>
      <c r="AO255" t="n">
        <v>0</v>
      </c>
      <c r="AP255" t="inlineStr">
        <is>
          <t>No</t>
        </is>
      </c>
      <c r="AQ255" t="inlineStr">
        <is>
          <t>No</t>
        </is>
      </c>
      <c r="AS255">
        <f>HYPERLINK("https://creighton-primo.hosted.exlibrisgroup.com/primo-explore/search?tab=default_tab&amp;search_scope=EVERYTHING&amp;vid=01CRU&amp;lang=en_US&amp;offset=0&amp;query=any,contains,991000961919702656","Catalog Record")</f>
        <v/>
      </c>
      <c r="AT255">
        <f>HYPERLINK("http://www.worldcat.org/oclc/14819189","WorldCat Record")</f>
        <v/>
      </c>
      <c r="AU255" t="inlineStr">
        <is>
          <t>8553591:eng</t>
        </is>
      </c>
      <c r="AV255" t="inlineStr">
        <is>
          <t>14819189</t>
        </is>
      </c>
      <c r="AW255" t="inlineStr">
        <is>
          <t>991000961919702656</t>
        </is>
      </c>
      <c r="AX255" t="inlineStr">
        <is>
          <t>991000961919702656</t>
        </is>
      </c>
      <c r="AY255" t="inlineStr">
        <is>
          <t>2260074210002656</t>
        </is>
      </c>
      <c r="AZ255" t="inlineStr">
        <is>
          <t>BOOK</t>
        </is>
      </c>
      <c r="BB255" t="inlineStr">
        <is>
          <t>9780394356440</t>
        </is>
      </c>
      <c r="BC255" t="inlineStr">
        <is>
          <t>32285000493600</t>
        </is>
      </c>
      <c r="BD255" t="inlineStr">
        <is>
          <t>893502975</t>
        </is>
      </c>
    </row>
    <row r="256">
      <c r="A256" t="inlineStr">
        <is>
          <t>No</t>
        </is>
      </c>
      <c r="B256" t="inlineStr">
        <is>
          <t>LB1025.2 .T416</t>
        </is>
      </c>
      <c r="C256" t="inlineStr">
        <is>
          <t>0                      LB 1025200T  416</t>
        </is>
      </c>
      <c r="D256" t="inlineStr">
        <is>
          <t>Teaching effectiveness : its meaning, assessment, and improvement / [compiled by] Madan Mohan and Ronald E. Hull.</t>
        </is>
      </c>
      <c r="F256" t="inlineStr">
        <is>
          <t>No</t>
        </is>
      </c>
      <c r="G256" t="inlineStr">
        <is>
          <t>1</t>
        </is>
      </c>
      <c r="H256" t="inlineStr">
        <is>
          <t>No</t>
        </is>
      </c>
      <c r="I256" t="inlineStr">
        <is>
          <t>No</t>
        </is>
      </c>
      <c r="J256" t="inlineStr">
        <is>
          <t>0</t>
        </is>
      </c>
      <c r="L256" t="inlineStr">
        <is>
          <t>Englewood Cliffs, N.J. : Educational Technology Publications, 1975.</t>
        </is>
      </c>
      <c r="M256" t="inlineStr">
        <is>
          <t>1975</t>
        </is>
      </c>
      <c r="O256" t="inlineStr">
        <is>
          <t>eng</t>
        </is>
      </c>
      <c r="P256" t="inlineStr">
        <is>
          <t>nju</t>
        </is>
      </c>
      <c r="R256" t="inlineStr">
        <is>
          <t xml:space="preserve">LB </t>
        </is>
      </c>
      <c r="S256" t="n">
        <v>16</v>
      </c>
      <c r="T256" t="n">
        <v>16</v>
      </c>
      <c r="U256" t="inlineStr">
        <is>
          <t>2009-02-12</t>
        </is>
      </c>
      <c r="V256" t="inlineStr">
        <is>
          <t>2009-02-12</t>
        </is>
      </c>
      <c r="W256" t="inlineStr">
        <is>
          <t>1997-04-25</t>
        </is>
      </c>
      <c r="X256" t="inlineStr">
        <is>
          <t>1997-04-25</t>
        </is>
      </c>
      <c r="Y256" t="n">
        <v>338</v>
      </c>
      <c r="Z256" t="n">
        <v>263</v>
      </c>
      <c r="AA256" t="n">
        <v>269</v>
      </c>
      <c r="AB256" t="n">
        <v>5</v>
      </c>
      <c r="AC256" t="n">
        <v>5</v>
      </c>
      <c r="AD256" t="n">
        <v>15</v>
      </c>
      <c r="AE256" t="n">
        <v>15</v>
      </c>
      <c r="AF256" t="n">
        <v>5</v>
      </c>
      <c r="AG256" t="n">
        <v>5</v>
      </c>
      <c r="AH256" t="n">
        <v>5</v>
      </c>
      <c r="AI256" t="n">
        <v>5</v>
      </c>
      <c r="AJ256" t="n">
        <v>5</v>
      </c>
      <c r="AK256" t="n">
        <v>5</v>
      </c>
      <c r="AL256" t="n">
        <v>3</v>
      </c>
      <c r="AM256" t="n">
        <v>3</v>
      </c>
      <c r="AN256" t="n">
        <v>0</v>
      </c>
      <c r="AO256" t="n">
        <v>0</v>
      </c>
      <c r="AP256" t="inlineStr">
        <is>
          <t>No</t>
        </is>
      </c>
      <c r="AQ256" t="inlineStr">
        <is>
          <t>No</t>
        </is>
      </c>
      <c r="AS256">
        <f>HYPERLINK("https://creighton-primo.hosted.exlibrisgroup.com/primo-explore/search?tab=default_tab&amp;search_scope=EVERYTHING&amp;vid=01CRU&amp;lang=en_US&amp;offset=0&amp;query=any,contains,991003889479702656","Catalog Record")</f>
        <v/>
      </c>
      <c r="AT256">
        <f>HYPERLINK("http://www.worldcat.org/oclc/1749100","WorldCat Record")</f>
        <v/>
      </c>
      <c r="AU256" t="inlineStr">
        <is>
          <t>536792:eng</t>
        </is>
      </c>
      <c r="AV256" t="inlineStr">
        <is>
          <t>1749100</t>
        </is>
      </c>
      <c r="AW256" t="inlineStr">
        <is>
          <t>991003889479702656</t>
        </is>
      </c>
      <c r="AX256" t="inlineStr">
        <is>
          <t>991003889479702656</t>
        </is>
      </c>
      <c r="AY256" t="inlineStr">
        <is>
          <t>2263033860002656</t>
        </is>
      </c>
      <c r="AZ256" t="inlineStr">
        <is>
          <t>BOOK</t>
        </is>
      </c>
      <c r="BB256" t="inlineStr">
        <is>
          <t>9780877780847</t>
        </is>
      </c>
      <c r="BC256" t="inlineStr">
        <is>
          <t>32285002599578</t>
        </is>
      </c>
      <c r="BD256" t="inlineStr">
        <is>
          <t>893810239</t>
        </is>
      </c>
    </row>
    <row r="257">
      <c r="A257" t="inlineStr">
        <is>
          <t>No</t>
        </is>
      </c>
      <c r="B257" t="inlineStr">
        <is>
          <t>LB1025.2 .T4245 1994</t>
        </is>
      </c>
      <c r="C257" t="inlineStr">
        <is>
          <t>0                      LB 1025200T  4245        1994</t>
        </is>
      </c>
      <c r="D257" t="inlineStr">
        <is>
          <t>Teaching strategies : a guide to better instruction / Donald C. Orlich ... [et al.].</t>
        </is>
      </c>
      <c r="F257" t="inlineStr">
        <is>
          <t>No</t>
        </is>
      </c>
      <c r="G257" t="inlineStr">
        <is>
          <t>1</t>
        </is>
      </c>
      <c r="H257" t="inlineStr">
        <is>
          <t>No</t>
        </is>
      </c>
      <c r="I257" t="inlineStr">
        <is>
          <t>No</t>
        </is>
      </c>
      <c r="J257" t="inlineStr">
        <is>
          <t>0</t>
        </is>
      </c>
      <c r="L257" t="inlineStr">
        <is>
          <t>Lexington, Mass. : D.C. Heath, c1994.</t>
        </is>
      </c>
      <c r="M257" t="inlineStr">
        <is>
          <t>1994</t>
        </is>
      </c>
      <c r="N257" t="inlineStr">
        <is>
          <t>4th ed.</t>
        </is>
      </c>
      <c r="O257" t="inlineStr">
        <is>
          <t>eng</t>
        </is>
      </c>
      <c r="P257" t="inlineStr">
        <is>
          <t>mau</t>
        </is>
      </c>
      <c r="R257" t="inlineStr">
        <is>
          <t xml:space="preserve">LB </t>
        </is>
      </c>
      <c r="S257" t="n">
        <v>14</v>
      </c>
      <c r="T257" t="n">
        <v>14</v>
      </c>
      <c r="U257" t="inlineStr">
        <is>
          <t>2003-04-13</t>
        </is>
      </c>
      <c r="V257" t="inlineStr">
        <is>
          <t>2003-04-13</t>
        </is>
      </c>
      <c r="W257" t="inlineStr">
        <is>
          <t>1995-06-20</t>
        </is>
      </c>
      <c r="X257" t="inlineStr">
        <is>
          <t>1995-06-20</t>
        </is>
      </c>
      <c r="Y257" t="n">
        <v>143</v>
      </c>
      <c r="Z257" t="n">
        <v>112</v>
      </c>
      <c r="AA257" t="n">
        <v>820</v>
      </c>
      <c r="AB257" t="n">
        <v>1</v>
      </c>
      <c r="AC257" t="n">
        <v>6</v>
      </c>
      <c r="AD257" t="n">
        <v>5</v>
      </c>
      <c r="AE257" t="n">
        <v>28</v>
      </c>
      <c r="AF257" t="n">
        <v>2</v>
      </c>
      <c r="AG257" t="n">
        <v>15</v>
      </c>
      <c r="AH257" t="n">
        <v>0</v>
      </c>
      <c r="AI257" t="n">
        <v>4</v>
      </c>
      <c r="AJ257" t="n">
        <v>4</v>
      </c>
      <c r="AK257" t="n">
        <v>13</v>
      </c>
      <c r="AL257" t="n">
        <v>0</v>
      </c>
      <c r="AM257" t="n">
        <v>4</v>
      </c>
      <c r="AN257" t="n">
        <v>0</v>
      </c>
      <c r="AO257" t="n">
        <v>0</v>
      </c>
      <c r="AP257" t="inlineStr">
        <is>
          <t>No</t>
        </is>
      </c>
      <c r="AQ257" t="inlineStr">
        <is>
          <t>No</t>
        </is>
      </c>
      <c r="AS257">
        <f>HYPERLINK("https://creighton-primo.hosted.exlibrisgroup.com/primo-explore/search?tab=default_tab&amp;search_scope=EVERYTHING&amp;vid=01CRU&amp;lang=en_US&amp;offset=0&amp;query=any,contains,991002305009702656","Catalog Record")</f>
        <v/>
      </c>
      <c r="AT257">
        <f>HYPERLINK("http://www.worldcat.org/oclc/29898711","WorldCat Record")</f>
        <v/>
      </c>
      <c r="AU257" t="inlineStr">
        <is>
          <t>283261885:eng</t>
        </is>
      </c>
      <c r="AV257" t="inlineStr">
        <is>
          <t>29898711</t>
        </is>
      </c>
      <c r="AW257" t="inlineStr">
        <is>
          <t>991002305009702656</t>
        </is>
      </c>
      <c r="AX257" t="inlineStr">
        <is>
          <t>991002305009702656</t>
        </is>
      </c>
      <c r="AY257" t="inlineStr">
        <is>
          <t>2269050640002656</t>
        </is>
      </c>
      <c r="AZ257" t="inlineStr">
        <is>
          <t>BOOK</t>
        </is>
      </c>
      <c r="BB257" t="inlineStr">
        <is>
          <t>9780669349603</t>
        </is>
      </c>
      <c r="BC257" t="inlineStr">
        <is>
          <t>32285002052156</t>
        </is>
      </c>
      <c r="BD257" t="inlineStr">
        <is>
          <t>893523441</t>
        </is>
      </c>
    </row>
    <row r="258">
      <c r="A258" t="inlineStr">
        <is>
          <t>No</t>
        </is>
      </c>
      <c r="B258" t="inlineStr">
        <is>
          <t>LB1025.2 .W446</t>
        </is>
      </c>
      <c r="C258" t="inlineStr">
        <is>
          <t>0                      LB 1025200W  446</t>
        </is>
      </c>
      <c r="D258" t="inlineStr">
        <is>
          <t>Personal models of teaching / Marsha Weil, Bruce Joyce, and Bridget Kluwin.</t>
        </is>
      </c>
      <c r="F258" t="inlineStr">
        <is>
          <t>No</t>
        </is>
      </c>
      <c r="G258" t="inlineStr">
        <is>
          <t>1</t>
        </is>
      </c>
      <c r="H258" t="inlineStr">
        <is>
          <t>No</t>
        </is>
      </c>
      <c r="I258" t="inlineStr">
        <is>
          <t>No</t>
        </is>
      </c>
      <c r="J258" t="inlineStr">
        <is>
          <t>0</t>
        </is>
      </c>
      <c r="K258" t="inlineStr">
        <is>
          <t>Weil, Marsha.</t>
        </is>
      </c>
      <c r="L258" t="inlineStr">
        <is>
          <t>Englewood Cliffs, N.J. : Prentice-Hall, c1978.</t>
        </is>
      </c>
      <c r="M258" t="inlineStr">
        <is>
          <t>1978</t>
        </is>
      </c>
      <c r="O258" t="inlineStr">
        <is>
          <t>eng</t>
        </is>
      </c>
      <c r="P258" t="inlineStr">
        <is>
          <t>nju</t>
        </is>
      </c>
      <c r="Q258" t="inlineStr">
        <is>
          <t>Expanding your teaching repertoire</t>
        </is>
      </c>
      <c r="R258" t="inlineStr">
        <is>
          <t xml:space="preserve">LB </t>
        </is>
      </c>
      <c r="S258" t="n">
        <v>2</v>
      </c>
      <c r="T258" t="n">
        <v>2</v>
      </c>
      <c r="U258" t="inlineStr">
        <is>
          <t>2005-04-23</t>
        </is>
      </c>
      <c r="V258" t="inlineStr">
        <is>
          <t>2005-04-23</t>
        </is>
      </c>
      <c r="W258" t="inlineStr">
        <is>
          <t>1997-04-25</t>
        </is>
      </c>
      <c r="X258" t="inlineStr">
        <is>
          <t>1997-04-25</t>
        </is>
      </c>
      <c r="Y258" t="n">
        <v>329</v>
      </c>
      <c r="Z258" t="n">
        <v>258</v>
      </c>
      <c r="AA258" t="n">
        <v>273</v>
      </c>
      <c r="AB258" t="n">
        <v>5</v>
      </c>
      <c r="AC258" t="n">
        <v>7</v>
      </c>
      <c r="AD258" t="n">
        <v>10</v>
      </c>
      <c r="AE258" t="n">
        <v>11</v>
      </c>
      <c r="AF258" t="n">
        <v>2</v>
      </c>
      <c r="AG258" t="n">
        <v>2</v>
      </c>
      <c r="AH258" t="n">
        <v>2</v>
      </c>
      <c r="AI258" t="n">
        <v>2</v>
      </c>
      <c r="AJ258" t="n">
        <v>5</v>
      </c>
      <c r="AK258" t="n">
        <v>5</v>
      </c>
      <c r="AL258" t="n">
        <v>3</v>
      </c>
      <c r="AM258" t="n">
        <v>4</v>
      </c>
      <c r="AN258" t="n">
        <v>0</v>
      </c>
      <c r="AO258" t="n">
        <v>0</v>
      </c>
      <c r="AP258" t="inlineStr">
        <is>
          <t>No</t>
        </is>
      </c>
      <c r="AQ258" t="inlineStr">
        <is>
          <t>No</t>
        </is>
      </c>
      <c r="AS258">
        <f>HYPERLINK("https://creighton-primo.hosted.exlibrisgroup.com/primo-explore/search?tab=default_tab&amp;search_scope=EVERYTHING&amp;vid=01CRU&amp;lang=en_US&amp;offset=0&amp;query=any,contains,991004297159702656","Catalog Record")</f>
        <v/>
      </c>
      <c r="AT258">
        <f>HYPERLINK("http://www.worldcat.org/oclc/2965918","WorldCat Record")</f>
        <v/>
      </c>
      <c r="AU258" t="inlineStr">
        <is>
          <t>3856551861:eng</t>
        </is>
      </c>
      <c r="AV258" t="inlineStr">
        <is>
          <t>2965918</t>
        </is>
      </c>
      <c r="AW258" t="inlineStr">
        <is>
          <t>991004297159702656</t>
        </is>
      </c>
      <c r="AX258" t="inlineStr">
        <is>
          <t>991004297159702656</t>
        </is>
      </c>
      <c r="AY258" t="inlineStr">
        <is>
          <t>2270072990002656</t>
        </is>
      </c>
      <c r="AZ258" t="inlineStr">
        <is>
          <t>BOOK</t>
        </is>
      </c>
      <c r="BB258" t="inlineStr">
        <is>
          <t>9780136577676</t>
        </is>
      </c>
      <c r="BC258" t="inlineStr">
        <is>
          <t>32285002599594</t>
        </is>
      </c>
      <c r="BD258" t="inlineStr">
        <is>
          <t>893882304</t>
        </is>
      </c>
    </row>
    <row r="259">
      <c r="A259" t="inlineStr">
        <is>
          <t>No</t>
        </is>
      </c>
      <c r="B259" t="inlineStr">
        <is>
          <t>LB1025.2 .W46 1990</t>
        </is>
      </c>
      <c r="C259" t="inlineStr">
        <is>
          <t>0                      LB 1025200W  46          1990</t>
        </is>
      </c>
      <c r="D259" t="inlineStr">
        <is>
          <t>What teachers need to know : the knowledge, skills, and values essential to good teaching / [edited by] David D. Dill and associates.</t>
        </is>
      </c>
      <c r="F259" t="inlineStr">
        <is>
          <t>No</t>
        </is>
      </c>
      <c r="G259" t="inlineStr">
        <is>
          <t>1</t>
        </is>
      </c>
      <c r="H259" t="inlineStr">
        <is>
          <t>No</t>
        </is>
      </c>
      <c r="I259" t="inlineStr">
        <is>
          <t>No</t>
        </is>
      </c>
      <c r="J259" t="inlineStr">
        <is>
          <t>0</t>
        </is>
      </c>
      <c r="L259" t="inlineStr">
        <is>
          <t>San Francisco : Jossey-Bass, 1990.</t>
        </is>
      </c>
      <c r="M259" t="inlineStr">
        <is>
          <t>1990</t>
        </is>
      </c>
      <c r="N259" t="inlineStr">
        <is>
          <t>1st ed.</t>
        </is>
      </c>
      <c r="O259" t="inlineStr">
        <is>
          <t>eng</t>
        </is>
      </c>
      <c r="P259" t="inlineStr">
        <is>
          <t>cau</t>
        </is>
      </c>
      <c r="Q259" t="inlineStr">
        <is>
          <t>A joint publication in the Jossey-Bass education series and the Jossey-Bass higher education series</t>
        </is>
      </c>
      <c r="R259" t="inlineStr">
        <is>
          <t xml:space="preserve">LB </t>
        </is>
      </c>
      <c r="S259" t="n">
        <v>13</v>
      </c>
      <c r="T259" t="n">
        <v>13</v>
      </c>
      <c r="U259" t="inlineStr">
        <is>
          <t>2001-01-30</t>
        </is>
      </c>
      <c r="V259" t="inlineStr">
        <is>
          <t>2001-01-30</t>
        </is>
      </c>
      <c r="W259" t="inlineStr">
        <is>
          <t>1991-01-24</t>
        </is>
      </c>
      <c r="X259" t="inlineStr">
        <is>
          <t>1991-01-24</t>
        </is>
      </c>
      <c r="Y259" t="n">
        <v>1048</v>
      </c>
      <c r="Z259" t="n">
        <v>919</v>
      </c>
      <c r="AA259" t="n">
        <v>925</v>
      </c>
      <c r="AB259" t="n">
        <v>10</v>
      </c>
      <c r="AC259" t="n">
        <v>10</v>
      </c>
      <c r="AD259" t="n">
        <v>40</v>
      </c>
      <c r="AE259" t="n">
        <v>40</v>
      </c>
      <c r="AF259" t="n">
        <v>15</v>
      </c>
      <c r="AG259" t="n">
        <v>15</v>
      </c>
      <c r="AH259" t="n">
        <v>8</v>
      </c>
      <c r="AI259" t="n">
        <v>8</v>
      </c>
      <c r="AJ259" t="n">
        <v>17</v>
      </c>
      <c r="AK259" t="n">
        <v>17</v>
      </c>
      <c r="AL259" t="n">
        <v>8</v>
      </c>
      <c r="AM259" t="n">
        <v>8</v>
      </c>
      <c r="AN259" t="n">
        <v>0</v>
      </c>
      <c r="AO259" t="n">
        <v>0</v>
      </c>
      <c r="AP259" t="inlineStr">
        <is>
          <t>No</t>
        </is>
      </c>
      <c r="AQ259" t="inlineStr">
        <is>
          <t>Yes</t>
        </is>
      </c>
      <c r="AR259">
        <f>HYPERLINK("http://catalog.hathitrust.org/Record/002237942","HathiTrust Record")</f>
        <v/>
      </c>
      <c r="AS259">
        <f>HYPERLINK("https://creighton-primo.hosted.exlibrisgroup.com/primo-explore/search?tab=default_tab&amp;search_scope=EVERYTHING&amp;vid=01CRU&amp;lang=en_US&amp;offset=0&amp;query=any,contains,991001604239702656","Catalog Record")</f>
        <v/>
      </c>
      <c r="AT259">
        <f>HYPERLINK("http://www.worldcat.org/oclc/20690508","WorldCat Record")</f>
        <v/>
      </c>
      <c r="AU259" t="inlineStr">
        <is>
          <t>890298430:eng</t>
        </is>
      </c>
      <c r="AV259" t="inlineStr">
        <is>
          <t>20690508</t>
        </is>
      </c>
      <c r="AW259" t="inlineStr">
        <is>
          <t>991001604239702656</t>
        </is>
      </c>
      <c r="AX259" t="inlineStr">
        <is>
          <t>991001604239702656</t>
        </is>
      </c>
      <c r="AY259" t="inlineStr">
        <is>
          <t>2258064470002656</t>
        </is>
      </c>
      <c r="AZ259" t="inlineStr">
        <is>
          <t>BOOK</t>
        </is>
      </c>
      <c r="BB259" t="inlineStr">
        <is>
          <t>9781555422264</t>
        </is>
      </c>
      <c r="BC259" t="inlineStr">
        <is>
          <t>32285000460237</t>
        </is>
      </c>
      <c r="BD259" t="inlineStr">
        <is>
          <t>893866330</t>
        </is>
      </c>
    </row>
    <row r="260">
      <c r="A260" t="inlineStr">
        <is>
          <t>No</t>
        </is>
      </c>
      <c r="B260" t="inlineStr">
        <is>
          <t>LB1025.2 .W53 1986</t>
        </is>
      </c>
      <c r="C260" t="inlineStr">
        <is>
          <t>0                      LB 1025200W  53          1986</t>
        </is>
      </c>
      <c r="D260" t="inlineStr">
        <is>
          <t>The invitational elementary classroom / by John H. Wilson ; with a foreword by William W. Purkey.</t>
        </is>
      </c>
      <c r="F260" t="inlineStr">
        <is>
          <t>No</t>
        </is>
      </c>
      <c r="G260" t="inlineStr">
        <is>
          <t>1</t>
        </is>
      </c>
      <c r="H260" t="inlineStr">
        <is>
          <t>No</t>
        </is>
      </c>
      <c r="I260" t="inlineStr">
        <is>
          <t>No</t>
        </is>
      </c>
      <c r="J260" t="inlineStr">
        <is>
          <t>0</t>
        </is>
      </c>
      <c r="K260" t="inlineStr">
        <is>
          <t>Wilson, John H. (John Harold), 1935-</t>
        </is>
      </c>
      <c r="L260" t="inlineStr">
        <is>
          <t>Springfield, Ill. : C.C. Thomas, c1986.</t>
        </is>
      </c>
      <c r="M260" t="inlineStr">
        <is>
          <t>1986</t>
        </is>
      </c>
      <c r="O260" t="inlineStr">
        <is>
          <t>eng</t>
        </is>
      </c>
      <c r="P260" t="inlineStr">
        <is>
          <t>ilu</t>
        </is>
      </c>
      <c r="R260" t="inlineStr">
        <is>
          <t xml:space="preserve">LB </t>
        </is>
      </c>
      <c r="S260" t="n">
        <v>8</v>
      </c>
      <c r="T260" t="n">
        <v>8</v>
      </c>
      <c r="U260" t="inlineStr">
        <is>
          <t>2005-04-08</t>
        </is>
      </c>
      <c r="V260" t="inlineStr">
        <is>
          <t>2005-04-08</t>
        </is>
      </c>
      <c r="W260" t="inlineStr">
        <is>
          <t>1992-10-20</t>
        </is>
      </c>
      <c r="X260" t="inlineStr">
        <is>
          <t>1992-10-20</t>
        </is>
      </c>
      <c r="Y260" t="n">
        <v>160</v>
      </c>
      <c r="Z260" t="n">
        <v>142</v>
      </c>
      <c r="AA260" t="n">
        <v>143</v>
      </c>
      <c r="AB260" t="n">
        <v>2</v>
      </c>
      <c r="AC260" t="n">
        <v>2</v>
      </c>
      <c r="AD260" t="n">
        <v>7</v>
      </c>
      <c r="AE260" t="n">
        <v>7</v>
      </c>
      <c r="AF260" t="n">
        <v>2</v>
      </c>
      <c r="AG260" t="n">
        <v>2</v>
      </c>
      <c r="AH260" t="n">
        <v>0</v>
      </c>
      <c r="AI260" t="n">
        <v>0</v>
      </c>
      <c r="AJ260" t="n">
        <v>6</v>
      </c>
      <c r="AK260" t="n">
        <v>6</v>
      </c>
      <c r="AL260" t="n">
        <v>1</v>
      </c>
      <c r="AM260" t="n">
        <v>1</v>
      </c>
      <c r="AN260" t="n">
        <v>0</v>
      </c>
      <c r="AO260" t="n">
        <v>0</v>
      </c>
      <c r="AP260" t="inlineStr">
        <is>
          <t>No</t>
        </is>
      </c>
      <c r="AQ260" t="inlineStr">
        <is>
          <t>No</t>
        </is>
      </c>
      <c r="AS260">
        <f>HYPERLINK("https://creighton-primo.hosted.exlibrisgroup.com/primo-explore/search?tab=default_tab&amp;search_scope=EVERYTHING&amp;vid=01CRU&amp;lang=en_US&amp;offset=0&amp;query=any,contains,991000884169702656","Catalog Record")</f>
        <v/>
      </c>
      <c r="AT260">
        <f>HYPERLINK("http://www.worldcat.org/oclc/13860090","WorldCat Record")</f>
        <v/>
      </c>
      <c r="AU260" t="inlineStr">
        <is>
          <t>7005227:eng</t>
        </is>
      </c>
      <c r="AV260" t="inlineStr">
        <is>
          <t>13860090</t>
        </is>
      </c>
      <c r="AW260" t="inlineStr">
        <is>
          <t>991000884169702656</t>
        </is>
      </c>
      <c r="AX260" t="inlineStr">
        <is>
          <t>991000884169702656</t>
        </is>
      </c>
      <c r="AY260" t="inlineStr">
        <is>
          <t>2264238960002656</t>
        </is>
      </c>
      <c r="AZ260" t="inlineStr">
        <is>
          <t>BOOK</t>
        </is>
      </c>
      <c r="BB260" t="inlineStr">
        <is>
          <t>9780398052744</t>
        </is>
      </c>
      <c r="BC260" t="inlineStr">
        <is>
          <t>32285001352938</t>
        </is>
      </c>
      <c r="BD260" t="inlineStr">
        <is>
          <t>893515705</t>
        </is>
      </c>
    </row>
    <row r="261">
      <c r="A261" t="inlineStr">
        <is>
          <t>No</t>
        </is>
      </c>
      <c r="B261" t="inlineStr">
        <is>
          <t>LB1025.3 .A74 1991</t>
        </is>
      </c>
      <c r="C261" t="inlineStr">
        <is>
          <t>0                      LB 1025300A  74          1991</t>
        </is>
      </c>
      <c r="D261" t="inlineStr">
        <is>
          <t>Learning to teach / Richard I. Arends.</t>
        </is>
      </c>
      <c r="F261" t="inlineStr">
        <is>
          <t>No</t>
        </is>
      </c>
      <c r="G261" t="inlineStr">
        <is>
          <t>1</t>
        </is>
      </c>
      <c r="H261" t="inlineStr">
        <is>
          <t>No</t>
        </is>
      </c>
      <c r="I261" t="inlineStr">
        <is>
          <t>Yes</t>
        </is>
      </c>
      <c r="J261" t="inlineStr">
        <is>
          <t>0</t>
        </is>
      </c>
      <c r="K261" t="inlineStr">
        <is>
          <t>Arends, Richard.</t>
        </is>
      </c>
      <c r="L261" t="inlineStr">
        <is>
          <t>New York : McGraw-Hill, c1991.</t>
        </is>
      </c>
      <c r="M261" t="inlineStr">
        <is>
          <t>1991</t>
        </is>
      </c>
      <c r="N261" t="inlineStr">
        <is>
          <t>2nd ed.</t>
        </is>
      </c>
      <c r="O261" t="inlineStr">
        <is>
          <t>eng</t>
        </is>
      </c>
      <c r="P261" t="inlineStr">
        <is>
          <t>nyu</t>
        </is>
      </c>
      <c r="R261" t="inlineStr">
        <is>
          <t xml:space="preserve">LB </t>
        </is>
      </c>
      <c r="S261" t="n">
        <v>24</v>
      </c>
      <c r="T261" t="n">
        <v>24</v>
      </c>
      <c r="U261" t="inlineStr">
        <is>
          <t>2008-09-18</t>
        </is>
      </c>
      <c r="V261" t="inlineStr">
        <is>
          <t>2008-09-18</t>
        </is>
      </c>
      <c r="W261" t="inlineStr">
        <is>
          <t>1992-05-28</t>
        </is>
      </c>
      <c r="X261" t="inlineStr">
        <is>
          <t>1992-05-28</t>
        </is>
      </c>
      <c r="Y261" t="n">
        <v>188</v>
      </c>
      <c r="Z261" t="n">
        <v>121</v>
      </c>
      <c r="AA261" t="n">
        <v>567</v>
      </c>
      <c r="AB261" t="n">
        <v>1</v>
      </c>
      <c r="AC261" t="n">
        <v>5</v>
      </c>
      <c r="AD261" t="n">
        <v>9</v>
      </c>
      <c r="AE261" t="n">
        <v>24</v>
      </c>
      <c r="AF261" t="n">
        <v>5</v>
      </c>
      <c r="AG261" t="n">
        <v>12</v>
      </c>
      <c r="AH261" t="n">
        <v>2</v>
      </c>
      <c r="AI261" t="n">
        <v>4</v>
      </c>
      <c r="AJ261" t="n">
        <v>6</v>
      </c>
      <c r="AK261" t="n">
        <v>13</v>
      </c>
      <c r="AL261" t="n">
        <v>0</v>
      </c>
      <c r="AM261" t="n">
        <v>3</v>
      </c>
      <c r="AN261" t="n">
        <v>0</v>
      </c>
      <c r="AO261" t="n">
        <v>0</v>
      </c>
      <c r="AP261" t="inlineStr">
        <is>
          <t>No</t>
        </is>
      </c>
      <c r="AQ261" t="inlineStr">
        <is>
          <t>Yes</t>
        </is>
      </c>
      <c r="AR261">
        <f>HYPERLINK("http://catalog.hathitrust.org/Record/009136987","HathiTrust Record")</f>
        <v/>
      </c>
      <c r="AS261">
        <f>HYPERLINK("https://creighton-primo.hosted.exlibrisgroup.com/primo-explore/search?tab=default_tab&amp;search_scope=EVERYTHING&amp;vid=01CRU&amp;lang=en_US&amp;offset=0&amp;query=any,contains,991001746849702656","Catalog Record")</f>
        <v/>
      </c>
      <c r="AT261">
        <f>HYPERLINK("http://www.worldcat.org/oclc/22115041","WorldCat Record")</f>
        <v/>
      </c>
      <c r="AU261" t="inlineStr">
        <is>
          <t>4820611266:eng</t>
        </is>
      </c>
      <c r="AV261" t="inlineStr">
        <is>
          <t>22115041</t>
        </is>
      </c>
      <c r="AW261" t="inlineStr">
        <is>
          <t>991001746849702656</t>
        </is>
      </c>
      <c r="AX261" t="inlineStr">
        <is>
          <t>991001746849702656</t>
        </is>
      </c>
      <c r="AY261" t="inlineStr">
        <is>
          <t>2268233280002656</t>
        </is>
      </c>
      <c r="AZ261" t="inlineStr">
        <is>
          <t>BOOK</t>
        </is>
      </c>
      <c r="BB261" t="inlineStr">
        <is>
          <t>9780070024779</t>
        </is>
      </c>
      <c r="BC261" t="inlineStr">
        <is>
          <t>32285001119345</t>
        </is>
      </c>
      <c r="BD261" t="inlineStr">
        <is>
          <t>893709498</t>
        </is>
      </c>
    </row>
    <row r="262">
      <c r="A262" t="inlineStr">
        <is>
          <t>No</t>
        </is>
      </c>
      <c r="B262" t="inlineStr">
        <is>
          <t>LB1025.3 .B455 2003</t>
        </is>
      </c>
      <c r="C262" t="inlineStr">
        <is>
          <t>0                      LB 1025300B  455         2003</t>
        </is>
      </c>
      <c r="D262" t="inlineStr">
        <is>
          <t>Teaching from the deep end : succeeding with today's classroom challenges / Dominic Belmonte ; foreword by William Ayers.</t>
        </is>
      </c>
      <c r="F262" t="inlineStr">
        <is>
          <t>No</t>
        </is>
      </c>
      <c r="G262" t="inlineStr">
        <is>
          <t>1</t>
        </is>
      </c>
      <c r="H262" t="inlineStr">
        <is>
          <t>No</t>
        </is>
      </c>
      <c r="I262" t="inlineStr">
        <is>
          <t>No</t>
        </is>
      </c>
      <c r="J262" t="inlineStr">
        <is>
          <t>0</t>
        </is>
      </c>
      <c r="K262" t="inlineStr">
        <is>
          <t>Belmonte, Dominic.</t>
        </is>
      </c>
      <c r="L262" t="inlineStr">
        <is>
          <t>Thousand Oaks, Calif. : Corwin Press, c2003.</t>
        </is>
      </c>
      <c r="M262" t="inlineStr">
        <is>
          <t>2003</t>
        </is>
      </c>
      <c r="O262" t="inlineStr">
        <is>
          <t>eng</t>
        </is>
      </c>
      <c r="P262" t="inlineStr">
        <is>
          <t>cau</t>
        </is>
      </c>
      <c r="R262" t="inlineStr">
        <is>
          <t xml:space="preserve">LB </t>
        </is>
      </c>
      <c r="S262" t="n">
        <v>6</v>
      </c>
      <c r="T262" t="n">
        <v>6</v>
      </c>
      <c r="U262" t="inlineStr">
        <is>
          <t>2009-04-15</t>
        </is>
      </c>
      <c r="V262" t="inlineStr">
        <is>
          <t>2009-04-15</t>
        </is>
      </c>
      <c r="W262" t="inlineStr">
        <is>
          <t>2008-06-02</t>
        </is>
      </c>
      <c r="X262" t="inlineStr">
        <is>
          <t>2008-06-02</t>
        </is>
      </c>
      <c r="Y262" t="n">
        <v>573</v>
      </c>
      <c r="Z262" t="n">
        <v>522</v>
      </c>
      <c r="AA262" t="n">
        <v>595</v>
      </c>
      <c r="AB262" t="n">
        <v>2</v>
      </c>
      <c r="AC262" t="n">
        <v>4</v>
      </c>
      <c r="AD262" t="n">
        <v>23</v>
      </c>
      <c r="AE262" t="n">
        <v>27</v>
      </c>
      <c r="AF262" t="n">
        <v>14</v>
      </c>
      <c r="AG262" t="n">
        <v>16</v>
      </c>
      <c r="AH262" t="n">
        <v>5</v>
      </c>
      <c r="AI262" t="n">
        <v>5</v>
      </c>
      <c r="AJ262" t="n">
        <v>10</v>
      </c>
      <c r="AK262" t="n">
        <v>12</v>
      </c>
      <c r="AL262" t="n">
        <v>1</v>
      </c>
      <c r="AM262" t="n">
        <v>3</v>
      </c>
      <c r="AN262" t="n">
        <v>0</v>
      </c>
      <c r="AO262" t="n">
        <v>0</v>
      </c>
      <c r="AP262" t="inlineStr">
        <is>
          <t>No</t>
        </is>
      </c>
      <c r="AQ262" t="inlineStr">
        <is>
          <t>Yes</t>
        </is>
      </c>
      <c r="AR262">
        <f>HYPERLINK("http://catalog.hathitrust.org/Record/004311439","HathiTrust Record")</f>
        <v/>
      </c>
      <c r="AS262">
        <f>HYPERLINK("https://creighton-primo.hosted.exlibrisgroup.com/primo-explore/search?tab=default_tab&amp;search_scope=EVERYTHING&amp;vid=01CRU&amp;lang=en_US&amp;offset=0&amp;query=any,contains,991005220009702656","Catalog Record")</f>
        <v/>
      </c>
      <c r="AT262">
        <f>HYPERLINK("http://www.worldcat.org/oclc/51095624","WorldCat Record")</f>
        <v/>
      </c>
      <c r="AU262" t="inlineStr">
        <is>
          <t>839747577:eng</t>
        </is>
      </c>
      <c r="AV262" t="inlineStr">
        <is>
          <t>51095624</t>
        </is>
      </c>
      <c r="AW262" t="inlineStr">
        <is>
          <t>991005220009702656</t>
        </is>
      </c>
      <c r="AX262" t="inlineStr">
        <is>
          <t>991005220009702656</t>
        </is>
      </c>
      <c r="AY262" t="inlineStr">
        <is>
          <t>2269353780002656</t>
        </is>
      </c>
      <c r="AZ262" t="inlineStr">
        <is>
          <t>BOOK</t>
        </is>
      </c>
      <c r="BB262" t="inlineStr">
        <is>
          <t>9780761938484</t>
        </is>
      </c>
      <c r="BC262" t="inlineStr">
        <is>
          <t>32285005440911</t>
        </is>
      </c>
      <c r="BD262" t="inlineStr">
        <is>
          <t>893424752</t>
        </is>
      </c>
    </row>
    <row r="263">
      <c r="A263" t="inlineStr">
        <is>
          <t>No</t>
        </is>
      </c>
      <c r="B263" t="inlineStr">
        <is>
          <t>LB1025.3 .B58 1997</t>
        </is>
      </c>
      <c r="C263" t="inlineStr">
        <is>
          <t>0                      LB 1025300B  58          1997</t>
        </is>
      </c>
      <c r="D263" t="inlineStr">
        <is>
          <t>Dying to teach : the educator's search for immortality / David J. Blacker.</t>
        </is>
      </c>
      <c r="F263" t="inlineStr">
        <is>
          <t>No</t>
        </is>
      </c>
      <c r="G263" t="inlineStr">
        <is>
          <t>1</t>
        </is>
      </c>
      <c r="H263" t="inlineStr">
        <is>
          <t>No</t>
        </is>
      </c>
      <c r="I263" t="inlineStr">
        <is>
          <t>No</t>
        </is>
      </c>
      <c r="J263" t="inlineStr">
        <is>
          <t>0</t>
        </is>
      </c>
      <c r="K263" t="inlineStr">
        <is>
          <t>Blacker, David J.</t>
        </is>
      </c>
      <c r="L263" t="inlineStr">
        <is>
          <t>New York : Teachers College Press, c1997.</t>
        </is>
      </c>
      <c r="M263" t="inlineStr">
        <is>
          <t>1997</t>
        </is>
      </c>
      <c r="O263" t="inlineStr">
        <is>
          <t>eng</t>
        </is>
      </c>
      <c r="P263" t="inlineStr">
        <is>
          <t>nyu</t>
        </is>
      </c>
      <c r="Q263" t="inlineStr">
        <is>
          <t>Advances in contemporary educational thought series ; v. 18</t>
        </is>
      </c>
      <c r="R263" t="inlineStr">
        <is>
          <t xml:space="preserve">LB </t>
        </is>
      </c>
      <c r="S263" t="n">
        <v>10</v>
      </c>
      <c r="T263" t="n">
        <v>10</v>
      </c>
      <c r="U263" t="inlineStr">
        <is>
          <t>2002-09-26</t>
        </is>
      </c>
      <c r="V263" t="inlineStr">
        <is>
          <t>2002-09-26</t>
        </is>
      </c>
      <c r="W263" t="inlineStr">
        <is>
          <t>1997-07-08</t>
        </is>
      </c>
      <c r="X263" t="inlineStr">
        <is>
          <t>1997-07-08</t>
        </is>
      </c>
      <c r="Y263" t="n">
        <v>280</v>
      </c>
      <c r="Z263" t="n">
        <v>244</v>
      </c>
      <c r="AA263" t="n">
        <v>244</v>
      </c>
      <c r="AB263" t="n">
        <v>1</v>
      </c>
      <c r="AC263" t="n">
        <v>1</v>
      </c>
      <c r="AD263" t="n">
        <v>12</v>
      </c>
      <c r="AE263" t="n">
        <v>12</v>
      </c>
      <c r="AF263" t="n">
        <v>6</v>
      </c>
      <c r="AG263" t="n">
        <v>6</v>
      </c>
      <c r="AH263" t="n">
        <v>3</v>
      </c>
      <c r="AI263" t="n">
        <v>3</v>
      </c>
      <c r="AJ263" t="n">
        <v>7</v>
      </c>
      <c r="AK263" t="n">
        <v>7</v>
      </c>
      <c r="AL263" t="n">
        <v>0</v>
      </c>
      <c r="AM263" t="n">
        <v>0</v>
      </c>
      <c r="AN263" t="n">
        <v>0</v>
      </c>
      <c r="AO263" t="n">
        <v>0</v>
      </c>
      <c r="AP263" t="inlineStr">
        <is>
          <t>No</t>
        </is>
      </c>
      <c r="AQ263" t="inlineStr">
        <is>
          <t>No</t>
        </is>
      </c>
      <c r="AS263">
        <f>HYPERLINK("https://creighton-primo.hosted.exlibrisgroup.com/primo-explore/search?tab=default_tab&amp;search_scope=EVERYTHING&amp;vid=01CRU&amp;lang=en_US&amp;offset=0&amp;query=any,contains,991002728559702656","Catalog Record")</f>
        <v/>
      </c>
      <c r="AT263">
        <f>HYPERLINK("http://www.worldcat.org/oclc/35785678","WorldCat Record")</f>
        <v/>
      </c>
      <c r="AU263" t="inlineStr">
        <is>
          <t>9657301212:eng</t>
        </is>
      </c>
      <c r="AV263" t="inlineStr">
        <is>
          <t>35785678</t>
        </is>
      </c>
      <c r="AW263" t="inlineStr">
        <is>
          <t>991002728559702656</t>
        </is>
      </c>
      <c r="AX263" t="inlineStr">
        <is>
          <t>991002728559702656</t>
        </is>
      </c>
      <c r="AY263" t="inlineStr">
        <is>
          <t>2267520430002656</t>
        </is>
      </c>
      <c r="AZ263" t="inlineStr">
        <is>
          <t>BOOK</t>
        </is>
      </c>
      <c r="BB263" t="inlineStr">
        <is>
          <t>9780807735923</t>
        </is>
      </c>
      <c r="BC263" t="inlineStr">
        <is>
          <t>32285002880804</t>
        </is>
      </c>
      <c r="BD263" t="inlineStr">
        <is>
          <t>893434213</t>
        </is>
      </c>
    </row>
    <row r="264">
      <c r="A264" t="inlineStr">
        <is>
          <t>No</t>
        </is>
      </c>
      <c r="B264" t="inlineStr">
        <is>
          <t>LB1025.3 .E35 1992</t>
        </is>
      </c>
      <c r="C264" t="inlineStr">
        <is>
          <t>0                      LB 1025300E  35          1992</t>
        </is>
      </c>
      <c r="D264" t="inlineStr">
        <is>
          <t>Effective and responsible teaching : the new synthesis / Fritz K. Oser, Andreas Dick, Jean-Luc Patry, editors.</t>
        </is>
      </c>
      <c r="F264" t="inlineStr">
        <is>
          <t>No</t>
        </is>
      </c>
      <c r="G264" t="inlineStr">
        <is>
          <t>1</t>
        </is>
      </c>
      <c r="H264" t="inlineStr">
        <is>
          <t>No</t>
        </is>
      </c>
      <c r="I264" t="inlineStr">
        <is>
          <t>No</t>
        </is>
      </c>
      <c r="J264" t="inlineStr">
        <is>
          <t>0</t>
        </is>
      </c>
      <c r="L264" t="inlineStr">
        <is>
          <t>San Francisco : Jossey-Bass Publishers, c1992.</t>
        </is>
      </c>
      <c r="M264" t="inlineStr">
        <is>
          <t>1992</t>
        </is>
      </c>
      <c r="N264" t="inlineStr">
        <is>
          <t>1st ed.</t>
        </is>
      </c>
      <c r="O264" t="inlineStr">
        <is>
          <t>eng</t>
        </is>
      </c>
      <c r="P264" t="inlineStr">
        <is>
          <t>cau</t>
        </is>
      </c>
      <c r="Q264" t="inlineStr">
        <is>
          <t>The Jossey-Bass education series</t>
        </is>
      </c>
      <c r="R264" t="inlineStr">
        <is>
          <t xml:space="preserve">LB </t>
        </is>
      </c>
      <c r="S264" t="n">
        <v>5</v>
      </c>
      <c r="T264" t="n">
        <v>5</v>
      </c>
      <c r="U264" t="inlineStr">
        <is>
          <t>2002-09-23</t>
        </is>
      </c>
      <c r="V264" t="inlineStr">
        <is>
          <t>2002-09-23</t>
        </is>
      </c>
      <c r="W264" t="inlineStr">
        <is>
          <t>1993-08-03</t>
        </is>
      </c>
      <c r="X264" t="inlineStr">
        <is>
          <t>1993-08-03</t>
        </is>
      </c>
      <c r="Y264" t="n">
        <v>802</v>
      </c>
      <c r="Z264" t="n">
        <v>689</v>
      </c>
      <c r="AA264" t="n">
        <v>695</v>
      </c>
      <c r="AB264" t="n">
        <v>6</v>
      </c>
      <c r="AC264" t="n">
        <v>6</v>
      </c>
      <c r="AD264" t="n">
        <v>30</v>
      </c>
      <c r="AE264" t="n">
        <v>30</v>
      </c>
      <c r="AF264" t="n">
        <v>12</v>
      </c>
      <c r="AG264" t="n">
        <v>12</v>
      </c>
      <c r="AH264" t="n">
        <v>6</v>
      </c>
      <c r="AI264" t="n">
        <v>6</v>
      </c>
      <c r="AJ264" t="n">
        <v>15</v>
      </c>
      <c r="AK264" t="n">
        <v>15</v>
      </c>
      <c r="AL264" t="n">
        <v>5</v>
      </c>
      <c r="AM264" t="n">
        <v>5</v>
      </c>
      <c r="AN264" t="n">
        <v>0</v>
      </c>
      <c r="AO264" t="n">
        <v>0</v>
      </c>
      <c r="AP264" t="inlineStr">
        <is>
          <t>No</t>
        </is>
      </c>
      <c r="AQ264" t="inlineStr">
        <is>
          <t>Yes</t>
        </is>
      </c>
      <c r="AR264">
        <f>HYPERLINK("http://catalog.hathitrust.org/Record/002602492","HathiTrust Record")</f>
        <v/>
      </c>
      <c r="AS264">
        <f>HYPERLINK("https://creighton-primo.hosted.exlibrisgroup.com/primo-explore/search?tab=default_tab&amp;search_scope=EVERYTHING&amp;vid=01CRU&amp;lang=en_US&amp;offset=0&amp;query=any,contains,991002006579702656","Catalog Record")</f>
        <v/>
      </c>
      <c r="AT264">
        <f>HYPERLINK("http://www.worldcat.org/oclc/25509343","WorldCat Record")</f>
        <v/>
      </c>
      <c r="AU264" t="inlineStr">
        <is>
          <t>889811201:eng</t>
        </is>
      </c>
      <c r="AV264" t="inlineStr">
        <is>
          <t>25509343</t>
        </is>
      </c>
      <c r="AW264" t="inlineStr">
        <is>
          <t>991002006579702656</t>
        </is>
      </c>
      <c r="AX264" t="inlineStr">
        <is>
          <t>991002006579702656</t>
        </is>
      </c>
      <c r="AY264" t="inlineStr">
        <is>
          <t>2271962390002656</t>
        </is>
      </c>
      <c r="AZ264" t="inlineStr">
        <is>
          <t>BOOK</t>
        </is>
      </c>
      <c r="BB264" t="inlineStr">
        <is>
          <t>9781555424497</t>
        </is>
      </c>
      <c r="BC264" t="inlineStr">
        <is>
          <t>32285001704583</t>
        </is>
      </c>
      <c r="BD264" t="inlineStr">
        <is>
          <t>893709761</t>
        </is>
      </c>
    </row>
    <row r="265">
      <c r="A265" t="inlineStr">
        <is>
          <t>No</t>
        </is>
      </c>
      <c r="B265" t="inlineStr">
        <is>
          <t>LB1025.3 .G52 1993</t>
        </is>
      </c>
      <c r="C265" t="inlineStr">
        <is>
          <t>0                      LB 1025300G  52          1993</t>
        </is>
      </c>
      <c r="D265" t="inlineStr">
        <is>
          <t>The quality school teacher : specific suggestions for teachers who are trying to implement the lead-management ideas of The quality school in their classrooms / William Glasser.</t>
        </is>
      </c>
      <c r="F265" t="inlineStr">
        <is>
          <t>No</t>
        </is>
      </c>
      <c r="G265" t="inlineStr">
        <is>
          <t>1</t>
        </is>
      </c>
      <c r="H265" t="inlineStr">
        <is>
          <t>No</t>
        </is>
      </c>
      <c r="I265" t="inlineStr">
        <is>
          <t>No</t>
        </is>
      </c>
      <c r="J265" t="inlineStr">
        <is>
          <t>0</t>
        </is>
      </c>
      <c r="K265" t="inlineStr">
        <is>
          <t>Glasser, William, 1925-2013.</t>
        </is>
      </c>
      <c r="L265" t="inlineStr">
        <is>
          <t>New York : HarperPerennial, c1993.</t>
        </is>
      </c>
      <c r="M265" t="inlineStr">
        <is>
          <t>1993</t>
        </is>
      </c>
      <c r="N265" t="inlineStr">
        <is>
          <t>1st ed.</t>
        </is>
      </c>
      <c r="O265" t="inlineStr">
        <is>
          <t>eng</t>
        </is>
      </c>
      <c r="P265" t="inlineStr">
        <is>
          <t>nyu</t>
        </is>
      </c>
      <c r="R265" t="inlineStr">
        <is>
          <t xml:space="preserve">LB </t>
        </is>
      </c>
      <c r="S265" t="n">
        <v>7</v>
      </c>
      <c r="T265" t="n">
        <v>7</v>
      </c>
      <c r="U265" t="inlineStr">
        <is>
          <t>2009-09-09</t>
        </is>
      </c>
      <c r="V265" t="inlineStr">
        <is>
          <t>2009-09-09</t>
        </is>
      </c>
      <c r="W265" t="inlineStr">
        <is>
          <t>2006-11-07</t>
        </is>
      </c>
      <c r="X265" t="inlineStr">
        <is>
          <t>2006-11-07</t>
        </is>
      </c>
      <c r="Y265" t="n">
        <v>771</v>
      </c>
      <c r="Z265" t="n">
        <v>707</v>
      </c>
      <c r="AA265" t="n">
        <v>900</v>
      </c>
      <c r="AB265" t="n">
        <v>6</v>
      </c>
      <c r="AC265" t="n">
        <v>8</v>
      </c>
      <c r="AD265" t="n">
        <v>26</v>
      </c>
      <c r="AE265" t="n">
        <v>33</v>
      </c>
      <c r="AF265" t="n">
        <v>12</v>
      </c>
      <c r="AG265" t="n">
        <v>17</v>
      </c>
      <c r="AH265" t="n">
        <v>7</v>
      </c>
      <c r="AI265" t="n">
        <v>8</v>
      </c>
      <c r="AJ265" t="n">
        <v>11</v>
      </c>
      <c r="AK265" t="n">
        <v>14</v>
      </c>
      <c r="AL265" t="n">
        <v>4</v>
      </c>
      <c r="AM265" t="n">
        <v>5</v>
      </c>
      <c r="AN265" t="n">
        <v>0</v>
      </c>
      <c r="AO265" t="n">
        <v>0</v>
      </c>
      <c r="AP265" t="inlineStr">
        <is>
          <t>No</t>
        </is>
      </c>
      <c r="AQ265" t="inlineStr">
        <is>
          <t>No</t>
        </is>
      </c>
      <c r="AS265">
        <f>HYPERLINK("https://creighton-primo.hosted.exlibrisgroup.com/primo-explore/search?tab=default_tab&amp;search_scope=EVERYTHING&amp;vid=01CRU&amp;lang=en_US&amp;offset=0&amp;query=any,contains,991004971719702656","Catalog Record")</f>
        <v/>
      </c>
      <c r="AT265">
        <f>HYPERLINK("http://www.worldcat.org/oclc/27936511","WorldCat Record")</f>
        <v/>
      </c>
      <c r="AU265" t="inlineStr">
        <is>
          <t>3740825973:eng</t>
        </is>
      </c>
      <c r="AV265" t="inlineStr">
        <is>
          <t>27936511</t>
        </is>
      </c>
      <c r="AW265" t="inlineStr">
        <is>
          <t>991004971719702656</t>
        </is>
      </c>
      <c r="AX265" t="inlineStr">
        <is>
          <t>991004971719702656</t>
        </is>
      </c>
      <c r="AY265" t="inlineStr">
        <is>
          <t>2259238430002656</t>
        </is>
      </c>
      <c r="AZ265" t="inlineStr">
        <is>
          <t>BOOK</t>
        </is>
      </c>
      <c r="BB265" t="inlineStr">
        <is>
          <t>9780060950194</t>
        </is>
      </c>
      <c r="BC265" t="inlineStr">
        <is>
          <t>32285005237044</t>
        </is>
      </c>
      <c r="BD265" t="inlineStr">
        <is>
          <t>893520240</t>
        </is>
      </c>
    </row>
    <row r="266">
      <c r="A266" t="inlineStr">
        <is>
          <t>No</t>
        </is>
      </c>
      <c r="B266" t="inlineStr">
        <is>
          <t>LB1025.3 .K63 1992</t>
        </is>
      </c>
      <c r="C266" t="inlineStr">
        <is>
          <t>0                      LB 1025300K  63          1992</t>
        </is>
      </c>
      <c r="D266" t="inlineStr">
        <is>
          <t>In there with the kids : teaching in today's classrooms / David Kobrin.</t>
        </is>
      </c>
      <c r="F266" t="inlineStr">
        <is>
          <t>No</t>
        </is>
      </c>
      <c r="G266" t="inlineStr">
        <is>
          <t>1</t>
        </is>
      </c>
      <c r="H266" t="inlineStr">
        <is>
          <t>No</t>
        </is>
      </c>
      <c r="I266" t="inlineStr">
        <is>
          <t>No</t>
        </is>
      </c>
      <c r="J266" t="inlineStr">
        <is>
          <t>0</t>
        </is>
      </c>
      <c r="K266" t="inlineStr">
        <is>
          <t>Kobrin, David, 1941-</t>
        </is>
      </c>
      <c r="L266" t="inlineStr">
        <is>
          <t>Boston : Houghton Mifflin, 1992.</t>
        </is>
      </c>
      <c r="M266" t="inlineStr">
        <is>
          <t>1992</t>
        </is>
      </c>
      <c r="O266" t="inlineStr">
        <is>
          <t>eng</t>
        </is>
      </c>
      <c r="P266" t="inlineStr">
        <is>
          <t>mau</t>
        </is>
      </c>
      <c r="R266" t="inlineStr">
        <is>
          <t xml:space="preserve">LB </t>
        </is>
      </c>
      <c r="S266" t="n">
        <v>2</v>
      </c>
      <c r="T266" t="n">
        <v>2</v>
      </c>
      <c r="U266" t="inlineStr">
        <is>
          <t>2000-09-12</t>
        </is>
      </c>
      <c r="V266" t="inlineStr">
        <is>
          <t>2000-09-12</t>
        </is>
      </c>
      <c r="W266" t="inlineStr">
        <is>
          <t>1997-05-15</t>
        </is>
      </c>
      <c r="X266" t="inlineStr">
        <is>
          <t>1997-05-15</t>
        </is>
      </c>
      <c r="Y266" t="n">
        <v>581</v>
      </c>
      <c r="Z266" t="n">
        <v>535</v>
      </c>
      <c r="AA266" t="n">
        <v>544</v>
      </c>
      <c r="AB266" t="n">
        <v>4</v>
      </c>
      <c r="AC266" t="n">
        <v>4</v>
      </c>
      <c r="AD266" t="n">
        <v>20</v>
      </c>
      <c r="AE266" t="n">
        <v>20</v>
      </c>
      <c r="AF266" t="n">
        <v>9</v>
      </c>
      <c r="AG266" t="n">
        <v>9</v>
      </c>
      <c r="AH266" t="n">
        <v>3</v>
      </c>
      <c r="AI266" t="n">
        <v>3</v>
      </c>
      <c r="AJ266" t="n">
        <v>12</v>
      </c>
      <c r="AK266" t="n">
        <v>12</v>
      </c>
      <c r="AL266" t="n">
        <v>3</v>
      </c>
      <c r="AM266" t="n">
        <v>3</v>
      </c>
      <c r="AN266" t="n">
        <v>0</v>
      </c>
      <c r="AO266" t="n">
        <v>0</v>
      </c>
      <c r="AP266" t="inlineStr">
        <is>
          <t>No</t>
        </is>
      </c>
      <c r="AQ266" t="inlineStr">
        <is>
          <t>Yes</t>
        </is>
      </c>
      <c r="AR266">
        <f>HYPERLINK("http://catalog.hathitrust.org/Record/002528640","HathiTrust Record")</f>
        <v/>
      </c>
      <c r="AS266">
        <f>HYPERLINK("https://creighton-primo.hosted.exlibrisgroup.com/primo-explore/search?tab=default_tab&amp;search_scope=EVERYTHING&amp;vid=01CRU&amp;lang=en_US&amp;offset=0&amp;query=any,contains,991001911699702656","Catalog Record")</f>
        <v/>
      </c>
      <c r="AT266">
        <f>HYPERLINK("http://www.worldcat.org/oclc/24142971","WorldCat Record")</f>
        <v/>
      </c>
      <c r="AU266" t="inlineStr">
        <is>
          <t>3769178716:eng</t>
        </is>
      </c>
      <c r="AV266" t="inlineStr">
        <is>
          <t>24142971</t>
        </is>
      </c>
      <c r="AW266" t="inlineStr">
        <is>
          <t>991001911699702656</t>
        </is>
      </c>
      <c r="AX266" t="inlineStr">
        <is>
          <t>991001911699702656</t>
        </is>
      </c>
      <c r="AY266" t="inlineStr">
        <is>
          <t>2265861350002656</t>
        </is>
      </c>
      <c r="AZ266" t="inlineStr">
        <is>
          <t>BOOK</t>
        </is>
      </c>
      <c r="BB266" t="inlineStr">
        <is>
          <t>9780395500835</t>
        </is>
      </c>
      <c r="BC266" t="inlineStr">
        <is>
          <t>32285002608502</t>
        </is>
      </c>
      <c r="BD266" t="inlineStr">
        <is>
          <t>893891927</t>
        </is>
      </c>
    </row>
    <row r="267">
      <c r="A267" t="inlineStr">
        <is>
          <t>No</t>
        </is>
      </c>
      <c r="B267" t="inlineStr">
        <is>
          <t>LB1025.3 .K64 1994</t>
        </is>
      </c>
      <c r="C267" t="inlineStr">
        <is>
          <t>0                      LB 1025300K  64          1994</t>
        </is>
      </c>
      <c r="D267" t="inlineStr">
        <is>
          <t>Becoming a reflective teacher / Leonard Kochendorfer.</t>
        </is>
      </c>
      <c r="F267" t="inlineStr">
        <is>
          <t>No</t>
        </is>
      </c>
      <c r="G267" t="inlineStr">
        <is>
          <t>1</t>
        </is>
      </c>
      <c r="H267" t="inlineStr">
        <is>
          <t>No</t>
        </is>
      </c>
      <c r="I267" t="inlineStr">
        <is>
          <t>No</t>
        </is>
      </c>
      <c r="J267" t="inlineStr">
        <is>
          <t>0</t>
        </is>
      </c>
      <c r="K267" t="inlineStr">
        <is>
          <t>Kochendorfer, Leonard.</t>
        </is>
      </c>
      <c r="L267" t="inlineStr">
        <is>
          <t>Washington, D.C. : National Education Association, c1994.</t>
        </is>
      </c>
      <c r="M267" t="inlineStr">
        <is>
          <t>1994</t>
        </is>
      </c>
      <c r="O267" t="inlineStr">
        <is>
          <t>eng</t>
        </is>
      </c>
      <c r="P267" t="inlineStr">
        <is>
          <t>dcu</t>
        </is>
      </c>
      <c r="Q267" t="inlineStr">
        <is>
          <t>Interactive reseources</t>
        </is>
      </c>
      <c r="R267" t="inlineStr">
        <is>
          <t xml:space="preserve">LB </t>
        </is>
      </c>
      <c r="S267" t="n">
        <v>6</v>
      </c>
      <c r="T267" t="n">
        <v>6</v>
      </c>
      <c r="U267" t="inlineStr">
        <is>
          <t>2007-11-06</t>
        </is>
      </c>
      <c r="V267" t="inlineStr">
        <is>
          <t>2007-11-06</t>
        </is>
      </c>
      <c r="W267" t="inlineStr">
        <is>
          <t>1994-10-03</t>
        </is>
      </c>
      <c r="X267" t="inlineStr">
        <is>
          <t>1994-10-03</t>
        </is>
      </c>
      <c r="Y267" t="n">
        <v>333</v>
      </c>
      <c r="Z267" t="n">
        <v>321</v>
      </c>
      <c r="AA267" t="n">
        <v>323</v>
      </c>
      <c r="AB267" t="n">
        <v>5</v>
      </c>
      <c r="AC267" t="n">
        <v>5</v>
      </c>
      <c r="AD267" t="n">
        <v>15</v>
      </c>
      <c r="AE267" t="n">
        <v>15</v>
      </c>
      <c r="AF267" t="n">
        <v>6</v>
      </c>
      <c r="AG267" t="n">
        <v>6</v>
      </c>
      <c r="AH267" t="n">
        <v>4</v>
      </c>
      <c r="AI267" t="n">
        <v>4</v>
      </c>
      <c r="AJ267" t="n">
        <v>6</v>
      </c>
      <c r="AK267" t="n">
        <v>6</v>
      </c>
      <c r="AL267" t="n">
        <v>4</v>
      </c>
      <c r="AM267" t="n">
        <v>4</v>
      </c>
      <c r="AN267" t="n">
        <v>0</v>
      </c>
      <c r="AO267" t="n">
        <v>0</v>
      </c>
      <c r="AP267" t="inlineStr">
        <is>
          <t>No</t>
        </is>
      </c>
      <c r="AQ267" t="inlineStr">
        <is>
          <t>Yes</t>
        </is>
      </c>
      <c r="AR267">
        <f>HYPERLINK("http://catalog.hathitrust.org/Record/002911885","HathiTrust Record")</f>
        <v/>
      </c>
      <c r="AS267">
        <f>HYPERLINK("https://creighton-primo.hosted.exlibrisgroup.com/primo-explore/search?tab=default_tab&amp;search_scope=EVERYTHING&amp;vid=01CRU&amp;lang=en_US&amp;offset=0&amp;query=any,contains,991002261059702656","Catalog Record")</f>
        <v/>
      </c>
      <c r="AT267">
        <f>HYPERLINK("http://www.worldcat.org/oclc/29319690","WorldCat Record")</f>
        <v/>
      </c>
      <c r="AU267" t="inlineStr">
        <is>
          <t>3943738704:eng</t>
        </is>
      </c>
      <c r="AV267" t="inlineStr">
        <is>
          <t>29319690</t>
        </is>
      </c>
      <c r="AW267" t="inlineStr">
        <is>
          <t>991002261059702656</t>
        </is>
      </c>
      <c r="AX267" t="inlineStr">
        <is>
          <t>991002261059702656</t>
        </is>
      </c>
      <c r="AY267" t="inlineStr">
        <is>
          <t>2263919040002656</t>
        </is>
      </c>
      <c r="AZ267" t="inlineStr">
        <is>
          <t>BOOK</t>
        </is>
      </c>
      <c r="BB267" t="inlineStr">
        <is>
          <t>9780810633520</t>
        </is>
      </c>
      <c r="BC267" t="inlineStr">
        <is>
          <t>32285001868123</t>
        </is>
      </c>
      <c r="BD267" t="inlineStr">
        <is>
          <t>893721366</t>
        </is>
      </c>
    </row>
    <row r="268">
      <c r="A268" t="inlineStr">
        <is>
          <t>No</t>
        </is>
      </c>
      <c r="B268" t="inlineStr">
        <is>
          <t>LB1025.3 .K66 2003</t>
        </is>
      </c>
      <c r="C268" t="inlineStr">
        <is>
          <t>0                      LB 1025300K  66          2003</t>
        </is>
      </c>
      <c r="D268" t="inlineStr">
        <is>
          <t>Stupidity and tears : teaching and learning in troubled times / Herbert Kohl.</t>
        </is>
      </c>
      <c r="F268" t="inlineStr">
        <is>
          <t>No</t>
        </is>
      </c>
      <c r="G268" t="inlineStr">
        <is>
          <t>1</t>
        </is>
      </c>
      <c r="H268" t="inlineStr">
        <is>
          <t>No</t>
        </is>
      </c>
      <c r="I268" t="inlineStr">
        <is>
          <t>No</t>
        </is>
      </c>
      <c r="J268" t="inlineStr">
        <is>
          <t>0</t>
        </is>
      </c>
      <c r="K268" t="inlineStr">
        <is>
          <t>Kohl, Herbert R.</t>
        </is>
      </c>
      <c r="L268" t="inlineStr">
        <is>
          <t>New York : New Press, 2003.</t>
        </is>
      </c>
      <c r="M268" t="inlineStr">
        <is>
          <t>2003</t>
        </is>
      </c>
      <c r="O268" t="inlineStr">
        <is>
          <t>eng</t>
        </is>
      </c>
      <c r="P268" t="inlineStr">
        <is>
          <t>nyu</t>
        </is>
      </c>
      <c r="R268" t="inlineStr">
        <is>
          <t xml:space="preserve">LB </t>
        </is>
      </c>
      <c r="S268" t="n">
        <v>3</v>
      </c>
      <c r="T268" t="n">
        <v>3</v>
      </c>
      <c r="U268" t="inlineStr">
        <is>
          <t>2006-02-09</t>
        </is>
      </c>
      <c r="V268" t="inlineStr">
        <is>
          <t>2006-02-09</t>
        </is>
      </c>
      <c r="W268" t="inlineStr">
        <is>
          <t>2004-01-21</t>
        </is>
      </c>
      <c r="X268" t="inlineStr">
        <is>
          <t>2004-01-21</t>
        </is>
      </c>
      <c r="Y268" t="n">
        <v>731</v>
      </c>
      <c r="Z268" t="n">
        <v>680</v>
      </c>
      <c r="AA268" t="n">
        <v>688</v>
      </c>
      <c r="AB268" t="n">
        <v>6</v>
      </c>
      <c r="AC268" t="n">
        <v>6</v>
      </c>
      <c r="AD268" t="n">
        <v>22</v>
      </c>
      <c r="AE268" t="n">
        <v>22</v>
      </c>
      <c r="AF268" t="n">
        <v>7</v>
      </c>
      <c r="AG268" t="n">
        <v>7</v>
      </c>
      <c r="AH268" t="n">
        <v>6</v>
      </c>
      <c r="AI268" t="n">
        <v>6</v>
      </c>
      <c r="AJ268" t="n">
        <v>10</v>
      </c>
      <c r="AK268" t="n">
        <v>10</v>
      </c>
      <c r="AL268" t="n">
        <v>5</v>
      </c>
      <c r="AM268" t="n">
        <v>5</v>
      </c>
      <c r="AN268" t="n">
        <v>0</v>
      </c>
      <c r="AO268" t="n">
        <v>0</v>
      </c>
      <c r="AP268" t="inlineStr">
        <is>
          <t>No</t>
        </is>
      </c>
      <c r="AQ268" t="inlineStr">
        <is>
          <t>No</t>
        </is>
      </c>
      <c r="AS268">
        <f>HYPERLINK("https://creighton-primo.hosted.exlibrisgroup.com/primo-explore/search?tab=default_tab&amp;search_scope=EVERYTHING&amp;vid=01CRU&amp;lang=en_US&amp;offset=0&amp;query=any,contains,991004185759702656","Catalog Record")</f>
        <v/>
      </c>
      <c r="AT268">
        <f>HYPERLINK("http://www.worldcat.org/oclc/52381285","WorldCat Record")</f>
        <v/>
      </c>
      <c r="AU268" t="inlineStr">
        <is>
          <t>819341183:eng</t>
        </is>
      </c>
      <c r="AV268" t="inlineStr">
        <is>
          <t>52381285</t>
        </is>
      </c>
      <c r="AW268" t="inlineStr">
        <is>
          <t>991004185759702656</t>
        </is>
      </c>
      <c r="AX268" t="inlineStr">
        <is>
          <t>991004185759702656</t>
        </is>
      </c>
      <c r="AY268" t="inlineStr">
        <is>
          <t>2257070680002656</t>
        </is>
      </c>
      <c r="AZ268" t="inlineStr">
        <is>
          <t>BOOK</t>
        </is>
      </c>
      <c r="BB268" t="inlineStr">
        <is>
          <t>9781565848511</t>
        </is>
      </c>
      <c r="BC268" t="inlineStr">
        <is>
          <t>32285004635842</t>
        </is>
      </c>
      <c r="BD268" t="inlineStr">
        <is>
          <t>893247260</t>
        </is>
      </c>
    </row>
    <row r="269">
      <c r="A269" t="inlineStr">
        <is>
          <t>No</t>
        </is>
      </c>
      <c r="B269" t="inlineStr">
        <is>
          <t>LB1025.3 .M334 2004</t>
        </is>
      </c>
      <c r="C269" t="inlineStr">
        <is>
          <t>0                      LB 1025300M  334         2004</t>
        </is>
      </c>
      <c r="D269" t="inlineStr">
        <is>
          <t>Powerful classroom stories from accomplished teachers / Adrienne Mack-Kirschner ; foreword by Cathy Owens.</t>
        </is>
      </c>
      <c r="F269" t="inlineStr">
        <is>
          <t>No</t>
        </is>
      </c>
      <c r="G269" t="inlineStr">
        <is>
          <t>1</t>
        </is>
      </c>
      <c r="H269" t="inlineStr">
        <is>
          <t>No</t>
        </is>
      </c>
      <c r="I269" t="inlineStr">
        <is>
          <t>No</t>
        </is>
      </c>
      <c r="J269" t="inlineStr">
        <is>
          <t>0</t>
        </is>
      </c>
      <c r="K269" t="inlineStr">
        <is>
          <t>Mack-Kirschner, Adrienne, 1944-</t>
        </is>
      </c>
      <c r="L269" t="inlineStr">
        <is>
          <t>Thousand Oaks, Calif. : Corwin Press, c2004.</t>
        </is>
      </c>
      <c r="M269" t="inlineStr">
        <is>
          <t>2004</t>
        </is>
      </c>
      <c r="O269" t="inlineStr">
        <is>
          <t>eng</t>
        </is>
      </c>
      <c r="P269" t="inlineStr">
        <is>
          <t>cau</t>
        </is>
      </c>
      <c r="R269" t="inlineStr">
        <is>
          <t xml:space="preserve">LB </t>
        </is>
      </c>
      <c r="S269" t="n">
        <v>3</v>
      </c>
      <c r="T269" t="n">
        <v>3</v>
      </c>
      <c r="U269" t="inlineStr">
        <is>
          <t>2006-11-14</t>
        </is>
      </c>
      <c r="V269" t="inlineStr">
        <is>
          <t>2006-11-14</t>
        </is>
      </c>
      <c r="W269" t="inlineStr">
        <is>
          <t>2005-05-31</t>
        </is>
      </c>
      <c r="X269" t="inlineStr">
        <is>
          <t>2005-05-31</t>
        </is>
      </c>
      <c r="Y269" t="n">
        <v>667</v>
      </c>
      <c r="Z269" t="n">
        <v>605</v>
      </c>
      <c r="AA269" t="n">
        <v>625</v>
      </c>
      <c r="AB269" t="n">
        <v>6</v>
      </c>
      <c r="AC269" t="n">
        <v>7</v>
      </c>
      <c r="AD269" t="n">
        <v>32</v>
      </c>
      <c r="AE269" t="n">
        <v>33</v>
      </c>
      <c r="AF269" t="n">
        <v>15</v>
      </c>
      <c r="AG269" t="n">
        <v>15</v>
      </c>
      <c r="AH269" t="n">
        <v>6</v>
      </c>
      <c r="AI269" t="n">
        <v>6</v>
      </c>
      <c r="AJ269" t="n">
        <v>15</v>
      </c>
      <c r="AK269" t="n">
        <v>15</v>
      </c>
      <c r="AL269" t="n">
        <v>5</v>
      </c>
      <c r="AM269" t="n">
        <v>6</v>
      </c>
      <c r="AN269" t="n">
        <v>0</v>
      </c>
      <c r="AO269" t="n">
        <v>0</v>
      </c>
      <c r="AP269" t="inlineStr">
        <is>
          <t>No</t>
        </is>
      </c>
      <c r="AQ269" t="inlineStr">
        <is>
          <t>Yes</t>
        </is>
      </c>
      <c r="AR269">
        <f>HYPERLINK("http://catalog.hathitrust.org/Record/004355115","HathiTrust Record")</f>
        <v/>
      </c>
      <c r="AS269">
        <f>HYPERLINK("https://creighton-primo.hosted.exlibrisgroup.com/primo-explore/search?tab=default_tab&amp;search_scope=EVERYTHING&amp;vid=01CRU&amp;lang=en_US&amp;offset=0&amp;query=any,contains,991004542859702656","Catalog Record")</f>
        <v/>
      </c>
      <c r="AT269">
        <f>HYPERLINK("http://www.worldcat.org/oclc/52377510","WorldCat Record")</f>
        <v/>
      </c>
      <c r="AU269" t="inlineStr">
        <is>
          <t>788930:eng</t>
        </is>
      </c>
      <c r="AV269" t="inlineStr">
        <is>
          <t>52377510</t>
        </is>
      </c>
      <c r="AW269" t="inlineStr">
        <is>
          <t>991004542859702656</t>
        </is>
      </c>
      <c r="AX269" t="inlineStr">
        <is>
          <t>991004542859702656</t>
        </is>
      </c>
      <c r="AY269" t="inlineStr">
        <is>
          <t>2271264840002656</t>
        </is>
      </c>
      <c r="AZ269" t="inlineStr">
        <is>
          <t>BOOK</t>
        </is>
      </c>
      <c r="BB269" t="inlineStr">
        <is>
          <t>9780761939115</t>
        </is>
      </c>
      <c r="BC269" t="inlineStr">
        <is>
          <t>32285005091706</t>
        </is>
      </c>
      <c r="BD269" t="inlineStr">
        <is>
          <t>893247701</t>
        </is>
      </c>
    </row>
    <row r="270">
      <c r="A270" t="inlineStr">
        <is>
          <t>No</t>
        </is>
      </c>
      <c r="B270" t="inlineStr">
        <is>
          <t>LB1025.3 .M34 1992</t>
        </is>
      </c>
      <c r="C270" t="inlineStr">
        <is>
          <t>0                      LB 1025300M  34          1992</t>
        </is>
      </c>
      <c r="D270" t="inlineStr">
        <is>
          <t>A different kind of classroom : teaching with dimensions of learning / Robert J. Marzano.</t>
        </is>
      </c>
      <c r="F270" t="inlineStr">
        <is>
          <t>No</t>
        </is>
      </c>
      <c r="G270" t="inlineStr">
        <is>
          <t>1</t>
        </is>
      </c>
      <c r="H270" t="inlineStr">
        <is>
          <t>No</t>
        </is>
      </c>
      <c r="I270" t="inlineStr">
        <is>
          <t>No</t>
        </is>
      </c>
      <c r="J270" t="inlineStr">
        <is>
          <t>0</t>
        </is>
      </c>
      <c r="K270" t="inlineStr">
        <is>
          <t>Marzano, Robert J.</t>
        </is>
      </c>
      <c r="L270" t="inlineStr">
        <is>
          <t>Alexandria, Va. : Association for Supervision and Curriculum Development, c1992.</t>
        </is>
      </c>
      <c r="M270" t="inlineStr">
        <is>
          <t>1992</t>
        </is>
      </c>
      <c r="O270" t="inlineStr">
        <is>
          <t>eng</t>
        </is>
      </c>
      <c r="P270" t="inlineStr">
        <is>
          <t>vau</t>
        </is>
      </c>
      <c r="R270" t="inlineStr">
        <is>
          <t xml:space="preserve">LB </t>
        </is>
      </c>
      <c r="S270" t="n">
        <v>9</v>
      </c>
      <c r="T270" t="n">
        <v>9</v>
      </c>
      <c r="U270" t="inlineStr">
        <is>
          <t>2000-10-04</t>
        </is>
      </c>
      <c r="V270" t="inlineStr">
        <is>
          <t>2000-10-04</t>
        </is>
      </c>
      <c r="W270" t="inlineStr">
        <is>
          <t>1992-07-08</t>
        </is>
      </c>
      <c r="X270" t="inlineStr">
        <is>
          <t>1992-07-08</t>
        </is>
      </c>
      <c r="Y270" t="n">
        <v>983</v>
      </c>
      <c r="Z270" t="n">
        <v>862</v>
      </c>
      <c r="AA270" t="n">
        <v>867</v>
      </c>
      <c r="AB270" t="n">
        <v>11</v>
      </c>
      <c r="AC270" t="n">
        <v>11</v>
      </c>
      <c r="AD270" t="n">
        <v>33</v>
      </c>
      <c r="AE270" t="n">
        <v>33</v>
      </c>
      <c r="AF270" t="n">
        <v>15</v>
      </c>
      <c r="AG270" t="n">
        <v>15</v>
      </c>
      <c r="AH270" t="n">
        <v>4</v>
      </c>
      <c r="AI270" t="n">
        <v>4</v>
      </c>
      <c r="AJ270" t="n">
        <v>17</v>
      </c>
      <c r="AK270" t="n">
        <v>17</v>
      </c>
      <c r="AL270" t="n">
        <v>7</v>
      </c>
      <c r="AM270" t="n">
        <v>7</v>
      </c>
      <c r="AN270" t="n">
        <v>0</v>
      </c>
      <c r="AO270" t="n">
        <v>0</v>
      </c>
      <c r="AP270" t="inlineStr">
        <is>
          <t>No</t>
        </is>
      </c>
      <c r="AQ270" t="inlineStr">
        <is>
          <t>No</t>
        </is>
      </c>
      <c r="AS270">
        <f>HYPERLINK("https://creighton-primo.hosted.exlibrisgroup.com/primo-explore/search?tab=default_tab&amp;search_scope=EVERYTHING&amp;vid=01CRU&amp;lang=en_US&amp;offset=0&amp;query=any,contains,991002006239702656","Catalog Record")</f>
        <v/>
      </c>
      <c r="AT270">
        <f>HYPERLINK("http://www.worldcat.org/oclc/25509166","WorldCat Record")</f>
        <v/>
      </c>
      <c r="AU270" t="inlineStr">
        <is>
          <t>4241380322:eng</t>
        </is>
      </c>
      <c r="AV270" t="inlineStr">
        <is>
          <t>25509166</t>
        </is>
      </c>
      <c r="AW270" t="inlineStr">
        <is>
          <t>991002006239702656</t>
        </is>
      </c>
      <c r="AX270" t="inlineStr">
        <is>
          <t>991002006239702656</t>
        </is>
      </c>
      <c r="AY270" t="inlineStr">
        <is>
          <t>2272169840002656</t>
        </is>
      </c>
      <c r="AZ270" t="inlineStr">
        <is>
          <t>BOOK</t>
        </is>
      </c>
      <c r="BB270" t="inlineStr">
        <is>
          <t>9780871201928</t>
        </is>
      </c>
      <c r="BC270" t="inlineStr">
        <is>
          <t>32285001168920</t>
        </is>
      </c>
      <c r="BD270" t="inlineStr">
        <is>
          <t>893439664</t>
        </is>
      </c>
    </row>
    <row r="271">
      <c r="A271" t="inlineStr">
        <is>
          <t>No</t>
        </is>
      </c>
      <c r="B271" t="inlineStr">
        <is>
          <t>LB1025.3 .M35 1992</t>
        </is>
      </c>
      <c r="C271" t="inlineStr">
        <is>
          <t>0                      LB 1025300M  35          1992</t>
        </is>
      </c>
      <c r="D271" t="inlineStr">
        <is>
          <t>Teaching : making sense of an uncertain craft / Joseph P. McDonald.</t>
        </is>
      </c>
      <c r="F271" t="inlineStr">
        <is>
          <t>No</t>
        </is>
      </c>
      <c r="G271" t="inlineStr">
        <is>
          <t>1</t>
        </is>
      </c>
      <c r="H271" t="inlineStr">
        <is>
          <t>No</t>
        </is>
      </c>
      <c r="I271" t="inlineStr">
        <is>
          <t>No</t>
        </is>
      </c>
      <c r="J271" t="inlineStr">
        <is>
          <t>0</t>
        </is>
      </c>
      <c r="K271" t="inlineStr">
        <is>
          <t>McDonald, Joseph P.</t>
        </is>
      </c>
      <c r="L271" t="inlineStr">
        <is>
          <t>New York : Teachers College Press, c1992.</t>
        </is>
      </c>
      <c r="M271" t="inlineStr">
        <is>
          <t>1992</t>
        </is>
      </c>
      <c r="O271" t="inlineStr">
        <is>
          <t>eng</t>
        </is>
      </c>
      <c r="P271" t="inlineStr">
        <is>
          <t>nyu</t>
        </is>
      </c>
      <c r="Q271" t="inlineStr">
        <is>
          <t>Professional development and practice series</t>
        </is>
      </c>
      <c r="R271" t="inlineStr">
        <is>
          <t xml:space="preserve">LB </t>
        </is>
      </c>
      <c r="S271" t="n">
        <v>3</v>
      </c>
      <c r="T271" t="n">
        <v>3</v>
      </c>
      <c r="U271" t="inlineStr">
        <is>
          <t>2004-11-08</t>
        </is>
      </c>
      <c r="V271" t="inlineStr">
        <is>
          <t>2004-11-08</t>
        </is>
      </c>
      <c r="W271" t="inlineStr">
        <is>
          <t>1997-01-14</t>
        </is>
      </c>
      <c r="X271" t="inlineStr">
        <is>
          <t>1997-01-14</t>
        </is>
      </c>
      <c r="Y271" t="n">
        <v>436</v>
      </c>
      <c r="Z271" t="n">
        <v>369</v>
      </c>
      <c r="AA271" t="n">
        <v>370</v>
      </c>
      <c r="AB271" t="n">
        <v>4</v>
      </c>
      <c r="AC271" t="n">
        <v>4</v>
      </c>
      <c r="AD271" t="n">
        <v>16</v>
      </c>
      <c r="AE271" t="n">
        <v>16</v>
      </c>
      <c r="AF271" t="n">
        <v>5</v>
      </c>
      <c r="AG271" t="n">
        <v>5</v>
      </c>
      <c r="AH271" t="n">
        <v>1</v>
      </c>
      <c r="AI271" t="n">
        <v>1</v>
      </c>
      <c r="AJ271" t="n">
        <v>9</v>
      </c>
      <c r="AK271" t="n">
        <v>9</v>
      </c>
      <c r="AL271" t="n">
        <v>3</v>
      </c>
      <c r="AM271" t="n">
        <v>3</v>
      </c>
      <c r="AN271" t="n">
        <v>0</v>
      </c>
      <c r="AO271" t="n">
        <v>0</v>
      </c>
      <c r="AP271" t="inlineStr">
        <is>
          <t>No</t>
        </is>
      </c>
      <c r="AQ271" t="inlineStr">
        <is>
          <t>No</t>
        </is>
      </c>
      <c r="AS271">
        <f>HYPERLINK("https://creighton-primo.hosted.exlibrisgroup.com/primo-explore/search?tab=default_tab&amp;search_scope=EVERYTHING&amp;vid=01CRU&amp;lang=en_US&amp;offset=0&amp;query=any,contains,991001972669702656","Catalog Record")</f>
        <v/>
      </c>
      <c r="AT271">
        <f>HYPERLINK("http://www.worldcat.org/oclc/25025503","WorldCat Record")</f>
        <v/>
      </c>
      <c r="AU271" t="inlineStr">
        <is>
          <t>889799828:eng</t>
        </is>
      </c>
      <c r="AV271" t="inlineStr">
        <is>
          <t>25025503</t>
        </is>
      </c>
      <c r="AW271" t="inlineStr">
        <is>
          <t>991001972669702656</t>
        </is>
      </c>
      <c r="AX271" t="inlineStr">
        <is>
          <t>991001972669702656</t>
        </is>
      </c>
      <c r="AY271" t="inlineStr">
        <is>
          <t>2264252030002656</t>
        </is>
      </c>
      <c r="AZ271" t="inlineStr">
        <is>
          <t>BOOK</t>
        </is>
      </c>
      <c r="BB271" t="inlineStr">
        <is>
          <t>9780807731673</t>
        </is>
      </c>
      <c r="BC271" t="inlineStr">
        <is>
          <t>32285002407178</t>
        </is>
      </c>
      <c r="BD271" t="inlineStr">
        <is>
          <t>893621768</t>
        </is>
      </c>
    </row>
    <row r="272">
      <c r="A272" t="inlineStr">
        <is>
          <t>No</t>
        </is>
      </c>
      <c r="B272" t="inlineStr">
        <is>
          <t>LB1025.3 .M49 2001</t>
        </is>
      </c>
      <c r="C272" t="inlineStr">
        <is>
          <t>0                      LB 1025300M  49          2001</t>
        </is>
      </c>
      <c r="D272" t="inlineStr">
        <is>
          <t>Choosing excellence : "good enough" schools are not good enough / John Merrow.</t>
        </is>
      </c>
      <c r="F272" t="inlineStr">
        <is>
          <t>No</t>
        </is>
      </c>
      <c r="G272" t="inlineStr">
        <is>
          <t>1</t>
        </is>
      </c>
      <c r="H272" t="inlineStr">
        <is>
          <t>No</t>
        </is>
      </c>
      <c r="I272" t="inlineStr">
        <is>
          <t>No</t>
        </is>
      </c>
      <c r="J272" t="inlineStr">
        <is>
          <t>0</t>
        </is>
      </c>
      <c r="K272" t="inlineStr">
        <is>
          <t>Merrow, John.</t>
        </is>
      </c>
      <c r="L272" t="inlineStr">
        <is>
          <t>Lanham, Md. : Scarecrow Press, 2001.</t>
        </is>
      </c>
      <c r="M272" t="inlineStr">
        <is>
          <t>2001</t>
        </is>
      </c>
      <c r="O272" t="inlineStr">
        <is>
          <t>eng</t>
        </is>
      </c>
      <c r="P272" t="inlineStr">
        <is>
          <t>mdu</t>
        </is>
      </c>
      <c r="R272" t="inlineStr">
        <is>
          <t xml:space="preserve">LB </t>
        </is>
      </c>
      <c r="S272" t="n">
        <v>5</v>
      </c>
      <c r="T272" t="n">
        <v>5</v>
      </c>
      <c r="U272" t="inlineStr">
        <is>
          <t>2002-09-23</t>
        </is>
      </c>
      <c r="V272" t="inlineStr">
        <is>
          <t>2002-09-23</t>
        </is>
      </c>
      <c r="W272" t="inlineStr">
        <is>
          <t>2001-09-13</t>
        </is>
      </c>
      <c r="X272" t="inlineStr">
        <is>
          <t>2001-09-13</t>
        </is>
      </c>
      <c r="Y272" t="n">
        <v>744</v>
      </c>
      <c r="Z272" t="n">
        <v>701</v>
      </c>
      <c r="AA272" t="n">
        <v>708</v>
      </c>
      <c r="AB272" t="n">
        <v>8</v>
      </c>
      <c r="AC272" t="n">
        <v>8</v>
      </c>
      <c r="AD272" t="n">
        <v>24</v>
      </c>
      <c r="AE272" t="n">
        <v>24</v>
      </c>
      <c r="AF272" t="n">
        <v>8</v>
      </c>
      <c r="AG272" t="n">
        <v>8</v>
      </c>
      <c r="AH272" t="n">
        <v>3</v>
      </c>
      <c r="AI272" t="n">
        <v>3</v>
      </c>
      <c r="AJ272" t="n">
        <v>11</v>
      </c>
      <c r="AK272" t="n">
        <v>11</v>
      </c>
      <c r="AL272" t="n">
        <v>6</v>
      </c>
      <c r="AM272" t="n">
        <v>6</v>
      </c>
      <c r="AN272" t="n">
        <v>0</v>
      </c>
      <c r="AO272" t="n">
        <v>0</v>
      </c>
      <c r="AP272" t="inlineStr">
        <is>
          <t>No</t>
        </is>
      </c>
      <c r="AQ272" t="inlineStr">
        <is>
          <t>Yes</t>
        </is>
      </c>
      <c r="AR272">
        <f>HYPERLINK("http://catalog.hathitrust.org/Record/004156756","HathiTrust Record")</f>
        <v/>
      </c>
      <c r="AS272">
        <f>HYPERLINK("https://creighton-primo.hosted.exlibrisgroup.com/primo-explore/search?tab=default_tab&amp;search_scope=EVERYTHING&amp;vid=01CRU&amp;lang=en_US&amp;offset=0&amp;query=any,contains,991003603949702656","Catalog Record")</f>
        <v/>
      </c>
      <c r="AT272">
        <f>HYPERLINK("http://www.worldcat.org/oclc/45207840","WorldCat Record")</f>
        <v/>
      </c>
      <c r="AU272" t="inlineStr">
        <is>
          <t>34583488:eng</t>
        </is>
      </c>
      <c r="AV272" t="inlineStr">
        <is>
          <t>45207840</t>
        </is>
      </c>
      <c r="AW272" t="inlineStr">
        <is>
          <t>991003603949702656</t>
        </is>
      </c>
      <c r="AX272" t="inlineStr">
        <is>
          <t>991003603949702656</t>
        </is>
      </c>
      <c r="AY272" t="inlineStr">
        <is>
          <t>2258637890002656</t>
        </is>
      </c>
      <c r="AZ272" t="inlineStr">
        <is>
          <t>BOOK</t>
        </is>
      </c>
      <c r="BB272" t="inlineStr">
        <is>
          <t>9781578860142</t>
        </is>
      </c>
      <c r="BC272" t="inlineStr">
        <is>
          <t>32285004391248</t>
        </is>
      </c>
      <c r="BD272" t="inlineStr">
        <is>
          <t>893686706</t>
        </is>
      </c>
    </row>
    <row r="273">
      <c r="A273" t="inlineStr">
        <is>
          <t>No</t>
        </is>
      </c>
      <c r="B273" t="inlineStr">
        <is>
          <t>LB1025.3 .M62 2001</t>
        </is>
      </c>
      <c r="C273" t="inlineStr">
        <is>
          <t>0                      LB 1025300M  62          2001</t>
        </is>
      </c>
      <c r="D273" t="inlineStr">
        <is>
          <t>Short courses &amp; workshops : improving the impact of learning, training &amp; professional development / Jennifer Moon.</t>
        </is>
      </c>
      <c r="F273" t="inlineStr">
        <is>
          <t>No</t>
        </is>
      </c>
      <c r="G273" t="inlineStr">
        <is>
          <t>1</t>
        </is>
      </c>
      <c r="H273" t="inlineStr">
        <is>
          <t>No</t>
        </is>
      </c>
      <c r="I273" t="inlineStr">
        <is>
          <t>No</t>
        </is>
      </c>
      <c r="J273" t="inlineStr">
        <is>
          <t>0</t>
        </is>
      </c>
      <c r="K273" t="inlineStr">
        <is>
          <t>Moon, Jennifer A.</t>
        </is>
      </c>
      <c r="L273" t="inlineStr">
        <is>
          <t>London : Kogan Page, 2001.</t>
        </is>
      </c>
      <c r="M273" t="inlineStr">
        <is>
          <t>2001</t>
        </is>
      </c>
      <c r="O273" t="inlineStr">
        <is>
          <t>eng</t>
        </is>
      </c>
      <c r="P273" t="inlineStr">
        <is>
          <t>enk</t>
        </is>
      </c>
      <c r="R273" t="inlineStr">
        <is>
          <t xml:space="preserve">LB </t>
        </is>
      </c>
      <c r="S273" t="n">
        <v>2</v>
      </c>
      <c r="T273" t="n">
        <v>2</v>
      </c>
      <c r="U273" t="inlineStr">
        <is>
          <t>2003-11-24</t>
        </is>
      </c>
      <c r="V273" t="inlineStr">
        <is>
          <t>2003-11-24</t>
        </is>
      </c>
      <c r="W273" t="inlineStr">
        <is>
          <t>2003-11-24</t>
        </is>
      </c>
      <c r="X273" t="inlineStr">
        <is>
          <t>2003-11-24</t>
        </is>
      </c>
      <c r="Y273" t="n">
        <v>182</v>
      </c>
      <c r="Z273" t="n">
        <v>90</v>
      </c>
      <c r="AA273" t="n">
        <v>113</v>
      </c>
      <c r="AB273" t="n">
        <v>2</v>
      </c>
      <c r="AC273" t="n">
        <v>2</v>
      </c>
      <c r="AD273" t="n">
        <v>6</v>
      </c>
      <c r="AE273" t="n">
        <v>6</v>
      </c>
      <c r="AF273" t="n">
        <v>0</v>
      </c>
      <c r="AG273" t="n">
        <v>0</v>
      </c>
      <c r="AH273" t="n">
        <v>2</v>
      </c>
      <c r="AI273" t="n">
        <v>2</v>
      </c>
      <c r="AJ273" t="n">
        <v>4</v>
      </c>
      <c r="AK273" t="n">
        <v>4</v>
      </c>
      <c r="AL273" t="n">
        <v>1</v>
      </c>
      <c r="AM273" t="n">
        <v>1</v>
      </c>
      <c r="AN273" t="n">
        <v>0</v>
      </c>
      <c r="AO273" t="n">
        <v>0</v>
      </c>
      <c r="AP273" t="inlineStr">
        <is>
          <t>No</t>
        </is>
      </c>
      <c r="AQ273" t="inlineStr">
        <is>
          <t>No</t>
        </is>
      </c>
      <c r="AS273">
        <f>HYPERLINK("https://creighton-primo.hosted.exlibrisgroup.com/primo-explore/search?tab=default_tab&amp;search_scope=EVERYTHING&amp;vid=01CRU&amp;lang=en_US&amp;offset=0&amp;query=any,contains,991004188929702656","Catalog Record")</f>
        <v/>
      </c>
      <c r="AT273">
        <f>HYPERLINK("http://www.worldcat.org/oclc/45314427","WorldCat Record")</f>
        <v/>
      </c>
      <c r="AU273" t="inlineStr">
        <is>
          <t>499659845:eng</t>
        </is>
      </c>
      <c r="AV273" t="inlineStr">
        <is>
          <t>45314427</t>
        </is>
      </c>
      <c r="AW273" t="inlineStr">
        <is>
          <t>991004188929702656</t>
        </is>
      </c>
      <c r="AX273" t="inlineStr">
        <is>
          <t>991004188929702656</t>
        </is>
      </c>
      <c r="AY273" t="inlineStr">
        <is>
          <t>2255779030002656</t>
        </is>
      </c>
      <c r="AZ273" t="inlineStr">
        <is>
          <t>BOOK</t>
        </is>
      </c>
      <c r="BB273" t="inlineStr">
        <is>
          <t>9780749432669</t>
        </is>
      </c>
      <c r="BC273" t="inlineStr">
        <is>
          <t>32285004842026</t>
        </is>
      </c>
      <c r="BD273" t="inlineStr">
        <is>
          <t>893794577</t>
        </is>
      </c>
    </row>
    <row r="274">
      <c r="A274" t="inlineStr">
        <is>
          <t>No</t>
        </is>
      </c>
      <c r="B274" t="inlineStr">
        <is>
          <t>LB1025.3 .M664 1997</t>
        </is>
      </c>
      <c r="C274" t="inlineStr">
        <is>
          <t>0                      LB 1025300M  664         1997</t>
        </is>
      </c>
      <c r="D274" t="inlineStr">
        <is>
          <t>Showing how : the act of teaching / Gabriel Moran.</t>
        </is>
      </c>
      <c r="F274" t="inlineStr">
        <is>
          <t>No</t>
        </is>
      </c>
      <c r="G274" t="inlineStr">
        <is>
          <t>1</t>
        </is>
      </c>
      <c r="H274" t="inlineStr">
        <is>
          <t>No</t>
        </is>
      </c>
      <c r="I274" t="inlineStr">
        <is>
          <t>No</t>
        </is>
      </c>
      <c r="J274" t="inlineStr">
        <is>
          <t>0</t>
        </is>
      </c>
      <c r="K274" t="inlineStr">
        <is>
          <t>Moran, Gabriel.</t>
        </is>
      </c>
      <c r="L274" t="inlineStr">
        <is>
          <t>Valley Forge, Pa. : Trinity Press International, c1997.</t>
        </is>
      </c>
      <c r="M274" t="inlineStr">
        <is>
          <t>1997</t>
        </is>
      </c>
      <c r="O274" t="inlineStr">
        <is>
          <t>eng</t>
        </is>
      </c>
      <c r="P274" t="inlineStr">
        <is>
          <t>pau</t>
        </is>
      </c>
      <c r="R274" t="inlineStr">
        <is>
          <t xml:space="preserve">LB </t>
        </is>
      </c>
      <c r="S274" t="n">
        <v>16</v>
      </c>
      <c r="T274" t="n">
        <v>16</v>
      </c>
      <c r="U274" t="inlineStr">
        <is>
          <t>2004-08-31</t>
        </is>
      </c>
      <c r="V274" t="inlineStr">
        <is>
          <t>2004-08-31</t>
        </is>
      </c>
      <c r="W274" t="inlineStr">
        <is>
          <t>1997-04-15</t>
        </is>
      </c>
      <c r="X274" t="inlineStr">
        <is>
          <t>1997-04-15</t>
        </is>
      </c>
      <c r="Y274" t="n">
        <v>241</v>
      </c>
      <c r="Z274" t="n">
        <v>195</v>
      </c>
      <c r="AA274" t="n">
        <v>489</v>
      </c>
      <c r="AB274" t="n">
        <v>3</v>
      </c>
      <c r="AC274" t="n">
        <v>5</v>
      </c>
      <c r="AD274" t="n">
        <v>19</v>
      </c>
      <c r="AE274" t="n">
        <v>26</v>
      </c>
      <c r="AF274" t="n">
        <v>8</v>
      </c>
      <c r="AG274" t="n">
        <v>12</v>
      </c>
      <c r="AH274" t="n">
        <v>3</v>
      </c>
      <c r="AI274" t="n">
        <v>5</v>
      </c>
      <c r="AJ274" t="n">
        <v>10</v>
      </c>
      <c r="AK274" t="n">
        <v>12</v>
      </c>
      <c r="AL274" t="n">
        <v>2</v>
      </c>
      <c r="AM274" t="n">
        <v>4</v>
      </c>
      <c r="AN274" t="n">
        <v>0</v>
      </c>
      <c r="AO274" t="n">
        <v>0</v>
      </c>
      <c r="AP274" t="inlineStr">
        <is>
          <t>No</t>
        </is>
      </c>
      <c r="AQ274" t="inlineStr">
        <is>
          <t>No</t>
        </is>
      </c>
      <c r="AS274">
        <f>HYPERLINK("https://creighton-primo.hosted.exlibrisgroup.com/primo-explore/search?tab=default_tab&amp;search_scope=EVERYTHING&amp;vid=01CRU&amp;lang=en_US&amp;offset=0&amp;query=any,contains,991002750559702656","Catalog Record")</f>
        <v/>
      </c>
      <c r="AT274">
        <f>HYPERLINK("http://www.worldcat.org/oclc/36086900","WorldCat Record")</f>
        <v/>
      </c>
      <c r="AU274" t="inlineStr">
        <is>
          <t>45962114:eng</t>
        </is>
      </c>
      <c r="AV274" t="inlineStr">
        <is>
          <t>36086900</t>
        </is>
      </c>
      <c r="AW274" t="inlineStr">
        <is>
          <t>991002750559702656</t>
        </is>
      </c>
      <c r="AX274" t="inlineStr">
        <is>
          <t>991002750559702656</t>
        </is>
      </c>
      <c r="AY274" t="inlineStr">
        <is>
          <t>2266163040002656</t>
        </is>
      </c>
      <c r="AZ274" t="inlineStr">
        <is>
          <t>BOOK</t>
        </is>
      </c>
      <c r="BB274" t="inlineStr">
        <is>
          <t>9781563381874</t>
        </is>
      </c>
      <c r="BC274" t="inlineStr">
        <is>
          <t>32285002496957</t>
        </is>
      </c>
      <c r="BD274" t="inlineStr">
        <is>
          <t>893892933</t>
        </is>
      </c>
    </row>
    <row r="275">
      <c r="A275" t="inlineStr">
        <is>
          <t>No</t>
        </is>
      </c>
      <c r="B275" t="inlineStr">
        <is>
          <t>LB1025.3 .M67 1997</t>
        </is>
      </c>
      <c r="C275" t="inlineStr">
        <is>
          <t>0                      LB 1025300M  67          1997</t>
        </is>
      </c>
      <c r="D275" t="inlineStr">
        <is>
          <t>Teaching in America / George S. Morrison.</t>
        </is>
      </c>
      <c r="F275" t="inlineStr">
        <is>
          <t>No</t>
        </is>
      </c>
      <c r="G275" t="inlineStr">
        <is>
          <t>1</t>
        </is>
      </c>
      <c r="H275" t="inlineStr">
        <is>
          <t>No</t>
        </is>
      </c>
      <c r="I275" t="inlineStr">
        <is>
          <t>No</t>
        </is>
      </c>
      <c r="J275" t="inlineStr">
        <is>
          <t>0</t>
        </is>
      </c>
      <c r="K275" t="inlineStr">
        <is>
          <t>Morrison, George S.</t>
        </is>
      </c>
      <c r="L275" t="inlineStr">
        <is>
          <t>Boston : Allyn and Bacon, c1997.</t>
        </is>
      </c>
      <c r="M275" t="inlineStr">
        <is>
          <t>1997</t>
        </is>
      </c>
      <c r="O275" t="inlineStr">
        <is>
          <t>eng</t>
        </is>
      </c>
      <c r="P275" t="inlineStr">
        <is>
          <t>mau</t>
        </is>
      </c>
      <c r="R275" t="inlineStr">
        <is>
          <t xml:space="preserve">LB </t>
        </is>
      </c>
      <c r="S275" t="n">
        <v>35</v>
      </c>
      <c r="T275" t="n">
        <v>35</v>
      </c>
      <c r="U275" t="inlineStr">
        <is>
          <t>2010-11-30</t>
        </is>
      </c>
      <c r="V275" t="inlineStr">
        <is>
          <t>2010-11-30</t>
        </is>
      </c>
      <c r="W275" t="inlineStr">
        <is>
          <t>1997-10-01</t>
        </is>
      </c>
      <c r="X275" t="inlineStr">
        <is>
          <t>1997-10-01</t>
        </is>
      </c>
      <c r="Y275" t="n">
        <v>144</v>
      </c>
      <c r="Z275" t="n">
        <v>133</v>
      </c>
      <c r="AA275" t="n">
        <v>338</v>
      </c>
      <c r="AB275" t="n">
        <v>1</v>
      </c>
      <c r="AC275" t="n">
        <v>2</v>
      </c>
      <c r="AD275" t="n">
        <v>6</v>
      </c>
      <c r="AE275" t="n">
        <v>12</v>
      </c>
      <c r="AF275" t="n">
        <v>3</v>
      </c>
      <c r="AG275" t="n">
        <v>6</v>
      </c>
      <c r="AH275" t="n">
        <v>2</v>
      </c>
      <c r="AI275" t="n">
        <v>3</v>
      </c>
      <c r="AJ275" t="n">
        <v>3</v>
      </c>
      <c r="AK275" t="n">
        <v>5</v>
      </c>
      <c r="AL275" t="n">
        <v>0</v>
      </c>
      <c r="AM275" t="n">
        <v>1</v>
      </c>
      <c r="AN275" t="n">
        <v>0</v>
      </c>
      <c r="AO275" t="n">
        <v>0</v>
      </c>
      <c r="AP275" t="inlineStr">
        <is>
          <t>No</t>
        </is>
      </c>
      <c r="AQ275" t="inlineStr">
        <is>
          <t>Yes</t>
        </is>
      </c>
      <c r="AR275">
        <f>HYPERLINK("http://catalog.hathitrust.org/Record/009931396","HathiTrust Record")</f>
        <v/>
      </c>
      <c r="AS275">
        <f>HYPERLINK("https://creighton-primo.hosted.exlibrisgroup.com/primo-explore/search?tab=default_tab&amp;search_scope=EVERYTHING&amp;vid=01CRU&amp;lang=en_US&amp;offset=0&amp;query=any,contains,991002650079702656","Catalog Record")</f>
        <v/>
      </c>
      <c r="AT275">
        <f>HYPERLINK("http://www.worldcat.org/oclc/34669250","WorldCat Record")</f>
        <v/>
      </c>
      <c r="AU275" t="inlineStr">
        <is>
          <t>892901:eng</t>
        </is>
      </c>
      <c r="AV275" t="inlineStr">
        <is>
          <t>34669250</t>
        </is>
      </c>
      <c r="AW275" t="inlineStr">
        <is>
          <t>991002650079702656</t>
        </is>
      </c>
      <c r="AX275" t="inlineStr">
        <is>
          <t>991002650079702656</t>
        </is>
      </c>
      <c r="AY275" t="inlineStr">
        <is>
          <t>2271320610002656</t>
        </is>
      </c>
      <c r="AZ275" t="inlineStr">
        <is>
          <t>BOOK</t>
        </is>
      </c>
      <c r="BB275" t="inlineStr">
        <is>
          <t>9780205152537</t>
        </is>
      </c>
      <c r="BC275" t="inlineStr">
        <is>
          <t>32285003251799</t>
        </is>
      </c>
      <c r="BD275" t="inlineStr">
        <is>
          <t>893880210</t>
        </is>
      </c>
    </row>
    <row r="276">
      <c r="A276" t="inlineStr">
        <is>
          <t>No</t>
        </is>
      </c>
      <c r="B276" t="inlineStr">
        <is>
          <t>LB1025.3 .N49 1998</t>
        </is>
      </c>
      <c r="C276" t="inlineStr">
        <is>
          <t>0                      LB 1025300N  49          1998</t>
        </is>
      </c>
      <c r="D276" t="inlineStr">
        <is>
          <t>Tensions of teaching : beyond tips to critical reflection / Judith M. Newman with Jim Albright ... [et al.].</t>
        </is>
      </c>
      <c r="F276" t="inlineStr">
        <is>
          <t>No</t>
        </is>
      </c>
      <c r="G276" t="inlineStr">
        <is>
          <t>1</t>
        </is>
      </c>
      <c r="H276" t="inlineStr">
        <is>
          <t>No</t>
        </is>
      </c>
      <c r="I276" t="inlineStr">
        <is>
          <t>No</t>
        </is>
      </c>
      <c r="J276" t="inlineStr">
        <is>
          <t>0</t>
        </is>
      </c>
      <c r="K276" t="inlineStr">
        <is>
          <t>Newman, Judith, 1943-</t>
        </is>
      </c>
      <c r="L276" t="inlineStr">
        <is>
          <t>New York : Teachers College Press, c1998.</t>
        </is>
      </c>
      <c r="M276" t="inlineStr">
        <is>
          <t>1998</t>
        </is>
      </c>
      <c r="O276" t="inlineStr">
        <is>
          <t>eng</t>
        </is>
      </c>
      <c r="P276" t="inlineStr">
        <is>
          <t>nyu</t>
        </is>
      </c>
      <c r="Q276" t="inlineStr">
        <is>
          <t>The practitioner inquiry series</t>
        </is>
      </c>
      <c r="R276" t="inlineStr">
        <is>
          <t xml:space="preserve">LB </t>
        </is>
      </c>
      <c r="S276" t="n">
        <v>10</v>
      </c>
      <c r="T276" t="n">
        <v>10</v>
      </c>
      <c r="U276" t="inlineStr">
        <is>
          <t>2004-11-08</t>
        </is>
      </c>
      <c r="V276" t="inlineStr">
        <is>
          <t>2004-11-08</t>
        </is>
      </c>
      <c r="W276" t="inlineStr">
        <is>
          <t>1998-08-20</t>
        </is>
      </c>
      <c r="X276" t="inlineStr">
        <is>
          <t>1998-08-20</t>
        </is>
      </c>
      <c r="Y276" t="n">
        <v>368</v>
      </c>
      <c r="Z276" t="n">
        <v>335</v>
      </c>
      <c r="AA276" t="n">
        <v>340</v>
      </c>
      <c r="AB276" t="n">
        <v>4</v>
      </c>
      <c r="AC276" t="n">
        <v>4</v>
      </c>
      <c r="AD276" t="n">
        <v>19</v>
      </c>
      <c r="AE276" t="n">
        <v>19</v>
      </c>
      <c r="AF276" t="n">
        <v>7</v>
      </c>
      <c r="AG276" t="n">
        <v>7</v>
      </c>
      <c r="AH276" t="n">
        <v>3</v>
      </c>
      <c r="AI276" t="n">
        <v>3</v>
      </c>
      <c r="AJ276" t="n">
        <v>9</v>
      </c>
      <c r="AK276" t="n">
        <v>9</v>
      </c>
      <c r="AL276" t="n">
        <v>3</v>
      </c>
      <c r="AM276" t="n">
        <v>3</v>
      </c>
      <c r="AN276" t="n">
        <v>0</v>
      </c>
      <c r="AO276" t="n">
        <v>0</v>
      </c>
      <c r="AP276" t="inlineStr">
        <is>
          <t>No</t>
        </is>
      </c>
      <c r="AQ276" t="inlineStr">
        <is>
          <t>No</t>
        </is>
      </c>
      <c r="AS276">
        <f>HYPERLINK("https://creighton-primo.hosted.exlibrisgroup.com/primo-explore/search?tab=default_tab&amp;search_scope=EVERYTHING&amp;vid=01CRU&amp;lang=en_US&amp;offset=0&amp;query=any,contains,991002876889702656","Catalog Record")</f>
        <v/>
      </c>
      <c r="AT276">
        <f>HYPERLINK("http://www.worldcat.org/oclc/37910112","WorldCat Record")</f>
        <v/>
      </c>
      <c r="AU276" t="inlineStr">
        <is>
          <t>864062156:eng</t>
        </is>
      </c>
      <c r="AV276" t="inlineStr">
        <is>
          <t>37910112</t>
        </is>
      </c>
      <c r="AW276" t="inlineStr">
        <is>
          <t>991002876889702656</t>
        </is>
      </c>
      <c r="AX276" t="inlineStr">
        <is>
          <t>991002876889702656</t>
        </is>
      </c>
      <c r="AY276" t="inlineStr">
        <is>
          <t>2269387840002656</t>
        </is>
      </c>
      <c r="AZ276" t="inlineStr">
        <is>
          <t>BOOK</t>
        </is>
      </c>
      <c r="BB276" t="inlineStr">
        <is>
          <t>9780807737361</t>
        </is>
      </c>
      <c r="BC276" t="inlineStr">
        <is>
          <t>32285003460408</t>
        </is>
      </c>
      <c r="BD276" t="inlineStr">
        <is>
          <t>893774139</t>
        </is>
      </c>
    </row>
    <row r="277">
      <c r="A277" t="inlineStr">
        <is>
          <t>No</t>
        </is>
      </c>
      <c r="B277" t="inlineStr">
        <is>
          <t>LB1025.3 .O74 1998</t>
        </is>
      </c>
      <c r="C277" t="inlineStr">
        <is>
          <t>0                      LB 1025300O  74          1998</t>
        </is>
      </c>
      <c r="D277" t="inlineStr">
        <is>
          <t>Radical presence : teaching as contemplative practice / Mary Rose O'Reilley ; [foreword by Parker J. Palmer].</t>
        </is>
      </c>
      <c r="F277" t="inlineStr">
        <is>
          <t>No</t>
        </is>
      </c>
      <c r="G277" t="inlineStr">
        <is>
          <t>1</t>
        </is>
      </c>
      <c r="H277" t="inlineStr">
        <is>
          <t>No</t>
        </is>
      </c>
      <c r="I277" t="inlineStr">
        <is>
          <t>No</t>
        </is>
      </c>
      <c r="J277" t="inlineStr">
        <is>
          <t>0</t>
        </is>
      </c>
      <c r="K277" t="inlineStr">
        <is>
          <t>O'Reilley, Mary Rose.</t>
        </is>
      </c>
      <c r="L277" t="inlineStr">
        <is>
          <t>Portsmouth, NH : Boynton/Cook Publishers : Heinemann, c1998.</t>
        </is>
      </c>
      <c r="M277" t="inlineStr">
        <is>
          <t>1998</t>
        </is>
      </c>
      <c r="O277" t="inlineStr">
        <is>
          <t>eng</t>
        </is>
      </c>
      <c r="P277" t="inlineStr">
        <is>
          <t>nhu</t>
        </is>
      </c>
      <c r="R277" t="inlineStr">
        <is>
          <t xml:space="preserve">LB </t>
        </is>
      </c>
      <c r="S277" t="n">
        <v>2</v>
      </c>
      <c r="T277" t="n">
        <v>2</v>
      </c>
      <c r="U277" t="inlineStr">
        <is>
          <t>2007-05-02</t>
        </is>
      </c>
      <c r="V277" t="inlineStr">
        <is>
          <t>2007-05-02</t>
        </is>
      </c>
      <c r="W277" t="inlineStr">
        <is>
          <t>2007-05-02</t>
        </is>
      </c>
      <c r="X277" t="inlineStr">
        <is>
          <t>2007-05-02</t>
        </is>
      </c>
      <c r="Y277" t="n">
        <v>368</v>
      </c>
      <c r="Z277" t="n">
        <v>329</v>
      </c>
      <c r="AA277" t="n">
        <v>331</v>
      </c>
      <c r="AB277" t="n">
        <v>3</v>
      </c>
      <c r="AC277" t="n">
        <v>3</v>
      </c>
      <c r="AD277" t="n">
        <v>21</v>
      </c>
      <c r="AE277" t="n">
        <v>21</v>
      </c>
      <c r="AF277" t="n">
        <v>8</v>
      </c>
      <c r="AG277" t="n">
        <v>8</v>
      </c>
      <c r="AH277" t="n">
        <v>5</v>
      </c>
      <c r="AI277" t="n">
        <v>5</v>
      </c>
      <c r="AJ277" t="n">
        <v>11</v>
      </c>
      <c r="AK277" t="n">
        <v>11</v>
      </c>
      <c r="AL277" t="n">
        <v>2</v>
      </c>
      <c r="AM277" t="n">
        <v>2</v>
      </c>
      <c r="AN277" t="n">
        <v>0</v>
      </c>
      <c r="AO277" t="n">
        <v>0</v>
      </c>
      <c r="AP277" t="inlineStr">
        <is>
          <t>No</t>
        </is>
      </c>
      <c r="AQ277" t="inlineStr">
        <is>
          <t>Yes</t>
        </is>
      </c>
      <c r="AR277">
        <f>HYPERLINK("http://catalog.hathitrust.org/Record/004005377","HathiTrust Record")</f>
        <v/>
      </c>
      <c r="AS277">
        <f>HYPERLINK("https://creighton-primo.hosted.exlibrisgroup.com/primo-explore/search?tab=default_tab&amp;search_scope=EVERYTHING&amp;vid=01CRU&amp;lang=en_US&amp;offset=0&amp;query=any,contains,991005065039702656","Catalog Record")</f>
        <v/>
      </c>
      <c r="AT277">
        <f>HYPERLINK("http://www.worldcat.org/oclc/37864317","WorldCat Record")</f>
        <v/>
      </c>
      <c r="AU277" t="inlineStr">
        <is>
          <t>373729937:eng</t>
        </is>
      </c>
      <c r="AV277" t="inlineStr">
        <is>
          <t>37864317</t>
        </is>
      </c>
      <c r="AW277" t="inlineStr">
        <is>
          <t>991005065039702656</t>
        </is>
      </c>
      <c r="AX277" t="inlineStr">
        <is>
          <t>991005065039702656</t>
        </is>
      </c>
      <c r="AY277" t="inlineStr">
        <is>
          <t>2265402320002656</t>
        </is>
      </c>
      <c r="AZ277" t="inlineStr">
        <is>
          <t>BOOK</t>
        </is>
      </c>
      <c r="BB277" t="inlineStr">
        <is>
          <t>9780867094275</t>
        </is>
      </c>
      <c r="BC277" t="inlineStr">
        <is>
          <t>32285005310205</t>
        </is>
      </c>
      <c r="BD277" t="inlineStr">
        <is>
          <t>893248289</t>
        </is>
      </c>
    </row>
    <row r="278">
      <c r="A278" t="inlineStr">
        <is>
          <t>No</t>
        </is>
      </c>
      <c r="B278" t="inlineStr">
        <is>
          <t>LB1025.3 .P35 2007</t>
        </is>
      </c>
      <c r="C278" t="inlineStr">
        <is>
          <t>0                      LB 1025300P  35          2007</t>
        </is>
      </c>
      <c r="D278" t="inlineStr">
        <is>
          <t>Seeking the heart of teaching / Adrian Palmer, MaryAnn Christison.</t>
        </is>
      </c>
      <c r="F278" t="inlineStr">
        <is>
          <t>No</t>
        </is>
      </c>
      <c r="G278" t="inlineStr">
        <is>
          <t>1</t>
        </is>
      </c>
      <c r="H278" t="inlineStr">
        <is>
          <t>No</t>
        </is>
      </c>
      <c r="I278" t="inlineStr">
        <is>
          <t>No</t>
        </is>
      </c>
      <c r="J278" t="inlineStr">
        <is>
          <t>0</t>
        </is>
      </c>
      <c r="K278" t="inlineStr">
        <is>
          <t>Palmer, Adrian S., 1940-</t>
        </is>
      </c>
      <c r="L278" t="inlineStr">
        <is>
          <t>Ann Arbor : University of Michigan Press, c2007.</t>
        </is>
      </c>
      <c r="M278" t="inlineStr">
        <is>
          <t>2007</t>
        </is>
      </c>
      <c r="O278" t="inlineStr">
        <is>
          <t>eng</t>
        </is>
      </c>
      <c r="P278" t="inlineStr">
        <is>
          <t>miu</t>
        </is>
      </c>
      <c r="R278" t="inlineStr">
        <is>
          <t xml:space="preserve">LB </t>
        </is>
      </c>
      <c r="S278" t="n">
        <v>6</v>
      </c>
      <c r="T278" t="n">
        <v>6</v>
      </c>
      <c r="U278" t="inlineStr">
        <is>
          <t>2008-04-16</t>
        </is>
      </c>
      <c r="V278" t="inlineStr">
        <is>
          <t>2008-04-16</t>
        </is>
      </c>
      <c r="W278" t="inlineStr">
        <is>
          <t>2007-10-25</t>
        </is>
      </c>
      <c r="X278" t="inlineStr">
        <is>
          <t>2007-10-25</t>
        </is>
      </c>
      <c r="Y278" t="n">
        <v>204</v>
      </c>
      <c r="Z278" t="n">
        <v>177</v>
      </c>
      <c r="AA278" t="n">
        <v>177</v>
      </c>
      <c r="AB278" t="n">
        <v>1</v>
      </c>
      <c r="AC278" t="n">
        <v>1</v>
      </c>
      <c r="AD278" t="n">
        <v>8</v>
      </c>
      <c r="AE278" t="n">
        <v>8</v>
      </c>
      <c r="AF278" t="n">
        <v>4</v>
      </c>
      <c r="AG278" t="n">
        <v>4</v>
      </c>
      <c r="AH278" t="n">
        <v>2</v>
      </c>
      <c r="AI278" t="n">
        <v>2</v>
      </c>
      <c r="AJ278" t="n">
        <v>5</v>
      </c>
      <c r="AK278" t="n">
        <v>5</v>
      </c>
      <c r="AL278" t="n">
        <v>0</v>
      </c>
      <c r="AM278" t="n">
        <v>0</v>
      </c>
      <c r="AN278" t="n">
        <v>0</v>
      </c>
      <c r="AO278" t="n">
        <v>0</v>
      </c>
      <c r="AP278" t="inlineStr">
        <is>
          <t>No</t>
        </is>
      </c>
      <c r="AQ278" t="inlineStr">
        <is>
          <t>No</t>
        </is>
      </c>
      <c r="AS278">
        <f>HYPERLINK("https://creighton-primo.hosted.exlibrisgroup.com/primo-explore/search?tab=default_tab&amp;search_scope=EVERYTHING&amp;vid=01CRU&amp;lang=en_US&amp;offset=0&amp;query=any,contains,991005121889702656","Catalog Record")</f>
        <v/>
      </c>
      <c r="AT278">
        <f>HYPERLINK("http://www.worldcat.org/oclc/154666458","WorldCat Record")</f>
        <v/>
      </c>
      <c r="AU278" t="inlineStr">
        <is>
          <t>104623370:eng</t>
        </is>
      </c>
      <c r="AV278" t="inlineStr">
        <is>
          <t>154666458</t>
        </is>
      </c>
      <c r="AW278" t="inlineStr">
        <is>
          <t>991005121889702656</t>
        </is>
      </c>
      <c r="AX278" t="inlineStr">
        <is>
          <t>991005121889702656</t>
        </is>
      </c>
      <c r="AY278" t="inlineStr">
        <is>
          <t>2258282400002656</t>
        </is>
      </c>
      <c r="AZ278" t="inlineStr">
        <is>
          <t>BOOK</t>
        </is>
      </c>
      <c r="BB278" t="inlineStr">
        <is>
          <t>9780472032266</t>
        </is>
      </c>
      <c r="BC278" t="inlineStr">
        <is>
          <t>32285005361075</t>
        </is>
      </c>
      <c r="BD278" t="inlineStr">
        <is>
          <t>893437193</t>
        </is>
      </c>
    </row>
    <row r="279">
      <c r="A279" t="inlineStr">
        <is>
          <t>No</t>
        </is>
      </c>
      <c r="B279" t="inlineStr">
        <is>
          <t>LB1025.3 .P36 1995</t>
        </is>
      </c>
      <c r="C279" t="inlineStr">
        <is>
          <t>0                      LB 1025300P  36          1995</t>
        </is>
      </c>
      <c r="D279" t="inlineStr">
        <is>
          <t>Why do I have to learn this? : teaching the way children learn best / Dale Parnell.</t>
        </is>
      </c>
      <c r="F279" t="inlineStr">
        <is>
          <t>No</t>
        </is>
      </c>
      <c r="G279" t="inlineStr">
        <is>
          <t>1</t>
        </is>
      </c>
      <c r="H279" t="inlineStr">
        <is>
          <t>No</t>
        </is>
      </c>
      <c r="I279" t="inlineStr">
        <is>
          <t>No</t>
        </is>
      </c>
      <c r="J279" t="inlineStr">
        <is>
          <t>0</t>
        </is>
      </c>
      <c r="K279" t="inlineStr">
        <is>
          <t>Parnell, Dale, 1928-</t>
        </is>
      </c>
      <c r="L279" t="inlineStr">
        <is>
          <t>Waco, TX : CORD Communications, c1995.</t>
        </is>
      </c>
      <c r="M279" t="inlineStr">
        <is>
          <t>1995</t>
        </is>
      </c>
      <c r="O279" t="inlineStr">
        <is>
          <t>eng</t>
        </is>
      </c>
      <c r="P279" t="inlineStr">
        <is>
          <t>txu</t>
        </is>
      </c>
      <c r="R279" t="inlineStr">
        <is>
          <t xml:space="preserve">LB </t>
        </is>
      </c>
      <c r="S279" t="n">
        <v>4</v>
      </c>
      <c r="T279" t="n">
        <v>4</v>
      </c>
      <c r="U279" t="inlineStr">
        <is>
          <t>2010-11-30</t>
        </is>
      </c>
      <c r="V279" t="inlineStr">
        <is>
          <t>2010-11-30</t>
        </is>
      </c>
      <c r="W279" t="inlineStr">
        <is>
          <t>1997-05-04</t>
        </is>
      </c>
      <c r="X279" t="inlineStr">
        <is>
          <t>1997-05-04</t>
        </is>
      </c>
      <c r="Y279" t="n">
        <v>132</v>
      </c>
      <c r="Z279" t="n">
        <v>127</v>
      </c>
      <c r="AA279" t="n">
        <v>136</v>
      </c>
      <c r="AB279" t="n">
        <v>2</v>
      </c>
      <c r="AC279" t="n">
        <v>2</v>
      </c>
      <c r="AD279" t="n">
        <v>4</v>
      </c>
      <c r="AE279" t="n">
        <v>4</v>
      </c>
      <c r="AF279" t="n">
        <v>2</v>
      </c>
      <c r="AG279" t="n">
        <v>2</v>
      </c>
      <c r="AH279" t="n">
        <v>0</v>
      </c>
      <c r="AI279" t="n">
        <v>0</v>
      </c>
      <c r="AJ279" t="n">
        <v>1</v>
      </c>
      <c r="AK279" t="n">
        <v>1</v>
      </c>
      <c r="AL279" t="n">
        <v>1</v>
      </c>
      <c r="AM279" t="n">
        <v>1</v>
      </c>
      <c r="AN279" t="n">
        <v>0</v>
      </c>
      <c r="AO279" t="n">
        <v>0</v>
      </c>
      <c r="AP279" t="inlineStr">
        <is>
          <t>No</t>
        </is>
      </c>
      <c r="AQ279" t="inlineStr">
        <is>
          <t>Yes</t>
        </is>
      </c>
      <c r="AR279">
        <f>HYPERLINK("http://catalog.hathitrust.org/Record/009932168","HathiTrust Record")</f>
        <v/>
      </c>
      <c r="AS279">
        <f>HYPERLINK("https://creighton-primo.hosted.exlibrisgroup.com/primo-explore/search?tab=default_tab&amp;search_scope=EVERYTHING&amp;vid=01CRU&amp;lang=en_US&amp;offset=0&amp;query=any,contains,991002599679702656","Catalog Record")</f>
        <v/>
      </c>
      <c r="AT279">
        <f>HYPERLINK("http://www.worldcat.org/oclc/34072380","WorldCat Record")</f>
        <v/>
      </c>
      <c r="AU279" t="inlineStr">
        <is>
          <t>919275741:eng</t>
        </is>
      </c>
      <c r="AV279" t="inlineStr">
        <is>
          <t>34072380</t>
        </is>
      </c>
      <c r="AW279" t="inlineStr">
        <is>
          <t>991002599679702656</t>
        </is>
      </c>
      <c r="AX279" t="inlineStr">
        <is>
          <t>991002599679702656</t>
        </is>
      </c>
      <c r="AY279" t="inlineStr">
        <is>
          <t>2262718010002656</t>
        </is>
      </c>
      <c r="AZ279" t="inlineStr">
        <is>
          <t>BOOK</t>
        </is>
      </c>
      <c r="BB279" t="inlineStr">
        <is>
          <t>9781555025199</t>
        </is>
      </c>
      <c r="BC279" t="inlineStr">
        <is>
          <t>32285002543568</t>
        </is>
      </c>
      <c r="BD279" t="inlineStr">
        <is>
          <t>893335490</t>
        </is>
      </c>
    </row>
    <row r="280">
      <c r="A280" t="inlineStr">
        <is>
          <t>No</t>
        </is>
      </c>
      <c r="B280" t="inlineStr">
        <is>
          <t>LB1025.3 .P87 1991</t>
        </is>
      </c>
      <c r="C280" t="inlineStr">
        <is>
          <t>0                      LB 1025300P  87          1991</t>
        </is>
      </c>
      <c r="D280" t="inlineStr">
        <is>
          <t>Invitational teaching, learning, and living / William Watson Purkey, Paula Helen Stanley.</t>
        </is>
      </c>
      <c r="F280" t="inlineStr">
        <is>
          <t>No</t>
        </is>
      </c>
      <c r="G280" t="inlineStr">
        <is>
          <t>1</t>
        </is>
      </c>
      <c r="H280" t="inlineStr">
        <is>
          <t>No</t>
        </is>
      </c>
      <c r="I280" t="inlineStr">
        <is>
          <t>No</t>
        </is>
      </c>
      <c r="J280" t="inlineStr">
        <is>
          <t>0</t>
        </is>
      </c>
      <c r="K280" t="inlineStr">
        <is>
          <t>Purkey, William Watson.</t>
        </is>
      </c>
      <c r="L280" t="inlineStr">
        <is>
          <t>Washington, D.C. : NEA Professional Library, National Education Association, c1991.</t>
        </is>
      </c>
      <c r="M280" t="inlineStr">
        <is>
          <t>1991</t>
        </is>
      </c>
      <c r="O280" t="inlineStr">
        <is>
          <t>eng</t>
        </is>
      </c>
      <c r="P280" t="inlineStr">
        <is>
          <t>dcu</t>
        </is>
      </c>
      <c r="Q280" t="inlineStr">
        <is>
          <t>Analysis and action series</t>
        </is>
      </c>
      <c r="R280" t="inlineStr">
        <is>
          <t xml:space="preserve">LB </t>
        </is>
      </c>
      <c r="S280" t="n">
        <v>3</v>
      </c>
      <c r="T280" t="n">
        <v>3</v>
      </c>
      <c r="U280" t="inlineStr">
        <is>
          <t>1996-08-20</t>
        </is>
      </c>
      <c r="V280" t="inlineStr">
        <is>
          <t>1996-08-20</t>
        </is>
      </c>
      <c r="W280" t="inlineStr">
        <is>
          <t>1991-12-30</t>
        </is>
      </c>
      <c r="X280" t="inlineStr">
        <is>
          <t>1991-12-30</t>
        </is>
      </c>
      <c r="Y280" t="n">
        <v>412</v>
      </c>
      <c r="Z280" t="n">
        <v>390</v>
      </c>
      <c r="AA280" t="n">
        <v>390</v>
      </c>
      <c r="AB280" t="n">
        <v>10</v>
      </c>
      <c r="AC280" t="n">
        <v>10</v>
      </c>
      <c r="AD280" t="n">
        <v>23</v>
      </c>
      <c r="AE280" t="n">
        <v>23</v>
      </c>
      <c r="AF280" t="n">
        <v>8</v>
      </c>
      <c r="AG280" t="n">
        <v>8</v>
      </c>
      <c r="AH280" t="n">
        <v>3</v>
      </c>
      <c r="AI280" t="n">
        <v>3</v>
      </c>
      <c r="AJ280" t="n">
        <v>8</v>
      </c>
      <c r="AK280" t="n">
        <v>8</v>
      </c>
      <c r="AL280" t="n">
        <v>8</v>
      </c>
      <c r="AM280" t="n">
        <v>8</v>
      </c>
      <c r="AN280" t="n">
        <v>0</v>
      </c>
      <c r="AO280" t="n">
        <v>0</v>
      </c>
      <c r="AP280" t="inlineStr">
        <is>
          <t>No</t>
        </is>
      </c>
      <c r="AQ280" t="inlineStr">
        <is>
          <t>No</t>
        </is>
      </c>
      <c r="AS280">
        <f>HYPERLINK("https://creighton-primo.hosted.exlibrisgroup.com/primo-explore/search?tab=default_tab&amp;search_scope=EVERYTHING&amp;vid=01CRU&amp;lang=en_US&amp;offset=0&amp;query=any,contains,991001921649702656","Catalog Record")</f>
        <v/>
      </c>
      <c r="AT280">
        <f>HYPERLINK("http://www.worldcat.org/oclc/24247452","WorldCat Record")</f>
        <v/>
      </c>
      <c r="AU280" t="inlineStr">
        <is>
          <t>1076001:eng</t>
        </is>
      </c>
      <c r="AV280" t="inlineStr">
        <is>
          <t>24247452</t>
        </is>
      </c>
      <c r="AW280" t="inlineStr">
        <is>
          <t>991001921649702656</t>
        </is>
      </c>
      <c r="AX280" t="inlineStr">
        <is>
          <t>991001921649702656</t>
        </is>
      </c>
      <c r="AY280" t="inlineStr">
        <is>
          <t>2262089210002656</t>
        </is>
      </c>
      <c r="AZ280" t="inlineStr">
        <is>
          <t>BOOK</t>
        </is>
      </c>
      <c r="BB280" t="inlineStr">
        <is>
          <t>9780810630499</t>
        </is>
      </c>
      <c r="BC280" t="inlineStr">
        <is>
          <t>32285000859792</t>
        </is>
      </c>
      <c r="BD280" t="inlineStr">
        <is>
          <t>893426987</t>
        </is>
      </c>
    </row>
    <row r="281">
      <c r="A281" t="inlineStr">
        <is>
          <t>No</t>
        </is>
      </c>
      <c r="B281" t="inlineStr">
        <is>
          <t>LB1025.3 .R677 2007</t>
        </is>
      </c>
      <c r="C281" t="inlineStr">
        <is>
          <t>0                      LB 1025300R  677         2007</t>
        </is>
      </c>
      <c r="D281" t="inlineStr">
        <is>
          <t>From my classroom to yours : reflections on teaching / James Rourke.</t>
        </is>
      </c>
      <c r="F281" t="inlineStr">
        <is>
          <t>No</t>
        </is>
      </c>
      <c r="G281" t="inlineStr">
        <is>
          <t>1</t>
        </is>
      </c>
      <c r="H281" t="inlineStr">
        <is>
          <t>No</t>
        </is>
      </c>
      <c r="I281" t="inlineStr">
        <is>
          <t>No</t>
        </is>
      </c>
      <c r="J281" t="inlineStr">
        <is>
          <t>0</t>
        </is>
      </c>
      <c r="K281" t="inlineStr">
        <is>
          <t>Rourke, James, 1971-</t>
        </is>
      </c>
      <c r="L281" t="inlineStr">
        <is>
          <t>Lanham, Md. : Rowman &amp; Littlefield Education, 2007.</t>
        </is>
      </c>
      <c r="M281" t="inlineStr">
        <is>
          <t>2007</t>
        </is>
      </c>
      <c r="O281" t="inlineStr">
        <is>
          <t>eng</t>
        </is>
      </c>
      <c r="P281" t="inlineStr">
        <is>
          <t>mdu</t>
        </is>
      </c>
      <c r="R281" t="inlineStr">
        <is>
          <t xml:space="preserve">LB </t>
        </is>
      </c>
      <c r="S281" t="n">
        <v>2</v>
      </c>
      <c r="T281" t="n">
        <v>2</v>
      </c>
      <c r="U281" t="inlineStr">
        <is>
          <t>2008-01-29</t>
        </is>
      </c>
      <c r="V281" t="inlineStr">
        <is>
          <t>2008-01-29</t>
        </is>
      </c>
      <c r="W281" t="inlineStr">
        <is>
          <t>2007-10-25</t>
        </is>
      </c>
      <c r="X281" t="inlineStr">
        <is>
          <t>2007-10-25</t>
        </is>
      </c>
      <c r="Y281" t="n">
        <v>135</v>
      </c>
      <c r="Z281" t="n">
        <v>112</v>
      </c>
      <c r="AA281" t="n">
        <v>113</v>
      </c>
      <c r="AB281" t="n">
        <v>2</v>
      </c>
      <c r="AC281" t="n">
        <v>2</v>
      </c>
      <c r="AD281" t="n">
        <v>7</v>
      </c>
      <c r="AE281" t="n">
        <v>7</v>
      </c>
      <c r="AF281" t="n">
        <v>1</v>
      </c>
      <c r="AG281" t="n">
        <v>1</v>
      </c>
      <c r="AH281" t="n">
        <v>1</v>
      </c>
      <c r="AI281" t="n">
        <v>1</v>
      </c>
      <c r="AJ281" t="n">
        <v>6</v>
      </c>
      <c r="AK281" t="n">
        <v>6</v>
      </c>
      <c r="AL281" t="n">
        <v>1</v>
      </c>
      <c r="AM281" t="n">
        <v>1</v>
      </c>
      <c r="AN281" t="n">
        <v>0</v>
      </c>
      <c r="AO281" t="n">
        <v>0</v>
      </c>
      <c r="AP281" t="inlineStr">
        <is>
          <t>No</t>
        </is>
      </c>
      <c r="AQ281" t="inlineStr">
        <is>
          <t>Yes</t>
        </is>
      </c>
      <c r="AR281">
        <f>HYPERLINK("http://catalog.hathitrust.org/Record/005564131","HathiTrust Record")</f>
        <v/>
      </c>
      <c r="AS281">
        <f>HYPERLINK("https://creighton-primo.hosted.exlibrisgroup.com/primo-explore/search?tab=default_tab&amp;search_scope=EVERYTHING&amp;vid=01CRU&amp;lang=en_US&amp;offset=0&amp;query=any,contains,991005118929702656","Catalog Record")</f>
        <v/>
      </c>
      <c r="AT281">
        <f>HYPERLINK("http://www.worldcat.org/oclc/77522658","WorldCat Record")</f>
        <v/>
      </c>
      <c r="AU281" t="inlineStr">
        <is>
          <t>63100284:eng</t>
        </is>
      </c>
      <c r="AV281" t="inlineStr">
        <is>
          <t>77522658</t>
        </is>
      </c>
      <c r="AW281" t="inlineStr">
        <is>
          <t>991005118929702656</t>
        </is>
      </c>
      <c r="AX281" t="inlineStr">
        <is>
          <t>991005118929702656</t>
        </is>
      </c>
      <c r="AY281" t="inlineStr">
        <is>
          <t>2269775070002656</t>
        </is>
      </c>
      <c r="AZ281" t="inlineStr">
        <is>
          <t>BOOK</t>
        </is>
      </c>
      <c r="BB281" t="inlineStr">
        <is>
          <t>9781578866038</t>
        </is>
      </c>
      <c r="BC281" t="inlineStr">
        <is>
          <t>32285005361042</t>
        </is>
      </c>
      <c r="BD281" t="inlineStr">
        <is>
          <t>893810868</t>
        </is>
      </c>
    </row>
    <row r="282">
      <c r="A282" t="inlineStr">
        <is>
          <t>No</t>
        </is>
      </c>
      <c r="B282" t="inlineStr">
        <is>
          <t>LB1025.3 .S85 1999</t>
        </is>
      </c>
      <c r="C282" t="inlineStr">
        <is>
          <t>0                      LB 1025300S  85          1999</t>
        </is>
      </c>
      <c r="D282" t="inlineStr">
        <is>
          <t>The inspiring teacher : new beginnings for the 21st century / Robert A. Sullo.</t>
        </is>
      </c>
      <c r="F282" t="inlineStr">
        <is>
          <t>No</t>
        </is>
      </c>
      <c r="G282" t="inlineStr">
        <is>
          <t>1</t>
        </is>
      </c>
      <c r="H282" t="inlineStr">
        <is>
          <t>No</t>
        </is>
      </c>
      <c r="I282" t="inlineStr">
        <is>
          <t>No</t>
        </is>
      </c>
      <c r="J282" t="inlineStr">
        <is>
          <t>0</t>
        </is>
      </c>
      <c r="K282" t="inlineStr">
        <is>
          <t>Sullo, Robert A., 1951-</t>
        </is>
      </c>
      <c r="L282" t="inlineStr">
        <is>
          <t>Washington, D.C. : National Education Association of the United States, c1999.</t>
        </is>
      </c>
      <c r="M282" t="inlineStr">
        <is>
          <t>1999</t>
        </is>
      </c>
      <c r="O282" t="inlineStr">
        <is>
          <t>eng</t>
        </is>
      </c>
      <c r="P282" t="inlineStr">
        <is>
          <t>dcu</t>
        </is>
      </c>
      <c r="Q282" t="inlineStr">
        <is>
          <t>The inspired classroom series</t>
        </is>
      </c>
      <c r="R282" t="inlineStr">
        <is>
          <t xml:space="preserve">LB </t>
        </is>
      </c>
      <c r="S282" t="n">
        <v>17</v>
      </c>
      <c r="T282" t="n">
        <v>17</v>
      </c>
      <c r="U282" t="inlineStr">
        <is>
          <t>2009-02-06</t>
        </is>
      </c>
      <c r="V282" t="inlineStr">
        <is>
          <t>2009-02-06</t>
        </is>
      </c>
      <c r="W282" t="inlineStr">
        <is>
          <t>1999-08-10</t>
        </is>
      </c>
      <c r="X282" t="inlineStr">
        <is>
          <t>1999-08-10</t>
        </is>
      </c>
      <c r="Y282" t="n">
        <v>251</v>
      </c>
      <c r="Z282" t="n">
        <v>244</v>
      </c>
      <c r="AA282" t="n">
        <v>253</v>
      </c>
      <c r="AB282" t="n">
        <v>4</v>
      </c>
      <c r="AC282" t="n">
        <v>4</v>
      </c>
      <c r="AD282" t="n">
        <v>14</v>
      </c>
      <c r="AE282" t="n">
        <v>14</v>
      </c>
      <c r="AF282" t="n">
        <v>7</v>
      </c>
      <c r="AG282" t="n">
        <v>7</v>
      </c>
      <c r="AH282" t="n">
        <v>1</v>
      </c>
      <c r="AI282" t="n">
        <v>1</v>
      </c>
      <c r="AJ282" t="n">
        <v>7</v>
      </c>
      <c r="AK282" t="n">
        <v>7</v>
      </c>
      <c r="AL282" t="n">
        <v>3</v>
      </c>
      <c r="AM282" t="n">
        <v>3</v>
      </c>
      <c r="AN282" t="n">
        <v>0</v>
      </c>
      <c r="AO282" t="n">
        <v>0</v>
      </c>
      <c r="AP282" t="inlineStr">
        <is>
          <t>No</t>
        </is>
      </c>
      <c r="AQ282" t="inlineStr">
        <is>
          <t>No</t>
        </is>
      </c>
      <c r="AS282">
        <f>HYPERLINK("https://creighton-primo.hosted.exlibrisgroup.com/primo-explore/search?tab=default_tab&amp;search_scope=EVERYTHING&amp;vid=01CRU&amp;lang=en_US&amp;offset=0&amp;query=any,contains,991003024699702656","Catalog Record")</f>
        <v/>
      </c>
      <c r="AT282">
        <f>HYPERLINK("http://www.worldcat.org/oclc/41299311","WorldCat Record")</f>
        <v/>
      </c>
      <c r="AU282" t="inlineStr">
        <is>
          <t>1075981:eng</t>
        </is>
      </c>
      <c r="AV282" t="inlineStr">
        <is>
          <t>41299311</t>
        </is>
      </c>
      <c r="AW282" t="inlineStr">
        <is>
          <t>991003024699702656</t>
        </is>
      </c>
      <c r="AX282" t="inlineStr">
        <is>
          <t>991003024699702656</t>
        </is>
      </c>
      <c r="AY282" t="inlineStr">
        <is>
          <t>2271131770002656</t>
        </is>
      </c>
      <c r="AZ282" t="inlineStr">
        <is>
          <t>BOOK</t>
        </is>
      </c>
      <c r="BB282" t="inlineStr">
        <is>
          <t>9780810629554</t>
        </is>
      </c>
      <c r="BC282" t="inlineStr">
        <is>
          <t>32285003581286</t>
        </is>
      </c>
      <c r="BD282" t="inlineStr">
        <is>
          <t>893616906</t>
        </is>
      </c>
    </row>
    <row r="283">
      <c r="A283" t="inlineStr">
        <is>
          <t>No</t>
        </is>
      </c>
      <c r="B283" t="inlineStr">
        <is>
          <t>LB1025.3 .T56 1999</t>
        </is>
      </c>
      <c r="C283" t="inlineStr">
        <is>
          <t>0                      LB 1025300T  56          1999</t>
        </is>
      </c>
      <c r="D283" t="inlineStr">
        <is>
          <t>Metateaching and the instructional map / by William M. Timpson.</t>
        </is>
      </c>
      <c r="F283" t="inlineStr">
        <is>
          <t>No</t>
        </is>
      </c>
      <c r="G283" t="inlineStr">
        <is>
          <t>1</t>
        </is>
      </c>
      <c r="H283" t="inlineStr">
        <is>
          <t>No</t>
        </is>
      </c>
      <c r="I283" t="inlineStr">
        <is>
          <t>No</t>
        </is>
      </c>
      <c r="J283" t="inlineStr">
        <is>
          <t>0</t>
        </is>
      </c>
      <c r="K283" t="inlineStr">
        <is>
          <t>Timpson, William M.</t>
        </is>
      </c>
      <c r="L283" t="inlineStr">
        <is>
          <t>Madison, Wis. : Atwood Pub., 1999.</t>
        </is>
      </c>
      <c r="M283" t="inlineStr">
        <is>
          <t>1999</t>
        </is>
      </c>
      <c r="O283" t="inlineStr">
        <is>
          <t>eng</t>
        </is>
      </c>
      <c r="P283" t="inlineStr">
        <is>
          <t>wiu</t>
        </is>
      </c>
      <c r="Q283" t="inlineStr">
        <is>
          <t>Teaching techniques/strategies series ; v. 1</t>
        </is>
      </c>
      <c r="R283" t="inlineStr">
        <is>
          <t xml:space="preserve">LB </t>
        </is>
      </c>
      <c r="S283" t="n">
        <v>1</v>
      </c>
      <c r="T283" t="n">
        <v>1</v>
      </c>
      <c r="U283" t="inlineStr">
        <is>
          <t>2003-11-25</t>
        </is>
      </c>
      <c r="V283" t="inlineStr">
        <is>
          <t>2003-11-25</t>
        </is>
      </c>
      <c r="W283" t="inlineStr">
        <is>
          <t>2003-11-25</t>
        </is>
      </c>
      <c r="X283" t="inlineStr">
        <is>
          <t>2003-11-25</t>
        </is>
      </c>
      <c r="Y283" t="n">
        <v>175</v>
      </c>
      <c r="Z283" t="n">
        <v>147</v>
      </c>
      <c r="AA283" t="n">
        <v>152</v>
      </c>
      <c r="AB283" t="n">
        <v>2</v>
      </c>
      <c r="AC283" t="n">
        <v>2</v>
      </c>
      <c r="AD283" t="n">
        <v>6</v>
      </c>
      <c r="AE283" t="n">
        <v>6</v>
      </c>
      <c r="AF283" t="n">
        <v>3</v>
      </c>
      <c r="AG283" t="n">
        <v>3</v>
      </c>
      <c r="AH283" t="n">
        <v>3</v>
      </c>
      <c r="AI283" t="n">
        <v>3</v>
      </c>
      <c r="AJ283" t="n">
        <v>1</v>
      </c>
      <c r="AK283" t="n">
        <v>1</v>
      </c>
      <c r="AL283" t="n">
        <v>1</v>
      </c>
      <c r="AM283" t="n">
        <v>1</v>
      </c>
      <c r="AN283" t="n">
        <v>0</v>
      </c>
      <c r="AO283" t="n">
        <v>0</v>
      </c>
      <c r="AP283" t="inlineStr">
        <is>
          <t>No</t>
        </is>
      </c>
      <c r="AQ283" t="inlineStr">
        <is>
          <t>No</t>
        </is>
      </c>
      <c r="AS283">
        <f>HYPERLINK("https://creighton-primo.hosted.exlibrisgroup.com/primo-explore/search?tab=default_tab&amp;search_scope=EVERYTHING&amp;vid=01CRU&amp;lang=en_US&amp;offset=0&amp;query=any,contains,991004192319702656","Catalog Record")</f>
        <v/>
      </c>
      <c r="AT283">
        <f>HYPERLINK("http://www.worldcat.org/oclc/41564926","WorldCat Record")</f>
        <v/>
      </c>
      <c r="AU283" t="inlineStr">
        <is>
          <t>1088313:eng</t>
        </is>
      </c>
      <c r="AV283" t="inlineStr">
        <is>
          <t>41564926</t>
        </is>
      </c>
      <c r="AW283" t="inlineStr">
        <is>
          <t>991004192319702656</t>
        </is>
      </c>
      <c r="AX283" t="inlineStr">
        <is>
          <t>991004192319702656</t>
        </is>
      </c>
      <c r="AY283" t="inlineStr">
        <is>
          <t>2267137710002656</t>
        </is>
      </c>
      <c r="AZ283" t="inlineStr">
        <is>
          <t>BOOK</t>
        </is>
      </c>
      <c r="BB283" t="inlineStr">
        <is>
          <t>9781891859298</t>
        </is>
      </c>
      <c r="BC283" t="inlineStr">
        <is>
          <t>32285004841945</t>
        </is>
      </c>
      <c r="BD283" t="inlineStr">
        <is>
          <t>893532102</t>
        </is>
      </c>
    </row>
    <row r="284">
      <c r="A284" t="inlineStr">
        <is>
          <t>No</t>
        </is>
      </c>
      <c r="B284" t="inlineStr">
        <is>
          <t>LB1025.3 .W52 2007</t>
        </is>
      </c>
      <c r="C284" t="inlineStr">
        <is>
          <t>0                      LB 1025300W  52          2007</t>
        </is>
      </c>
      <c r="D284" t="inlineStr">
        <is>
          <t>Teacher leadership : improving teaching and learning from inside the classroom / Elaine L. Wilmore ; foreword by Rosemary Papalewis.</t>
        </is>
      </c>
      <c r="F284" t="inlineStr">
        <is>
          <t>No</t>
        </is>
      </c>
      <c r="G284" t="inlineStr">
        <is>
          <t>1</t>
        </is>
      </c>
      <c r="H284" t="inlineStr">
        <is>
          <t>No</t>
        </is>
      </c>
      <c r="I284" t="inlineStr">
        <is>
          <t>No</t>
        </is>
      </c>
      <c r="J284" t="inlineStr">
        <is>
          <t>0</t>
        </is>
      </c>
      <c r="K284" t="inlineStr">
        <is>
          <t>Wilmore, Elaine L.</t>
        </is>
      </c>
      <c r="L284" t="inlineStr">
        <is>
          <t>Thousand Oaks, CA : Corwin Press, c2007.</t>
        </is>
      </c>
      <c r="M284" t="inlineStr">
        <is>
          <t>2007</t>
        </is>
      </c>
      <c r="O284" t="inlineStr">
        <is>
          <t>eng</t>
        </is>
      </c>
      <c r="P284" t="inlineStr">
        <is>
          <t>cau</t>
        </is>
      </c>
      <c r="R284" t="inlineStr">
        <is>
          <t xml:space="preserve">LB </t>
        </is>
      </c>
      <c r="S284" t="n">
        <v>2</v>
      </c>
      <c r="T284" t="n">
        <v>2</v>
      </c>
      <c r="U284" t="inlineStr">
        <is>
          <t>2008-02-03</t>
        </is>
      </c>
      <c r="V284" t="inlineStr">
        <is>
          <t>2008-02-03</t>
        </is>
      </c>
      <c r="W284" t="inlineStr">
        <is>
          <t>2007-09-11</t>
        </is>
      </c>
      <c r="X284" t="inlineStr">
        <is>
          <t>2007-09-11</t>
        </is>
      </c>
      <c r="Y284" t="n">
        <v>221</v>
      </c>
      <c r="Z284" t="n">
        <v>169</v>
      </c>
      <c r="AA284" t="n">
        <v>186</v>
      </c>
      <c r="AB284" t="n">
        <v>5</v>
      </c>
      <c r="AC284" t="n">
        <v>6</v>
      </c>
      <c r="AD284" t="n">
        <v>13</v>
      </c>
      <c r="AE284" t="n">
        <v>15</v>
      </c>
      <c r="AF284" t="n">
        <v>3</v>
      </c>
      <c r="AG284" t="n">
        <v>4</v>
      </c>
      <c r="AH284" t="n">
        <v>1</v>
      </c>
      <c r="AI284" t="n">
        <v>2</v>
      </c>
      <c r="AJ284" t="n">
        <v>8</v>
      </c>
      <c r="AK284" t="n">
        <v>8</v>
      </c>
      <c r="AL284" t="n">
        <v>4</v>
      </c>
      <c r="AM284" t="n">
        <v>5</v>
      </c>
      <c r="AN284" t="n">
        <v>0</v>
      </c>
      <c r="AO284" t="n">
        <v>0</v>
      </c>
      <c r="AP284" t="inlineStr">
        <is>
          <t>No</t>
        </is>
      </c>
      <c r="AQ284" t="inlineStr">
        <is>
          <t>No</t>
        </is>
      </c>
      <c r="AS284">
        <f>HYPERLINK("https://creighton-primo.hosted.exlibrisgroup.com/primo-explore/search?tab=default_tab&amp;search_scope=EVERYTHING&amp;vid=01CRU&amp;lang=en_US&amp;offset=0&amp;query=any,contains,991005109539702656","Catalog Record")</f>
        <v/>
      </c>
      <c r="AT284">
        <f>HYPERLINK("http://www.worldcat.org/oclc/79256815","WorldCat Record")</f>
        <v/>
      </c>
      <c r="AU284" t="inlineStr">
        <is>
          <t>197766251:eng</t>
        </is>
      </c>
      <c r="AV284" t="inlineStr">
        <is>
          <t>79256815</t>
        </is>
      </c>
      <c r="AW284" t="inlineStr">
        <is>
          <t>991005109539702656</t>
        </is>
      </c>
      <c r="AX284" t="inlineStr">
        <is>
          <t>991005109539702656</t>
        </is>
      </c>
      <c r="AY284" t="inlineStr">
        <is>
          <t>2259078850002656</t>
        </is>
      </c>
      <c r="AZ284" t="inlineStr">
        <is>
          <t>BOOK</t>
        </is>
      </c>
      <c r="BB284" t="inlineStr">
        <is>
          <t>9781412949040</t>
        </is>
      </c>
      <c r="BC284" t="inlineStr">
        <is>
          <t>32285005324818</t>
        </is>
      </c>
      <c r="BD284" t="inlineStr">
        <is>
          <t>893594479</t>
        </is>
      </c>
    </row>
    <row r="285">
      <c r="A285" t="inlineStr">
        <is>
          <t>No</t>
        </is>
      </c>
      <c r="B285" t="inlineStr">
        <is>
          <t>LB1025.3 .W725 2009</t>
        </is>
      </c>
      <c r="C285" t="inlineStr">
        <is>
          <t>0                      LB 1025300W  725         2009</t>
        </is>
      </c>
      <c r="D285" t="inlineStr">
        <is>
          <t>Metaphors &amp; analogies : power tools for teaching any subject / Rick Wormeli.</t>
        </is>
      </c>
      <c r="F285" t="inlineStr">
        <is>
          <t>No</t>
        </is>
      </c>
      <c r="G285" t="inlineStr">
        <is>
          <t>1</t>
        </is>
      </c>
      <c r="H285" t="inlineStr">
        <is>
          <t>No</t>
        </is>
      </c>
      <c r="I285" t="inlineStr">
        <is>
          <t>No</t>
        </is>
      </c>
      <c r="J285" t="inlineStr">
        <is>
          <t>0</t>
        </is>
      </c>
      <c r="K285" t="inlineStr">
        <is>
          <t>Wormeli, Rick.</t>
        </is>
      </c>
      <c r="L285" t="inlineStr">
        <is>
          <t>Portland, Me. : Stenhouse Publishers, c2009.</t>
        </is>
      </c>
      <c r="M285" t="inlineStr">
        <is>
          <t>2009</t>
        </is>
      </c>
      <c r="O285" t="inlineStr">
        <is>
          <t>eng</t>
        </is>
      </c>
      <c r="P285" t="inlineStr">
        <is>
          <t>meu</t>
        </is>
      </c>
      <c r="R285" t="inlineStr">
        <is>
          <t xml:space="preserve">LB </t>
        </is>
      </c>
      <c r="S285" t="n">
        <v>1</v>
      </c>
      <c r="T285" t="n">
        <v>1</v>
      </c>
      <c r="U285" t="inlineStr">
        <is>
          <t>2010-02-08</t>
        </is>
      </c>
      <c r="V285" t="inlineStr">
        <is>
          <t>2010-02-08</t>
        </is>
      </c>
      <c r="W285" t="inlineStr">
        <is>
          <t>2010-02-08</t>
        </is>
      </c>
      <c r="X285" t="inlineStr">
        <is>
          <t>2010-02-08</t>
        </is>
      </c>
      <c r="Y285" t="n">
        <v>260</v>
      </c>
      <c r="Z285" t="n">
        <v>217</v>
      </c>
      <c r="AA285" t="n">
        <v>772</v>
      </c>
      <c r="AB285" t="n">
        <v>2</v>
      </c>
      <c r="AC285" t="n">
        <v>6</v>
      </c>
      <c r="AD285" t="n">
        <v>9</v>
      </c>
      <c r="AE285" t="n">
        <v>19</v>
      </c>
      <c r="AF285" t="n">
        <v>4</v>
      </c>
      <c r="AG285" t="n">
        <v>8</v>
      </c>
      <c r="AH285" t="n">
        <v>2</v>
      </c>
      <c r="AI285" t="n">
        <v>3</v>
      </c>
      <c r="AJ285" t="n">
        <v>4</v>
      </c>
      <c r="AK285" t="n">
        <v>7</v>
      </c>
      <c r="AL285" t="n">
        <v>1</v>
      </c>
      <c r="AM285" t="n">
        <v>4</v>
      </c>
      <c r="AN285" t="n">
        <v>0</v>
      </c>
      <c r="AO285" t="n">
        <v>1</v>
      </c>
      <c r="AP285" t="inlineStr">
        <is>
          <t>No</t>
        </is>
      </c>
      <c r="AQ285" t="inlineStr">
        <is>
          <t>No</t>
        </is>
      </c>
      <c r="AS285">
        <f>HYPERLINK("https://creighton-primo.hosted.exlibrisgroup.com/primo-explore/search?tab=default_tab&amp;search_scope=EVERYTHING&amp;vid=01CRU&amp;lang=en_US&amp;offset=0&amp;query=any,contains,991005359359702656","Catalog Record")</f>
        <v/>
      </c>
      <c r="AT285">
        <f>HYPERLINK("http://www.worldcat.org/oclc/361947742","WorldCat Record")</f>
        <v/>
      </c>
      <c r="AU285" t="inlineStr">
        <is>
          <t>793213020:eng</t>
        </is>
      </c>
      <c r="AV285" t="inlineStr">
        <is>
          <t>361947742</t>
        </is>
      </c>
      <c r="AW285" t="inlineStr">
        <is>
          <t>991005359359702656</t>
        </is>
      </c>
      <c r="AX285" t="inlineStr">
        <is>
          <t>991005359359702656</t>
        </is>
      </c>
      <c r="AY285" t="inlineStr">
        <is>
          <t>2265048400002656</t>
        </is>
      </c>
      <c r="AZ285" t="inlineStr">
        <is>
          <t>BOOK</t>
        </is>
      </c>
      <c r="BB285" t="inlineStr">
        <is>
          <t>9781571107589</t>
        </is>
      </c>
      <c r="BC285" t="inlineStr">
        <is>
          <t>32285005572507</t>
        </is>
      </c>
      <c r="BD285" t="inlineStr">
        <is>
          <t>893412742</t>
        </is>
      </c>
    </row>
    <row r="286">
      <c r="A286" t="inlineStr">
        <is>
          <t>No</t>
        </is>
      </c>
      <c r="B286" t="inlineStr">
        <is>
          <t>LB1025.34 .T5 1991</t>
        </is>
      </c>
      <c r="C286" t="inlineStr">
        <is>
          <t>0                      LB 1025340T  5           1991</t>
        </is>
      </c>
      <c r="D286" t="inlineStr">
        <is>
          <t>Portfolio assessment in the reading-writing classroom / Robert J. Tierney, Mark A. Carter, Laura E. Desai ; illustrations: Susan Meyers ; editorial assistance: Carolyn Cutler.</t>
        </is>
      </c>
      <c r="F286" t="inlineStr">
        <is>
          <t>No</t>
        </is>
      </c>
      <c r="G286" t="inlineStr">
        <is>
          <t>1</t>
        </is>
      </c>
      <c r="H286" t="inlineStr">
        <is>
          <t>No</t>
        </is>
      </c>
      <c r="I286" t="inlineStr">
        <is>
          <t>No</t>
        </is>
      </c>
      <c r="J286" t="inlineStr">
        <is>
          <t>0</t>
        </is>
      </c>
      <c r="K286" t="inlineStr">
        <is>
          <t>Tierney, Robert J.</t>
        </is>
      </c>
      <c r="L286" t="inlineStr">
        <is>
          <t>Norwood, MA : Christopher-Gordon Publishers, c1991.</t>
        </is>
      </c>
      <c r="M286" t="inlineStr">
        <is>
          <t>1991</t>
        </is>
      </c>
      <c r="O286" t="inlineStr">
        <is>
          <t>eng</t>
        </is>
      </c>
      <c r="P286" t="inlineStr">
        <is>
          <t>mau</t>
        </is>
      </c>
      <c r="R286" t="inlineStr">
        <is>
          <t xml:space="preserve">LB </t>
        </is>
      </c>
      <c r="S286" t="n">
        <v>9</v>
      </c>
      <c r="T286" t="n">
        <v>9</v>
      </c>
      <c r="U286" t="inlineStr">
        <is>
          <t>1999-09-09</t>
        </is>
      </c>
      <c r="V286" t="inlineStr">
        <is>
          <t>1999-09-09</t>
        </is>
      </c>
      <c r="W286" t="inlineStr">
        <is>
          <t>1993-08-25</t>
        </is>
      </c>
      <c r="X286" t="inlineStr">
        <is>
          <t>1993-08-25</t>
        </is>
      </c>
      <c r="Y286" t="n">
        <v>655</v>
      </c>
      <c r="Z286" t="n">
        <v>600</v>
      </c>
      <c r="AA286" t="n">
        <v>602</v>
      </c>
      <c r="AB286" t="n">
        <v>5</v>
      </c>
      <c r="AC286" t="n">
        <v>5</v>
      </c>
      <c r="AD286" t="n">
        <v>23</v>
      </c>
      <c r="AE286" t="n">
        <v>23</v>
      </c>
      <c r="AF286" t="n">
        <v>12</v>
      </c>
      <c r="AG286" t="n">
        <v>12</v>
      </c>
      <c r="AH286" t="n">
        <v>3</v>
      </c>
      <c r="AI286" t="n">
        <v>3</v>
      </c>
      <c r="AJ286" t="n">
        <v>12</v>
      </c>
      <c r="AK286" t="n">
        <v>12</v>
      </c>
      <c r="AL286" t="n">
        <v>4</v>
      </c>
      <c r="AM286" t="n">
        <v>4</v>
      </c>
      <c r="AN286" t="n">
        <v>0</v>
      </c>
      <c r="AO286" t="n">
        <v>0</v>
      </c>
      <c r="AP286" t="inlineStr">
        <is>
          <t>No</t>
        </is>
      </c>
      <c r="AQ286" t="inlineStr">
        <is>
          <t>No</t>
        </is>
      </c>
      <c r="AS286">
        <f>HYPERLINK("https://creighton-primo.hosted.exlibrisgroup.com/primo-explore/search?tab=default_tab&amp;search_scope=EVERYTHING&amp;vid=01CRU&amp;lang=en_US&amp;offset=0&amp;query=any,contains,991001922759702656","Catalog Record")</f>
        <v/>
      </c>
      <c r="AT286">
        <f>HYPERLINK("http://www.worldcat.org/oclc/24278069","WorldCat Record")</f>
        <v/>
      </c>
      <c r="AU286" t="inlineStr">
        <is>
          <t>25054590:eng</t>
        </is>
      </c>
      <c r="AV286" t="inlineStr">
        <is>
          <t>24278069</t>
        </is>
      </c>
      <c r="AW286" t="inlineStr">
        <is>
          <t>991001922759702656</t>
        </is>
      </c>
      <c r="AX286" t="inlineStr">
        <is>
          <t>991001922759702656</t>
        </is>
      </c>
      <c r="AY286" t="inlineStr">
        <is>
          <t>2267285360002656</t>
        </is>
      </c>
      <c r="AZ286" t="inlineStr">
        <is>
          <t>BOOK</t>
        </is>
      </c>
      <c r="BB286" t="inlineStr">
        <is>
          <t>9780926842083</t>
        </is>
      </c>
      <c r="BC286" t="inlineStr">
        <is>
          <t>32285001728467</t>
        </is>
      </c>
      <c r="BD286" t="inlineStr">
        <is>
          <t>893414629</t>
        </is>
      </c>
    </row>
    <row r="287">
      <c r="A287" t="inlineStr">
        <is>
          <t>No</t>
        </is>
      </c>
      <c r="B287" t="inlineStr">
        <is>
          <t>LB1026 .F49 2000</t>
        </is>
      </c>
      <c r="C287" t="inlineStr">
        <is>
          <t>0                      LB 1026000F  49          2000</t>
        </is>
      </c>
      <c r="D287" t="inlineStr">
        <is>
          <t>Teaching with your mouth shut / Donald L. Finkel ; foreword by Peter Elbow.</t>
        </is>
      </c>
      <c r="F287" t="inlineStr">
        <is>
          <t>No</t>
        </is>
      </c>
      <c r="G287" t="inlineStr">
        <is>
          <t>1</t>
        </is>
      </c>
      <c r="H287" t="inlineStr">
        <is>
          <t>No</t>
        </is>
      </c>
      <c r="I287" t="inlineStr">
        <is>
          <t>No</t>
        </is>
      </c>
      <c r="J287" t="inlineStr">
        <is>
          <t>0</t>
        </is>
      </c>
      <c r="K287" t="inlineStr">
        <is>
          <t>Finkel, Donald L., 1943-</t>
        </is>
      </c>
      <c r="L287" t="inlineStr">
        <is>
          <t>Portsmouth, NH Boynton/Cook Publishers, c2000.</t>
        </is>
      </c>
      <c r="M287" t="inlineStr">
        <is>
          <t>2000</t>
        </is>
      </c>
      <c r="O287" t="inlineStr">
        <is>
          <t>eng</t>
        </is>
      </c>
      <c r="P287" t="inlineStr">
        <is>
          <t>nhu</t>
        </is>
      </c>
      <c r="R287" t="inlineStr">
        <is>
          <t xml:space="preserve">LB </t>
        </is>
      </c>
      <c r="S287" t="n">
        <v>2</v>
      </c>
      <c r="T287" t="n">
        <v>2</v>
      </c>
      <c r="U287" t="inlineStr">
        <is>
          <t>2010-11-09</t>
        </is>
      </c>
      <c r="V287" t="inlineStr">
        <is>
          <t>2010-11-09</t>
        </is>
      </c>
      <c r="W287" t="inlineStr">
        <is>
          <t>2007-10-28</t>
        </is>
      </c>
      <c r="X287" t="inlineStr">
        <is>
          <t>2007-10-28</t>
        </is>
      </c>
      <c r="Y287" t="n">
        <v>734</v>
      </c>
      <c r="Z287" t="n">
        <v>656</v>
      </c>
      <c r="AA287" t="n">
        <v>658</v>
      </c>
      <c r="AB287" t="n">
        <v>6</v>
      </c>
      <c r="AC287" t="n">
        <v>6</v>
      </c>
      <c r="AD287" t="n">
        <v>32</v>
      </c>
      <c r="AE287" t="n">
        <v>32</v>
      </c>
      <c r="AF287" t="n">
        <v>15</v>
      </c>
      <c r="AG287" t="n">
        <v>15</v>
      </c>
      <c r="AH287" t="n">
        <v>5</v>
      </c>
      <c r="AI287" t="n">
        <v>5</v>
      </c>
      <c r="AJ287" t="n">
        <v>13</v>
      </c>
      <c r="AK287" t="n">
        <v>13</v>
      </c>
      <c r="AL287" t="n">
        <v>5</v>
      </c>
      <c r="AM287" t="n">
        <v>5</v>
      </c>
      <c r="AN287" t="n">
        <v>2</v>
      </c>
      <c r="AO287" t="n">
        <v>2</v>
      </c>
      <c r="AP287" t="inlineStr">
        <is>
          <t>No</t>
        </is>
      </c>
      <c r="AQ287" t="inlineStr">
        <is>
          <t>Yes</t>
        </is>
      </c>
      <c r="AR287">
        <f>HYPERLINK("http://catalog.hathitrust.org/Record/004106549","HathiTrust Record")</f>
        <v/>
      </c>
      <c r="AS287">
        <f>HYPERLINK("https://creighton-primo.hosted.exlibrisgroup.com/primo-explore/search?tab=default_tab&amp;search_scope=EVERYTHING&amp;vid=01CRU&amp;lang=en_US&amp;offset=0&amp;query=any,contains,991005127979702656","Catalog Record")</f>
        <v/>
      </c>
      <c r="AT287">
        <f>HYPERLINK("http://www.worldcat.org/oclc/42680610","WorldCat Record")</f>
        <v/>
      </c>
      <c r="AU287" t="inlineStr">
        <is>
          <t>28178968:eng</t>
        </is>
      </c>
      <c r="AV287" t="inlineStr">
        <is>
          <t>42680610</t>
        </is>
      </c>
      <c r="AW287" t="inlineStr">
        <is>
          <t>991005127979702656</t>
        </is>
      </c>
      <c r="AX287" t="inlineStr">
        <is>
          <t>991005127979702656</t>
        </is>
      </c>
      <c r="AY287" t="inlineStr">
        <is>
          <t>2261871890002656</t>
        </is>
      </c>
      <c r="AZ287" t="inlineStr">
        <is>
          <t>BOOK</t>
        </is>
      </c>
      <c r="BB287" t="inlineStr">
        <is>
          <t>9780867094695</t>
        </is>
      </c>
      <c r="BC287" t="inlineStr">
        <is>
          <t>32285005361885</t>
        </is>
      </c>
      <c r="BD287" t="inlineStr">
        <is>
          <t>893230251</t>
        </is>
      </c>
    </row>
    <row r="288">
      <c r="A288" t="inlineStr">
        <is>
          <t>No</t>
        </is>
      </c>
      <c r="B288" t="inlineStr">
        <is>
          <t>LB1027 .C848</t>
        </is>
      </c>
      <c r="C288" t="inlineStr">
        <is>
          <t>0                      LB 1027000C  848</t>
        </is>
      </c>
      <c r="D288" t="inlineStr">
        <is>
          <t>The Conventional and the alternative in education / John I. Goodlad ... [et al.]</t>
        </is>
      </c>
      <c r="F288" t="inlineStr">
        <is>
          <t>No</t>
        </is>
      </c>
      <c r="G288" t="inlineStr">
        <is>
          <t>1</t>
        </is>
      </c>
      <c r="H288" t="inlineStr">
        <is>
          <t>No</t>
        </is>
      </c>
      <c r="I288" t="inlineStr">
        <is>
          <t>No</t>
        </is>
      </c>
      <c r="J288" t="inlineStr">
        <is>
          <t>0</t>
        </is>
      </c>
      <c r="L288" t="inlineStr">
        <is>
          <t>Berkeley, Calif. : McCutchan Pub. Corp., c1975.</t>
        </is>
      </c>
      <c r="M288" t="inlineStr">
        <is>
          <t>1975</t>
        </is>
      </c>
      <c r="O288" t="inlineStr">
        <is>
          <t>eng</t>
        </is>
      </c>
      <c r="P288" t="inlineStr">
        <is>
          <t>cau</t>
        </is>
      </c>
      <c r="R288" t="inlineStr">
        <is>
          <t xml:space="preserve">LB </t>
        </is>
      </c>
      <c r="S288" t="n">
        <v>3</v>
      </c>
      <c r="T288" t="n">
        <v>3</v>
      </c>
      <c r="U288" t="inlineStr">
        <is>
          <t>2005-04-08</t>
        </is>
      </c>
      <c r="V288" t="inlineStr">
        <is>
          <t>2005-04-08</t>
        </is>
      </c>
      <c r="W288" t="inlineStr">
        <is>
          <t>1997-04-28</t>
        </is>
      </c>
      <c r="X288" t="inlineStr">
        <is>
          <t>1997-04-28</t>
        </is>
      </c>
      <c r="Y288" t="n">
        <v>449</v>
      </c>
      <c r="Z288" t="n">
        <v>385</v>
      </c>
      <c r="AA288" t="n">
        <v>392</v>
      </c>
      <c r="AB288" t="n">
        <v>4</v>
      </c>
      <c r="AC288" t="n">
        <v>4</v>
      </c>
      <c r="AD288" t="n">
        <v>17</v>
      </c>
      <c r="AE288" t="n">
        <v>17</v>
      </c>
      <c r="AF288" t="n">
        <v>5</v>
      </c>
      <c r="AG288" t="n">
        <v>5</v>
      </c>
      <c r="AH288" t="n">
        <v>5</v>
      </c>
      <c r="AI288" t="n">
        <v>5</v>
      </c>
      <c r="AJ288" t="n">
        <v>8</v>
      </c>
      <c r="AK288" t="n">
        <v>8</v>
      </c>
      <c r="AL288" t="n">
        <v>3</v>
      </c>
      <c r="AM288" t="n">
        <v>3</v>
      </c>
      <c r="AN288" t="n">
        <v>0</v>
      </c>
      <c r="AO288" t="n">
        <v>0</v>
      </c>
      <c r="AP288" t="inlineStr">
        <is>
          <t>No</t>
        </is>
      </c>
      <c r="AQ288" t="inlineStr">
        <is>
          <t>Yes</t>
        </is>
      </c>
      <c r="AR288">
        <f>HYPERLINK("http://catalog.hathitrust.org/Record/000689075","HathiTrust Record")</f>
        <v/>
      </c>
      <c r="AS288">
        <f>HYPERLINK("https://creighton-primo.hosted.exlibrisgroup.com/primo-explore/search?tab=default_tab&amp;search_scope=EVERYTHING&amp;vid=01CRU&amp;lang=en_US&amp;offset=0&amp;query=any,contains,991003759029702656","Catalog Record")</f>
        <v/>
      </c>
      <c r="AT288">
        <f>HYPERLINK("http://www.worldcat.org/oclc/1443275","WorldCat Record")</f>
        <v/>
      </c>
      <c r="AU288" t="inlineStr">
        <is>
          <t>2352639:eng</t>
        </is>
      </c>
      <c r="AV288" t="inlineStr">
        <is>
          <t>1443275</t>
        </is>
      </c>
      <c r="AW288" t="inlineStr">
        <is>
          <t>991003759029702656</t>
        </is>
      </c>
      <c r="AX288" t="inlineStr">
        <is>
          <t>991003759029702656</t>
        </is>
      </c>
      <c r="AY288" t="inlineStr">
        <is>
          <t>2255238000002656</t>
        </is>
      </c>
      <c r="AZ288" t="inlineStr">
        <is>
          <t>BOOK</t>
        </is>
      </c>
      <c r="BB288" t="inlineStr">
        <is>
          <t>9780821106112</t>
        </is>
      </c>
      <c r="BC288" t="inlineStr">
        <is>
          <t>32285002599727</t>
        </is>
      </c>
      <c r="BD288" t="inlineStr">
        <is>
          <t>893787739</t>
        </is>
      </c>
    </row>
    <row r="289">
      <c r="A289" t="inlineStr">
        <is>
          <t>No</t>
        </is>
      </c>
      <c r="B289" t="inlineStr">
        <is>
          <t>LB1027 .D55</t>
        </is>
      </c>
      <c r="C289" t="inlineStr">
        <is>
          <t>0                      LB 1027000D  55</t>
        </is>
      </c>
      <c r="D289" t="inlineStr">
        <is>
          <t>Writing instructional objectives [by] Caroline Matheny Dillman and Harold F. Rahmlow.</t>
        </is>
      </c>
      <c r="F289" t="inlineStr">
        <is>
          <t>No</t>
        </is>
      </c>
      <c r="G289" t="inlineStr">
        <is>
          <t>1</t>
        </is>
      </c>
      <c r="H289" t="inlineStr">
        <is>
          <t>No</t>
        </is>
      </c>
      <c r="I289" t="inlineStr">
        <is>
          <t>No</t>
        </is>
      </c>
      <c r="J289" t="inlineStr">
        <is>
          <t>0</t>
        </is>
      </c>
      <c r="K289" t="inlineStr">
        <is>
          <t>Dillman, Caroline Matheny.</t>
        </is>
      </c>
      <c r="L289" t="inlineStr">
        <is>
          <t>Belmont, Calif., Fearon [c1972]</t>
        </is>
      </c>
      <c r="M289" t="inlineStr">
        <is>
          <t>1972</t>
        </is>
      </c>
      <c r="O289" t="inlineStr">
        <is>
          <t>eng</t>
        </is>
      </c>
      <c r="P289" t="inlineStr">
        <is>
          <t>cau</t>
        </is>
      </c>
      <c r="R289" t="inlineStr">
        <is>
          <t xml:space="preserve">LB </t>
        </is>
      </c>
      <c r="S289" t="n">
        <v>1</v>
      </c>
      <c r="T289" t="n">
        <v>1</v>
      </c>
      <c r="U289" t="inlineStr">
        <is>
          <t>2007-11-07</t>
        </is>
      </c>
      <c r="V289" t="inlineStr">
        <is>
          <t>2007-11-07</t>
        </is>
      </c>
      <c r="W289" t="inlineStr">
        <is>
          <t>1997-04-28</t>
        </is>
      </c>
      <c r="X289" t="inlineStr">
        <is>
          <t>1997-04-28</t>
        </is>
      </c>
      <c r="Y289" t="n">
        <v>222</v>
      </c>
      <c r="Z289" t="n">
        <v>199</v>
      </c>
      <c r="AA289" t="n">
        <v>204</v>
      </c>
      <c r="AB289" t="n">
        <v>1</v>
      </c>
      <c r="AC289" t="n">
        <v>1</v>
      </c>
      <c r="AD289" t="n">
        <v>9</v>
      </c>
      <c r="AE289" t="n">
        <v>9</v>
      </c>
      <c r="AF289" t="n">
        <v>3</v>
      </c>
      <c r="AG289" t="n">
        <v>3</v>
      </c>
      <c r="AH289" t="n">
        <v>4</v>
      </c>
      <c r="AI289" t="n">
        <v>4</v>
      </c>
      <c r="AJ289" t="n">
        <v>6</v>
      </c>
      <c r="AK289" t="n">
        <v>6</v>
      </c>
      <c r="AL289" t="n">
        <v>0</v>
      </c>
      <c r="AM289" t="n">
        <v>0</v>
      </c>
      <c r="AN289" t="n">
        <v>0</v>
      </c>
      <c r="AO289" t="n">
        <v>0</v>
      </c>
      <c r="AP289" t="inlineStr">
        <is>
          <t>No</t>
        </is>
      </c>
      <c r="AQ289" t="inlineStr">
        <is>
          <t>Yes</t>
        </is>
      </c>
      <c r="AR289">
        <f>HYPERLINK("http://catalog.hathitrust.org/Record/004513803","HathiTrust Record")</f>
        <v/>
      </c>
      <c r="AS289">
        <f>HYPERLINK("https://creighton-primo.hosted.exlibrisgroup.com/primo-explore/search?tab=default_tab&amp;search_scope=EVERYTHING&amp;vid=01CRU&amp;lang=en_US&amp;offset=0&amp;query=any,contains,991003014749702656","Catalog Record")</f>
        <v/>
      </c>
      <c r="AT289">
        <f>HYPERLINK("http://www.worldcat.org/oclc/580170","WorldCat Record")</f>
        <v/>
      </c>
      <c r="AU289" t="inlineStr">
        <is>
          <t>41310081:eng</t>
        </is>
      </c>
      <c r="AV289" t="inlineStr">
        <is>
          <t>580170</t>
        </is>
      </c>
      <c r="AW289" t="inlineStr">
        <is>
          <t>991003014749702656</t>
        </is>
      </c>
      <c r="AX289" t="inlineStr">
        <is>
          <t>991003014749702656</t>
        </is>
      </c>
      <c r="AY289" t="inlineStr">
        <is>
          <t>2270946180002656</t>
        </is>
      </c>
      <c r="AZ289" t="inlineStr">
        <is>
          <t>BOOK</t>
        </is>
      </c>
      <c r="BB289" t="inlineStr">
        <is>
          <t>9780822475200</t>
        </is>
      </c>
      <c r="BC289" t="inlineStr">
        <is>
          <t>32285002599776</t>
        </is>
      </c>
      <c r="BD289" t="inlineStr">
        <is>
          <t>893233730</t>
        </is>
      </c>
    </row>
    <row r="290">
      <c r="A290" t="inlineStr">
        <is>
          <t>No</t>
        </is>
      </c>
      <c r="B290" t="inlineStr">
        <is>
          <t>LB1027 .G563</t>
        </is>
      </c>
      <c r="C290" t="inlineStr">
        <is>
          <t>0                      LB 1027000G  563</t>
        </is>
      </c>
      <c r="D290" t="inlineStr">
        <is>
          <t>Alternatives in education : schools and programs / Allan A. Glatthorn.</t>
        </is>
      </c>
      <c r="F290" t="inlineStr">
        <is>
          <t>No</t>
        </is>
      </c>
      <c r="G290" t="inlineStr">
        <is>
          <t>1</t>
        </is>
      </c>
      <c r="H290" t="inlineStr">
        <is>
          <t>No</t>
        </is>
      </c>
      <c r="I290" t="inlineStr">
        <is>
          <t>No</t>
        </is>
      </c>
      <c r="J290" t="inlineStr">
        <is>
          <t>0</t>
        </is>
      </c>
      <c r="K290" t="inlineStr">
        <is>
          <t>Glatthorn, Allan A., 1924-</t>
        </is>
      </c>
      <c r="L290" t="inlineStr">
        <is>
          <t>New York : Dodd, Mead, 1975.</t>
        </is>
      </c>
      <c r="M290" t="inlineStr">
        <is>
          <t>1975</t>
        </is>
      </c>
      <c r="O290" t="inlineStr">
        <is>
          <t>eng</t>
        </is>
      </c>
      <c r="P290" t="inlineStr">
        <is>
          <t>nyu</t>
        </is>
      </c>
      <c r="Q290" t="inlineStr">
        <is>
          <t>Curriculum improvement series</t>
        </is>
      </c>
      <c r="R290" t="inlineStr">
        <is>
          <t xml:space="preserve">LB </t>
        </is>
      </c>
      <c r="S290" t="n">
        <v>5</v>
      </c>
      <c r="T290" t="n">
        <v>5</v>
      </c>
      <c r="U290" t="inlineStr">
        <is>
          <t>2001-03-26</t>
        </is>
      </c>
      <c r="V290" t="inlineStr">
        <is>
          <t>2001-03-26</t>
        </is>
      </c>
      <c r="W290" t="inlineStr">
        <is>
          <t>1994-12-16</t>
        </is>
      </c>
      <c r="X290" t="inlineStr">
        <is>
          <t>1994-12-16</t>
        </is>
      </c>
      <c r="Y290" t="n">
        <v>383</v>
      </c>
      <c r="Z290" t="n">
        <v>332</v>
      </c>
      <c r="AA290" t="n">
        <v>352</v>
      </c>
      <c r="AB290" t="n">
        <v>2</v>
      </c>
      <c r="AC290" t="n">
        <v>2</v>
      </c>
      <c r="AD290" t="n">
        <v>16</v>
      </c>
      <c r="AE290" t="n">
        <v>16</v>
      </c>
      <c r="AF290" t="n">
        <v>4</v>
      </c>
      <c r="AG290" t="n">
        <v>4</v>
      </c>
      <c r="AH290" t="n">
        <v>5</v>
      </c>
      <c r="AI290" t="n">
        <v>5</v>
      </c>
      <c r="AJ290" t="n">
        <v>11</v>
      </c>
      <c r="AK290" t="n">
        <v>11</v>
      </c>
      <c r="AL290" t="n">
        <v>1</v>
      </c>
      <c r="AM290" t="n">
        <v>1</v>
      </c>
      <c r="AN290" t="n">
        <v>0</v>
      </c>
      <c r="AO290" t="n">
        <v>0</v>
      </c>
      <c r="AP290" t="inlineStr">
        <is>
          <t>No</t>
        </is>
      </c>
      <c r="AQ290" t="inlineStr">
        <is>
          <t>Yes</t>
        </is>
      </c>
      <c r="AR290">
        <f>HYPERLINK("http://catalog.hathitrust.org/Record/000040903","HathiTrust Record")</f>
        <v/>
      </c>
      <c r="AS290">
        <f>HYPERLINK("https://creighton-primo.hosted.exlibrisgroup.com/primo-explore/search?tab=default_tab&amp;search_scope=EVERYTHING&amp;vid=01CRU&amp;lang=en_US&amp;offset=0&amp;query=any,contains,991003707609702656","Catalog Record")</f>
        <v/>
      </c>
      <c r="AT290">
        <f>HYPERLINK("http://www.worldcat.org/oclc/1345644","WorldCat Record")</f>
        <v/>
      </c>
      <c r="AU290" t="inlineStr">
        <is>
          <t>2240562:eng</t>
        </is>
      </c>
      <c r="AV290" t="inlineStr">
        <is>
          <t>1345644</t>
        </is>
      </c>
      <c r="AW290" t="inlineStr">
        <is>
          <t>991003707609702656</t>
        </is>
      </c>
      <c r="AX290" t="inlineStr">
        <is>
          <t>991003707609702656</t>
        </is>
      </c>
      <c r="AY290" t="inlineStr">
        <is>
          <t>2260244530002656</t>
        </is>
      </c>
      <c r="AZ290" t="inlineStr">
        <is>
          <t>BOOK</t>
        </is>
      </c>
      <c r="BB290" t="inlineStr">
        <is>
          <t>9780396070979</t>
        </is>
      </c>
      <c r="BC290" t="inlineStr">
        <is>
          <t>32285001983856</t>
        </is>
      </c>
      <c r="BD290" t="inlineStr">
        <is>
          <t>893240508</t>
        </is>
      </c>
    </row>
    <row r="291">
      <c r="A291" t="inlineStr">
        <is>
          <t>No</t>
        </is>
      </c>
      <c r="B291" t="inlineStr">
        <is>
          <t>LB1027 .H348 2006</t>
        </is>
      </c>
      <c r="C291" t="inlineStr">
        <is>
          <t>0                      LB 1027000H  348         2006</t>
        </is>
      </c>
      <c r="D291" t="inlineStr">
        <is>
          <t>Into the classroom : developing the scholarship of teaching and learning / Thomas Hatch, with Melissa Eiler White ... [et al.] ; foreword by Lee S. Shulman.</t>
        </is>
      </c>
      <c r="F291" t="inlineStr">
        <is>
          <t>No</t>
        </is>
      </c>
      <c r="G291" t="inlineStr">
        <is>
          <t>1</t>
        </is>
      </c>
      <c r="H291" t="inlineStr">
        <is>
          <t>No</t>
        </is>
      </c>
      <c r="I291" t="inlineStr">
        <is>
          <t>No</t>
        </is>
      </c>
      <c r="J291" t="inlineStr">
        <is>
          <t>0</t>
        </is>
      </c>
      <c r="K291" t="inlineStr">
        <is>
          <t>Hatch, Thomas.</t>
        </is>
      </c>
      <c r="L291" t="inlineStr">
        <is>
          <t>San Francisco : Jossey-Bass, c2006.</t>
        </is>
      </c>
      <c r="M291" t="inlineStr">
        <is>
          <t>2006</t>
        </is>
      </c>
      <c r="N291" t="inlineStr">
        <is>
          <t>1st ed.</t>
        </is>
      </c>
      <c r="O291" t="inlineStr">
        <is>
          <t>eng</t>
        </is>
      </c>
      <c r="P291" t="inlineStr">
        <is>
          <t>cau</t>
        </is>
      </c>
      <c r="Q291" t="inlineStr">
        <is>
          <t>Jossey-Bass education series</t>
        </is>
      </c>
      <c r="R291" t="inlineStr">
        <is>
          <t xml:space="preserve">LB </t>
        </is>
      </c>
      <c r="S291" t="n">
        <v>5</v>
      </c>
      <c r="T291" t="n">
        <v>5</v>
      </c>
      <c r="U291" t="inlineStr">
        <is>
          <t>2009-06-03</t>
        </is>
      </c>
      <c r="V291" t="inlineStr">
        <is>
          <t>2009-06-03</t>
        </is>
      </c>
      <c r="W291" t="inlineStr">
        <is>
          <t>2008-06-05</t>
        </is>
      </c>
      <c r="X291" t="inlineStr">
        <is>
          <t>2008-06-05</t>
        </is>
      </c>
      <c r="Y291" t="n">
        <v>443</v>
      </c>
      <c r="Z291" t="n">
        <v>371</v>
      </c>
      <c r="AA291" t="n">
        <v>380</v>
      </c>
      <c r="AB291" t="n">
        <v>5</v>
      </c>
      <c r="AC291" t="n">
        <v>5</v>
      </c>
      <c r="AD291" t="n">
        <v>22</v>
      </c>
      <c r="AE291" t="n">
        <v>22</v>
      </c>
      <c r="AF291" t="n">
        <v>7</v>
      </c>
      <c r="AG291" t="n">
        <v>7</v>
      </c>
      <c r="AH291" t="n">
        <v>4</v>
      </c>
      <c r="AI291" t="n">
        <v>4</v>
      </c>
      <c r="AJ291" t="n">
        <v>10</v>
      </c>
      <c r="AK291" t="n">
        <v>10</v>
      </c>
      <c r="AL291" t="n">
        <v>4</v>
      </c>
      <c r="AM291" t="n">
        <v>4</v>
      </c>
      <c r="AN291" t="n">
        <v>1</v>
      </c>
      <c r="AO291" t="n">
        <v>1</v>
      </c>
      <c r="AP291" t="inlineStr">
        <is>
          <t>No</t>
        </is>
      </c>
      <c r="AQ291" t="inlineStr">
        <is>
          <t>Yes</t>
        </is>
      </c>
      <c r="AR291">
        <f>HYPERLINK("http://catalog.hathitrust.org/Record/005097030","HathiTrust Record")</f>
        <v/>
      </c>
      <c r="AS291">
        <f>HYPERLINK("https://creighton-primo.hosted.exlibrisgroup.com/primo-explore/search?tab=default_tab&amp;search_scope=EVERYTHING&amp;vid=01CRU&amp;lang=en_US&amp;offset=0&amp;query=any,contains,991005220119702656","Catalog Record")</f>
        <v/>
      </c>
      <c r="AT291">
        <f>HYPERLINK("http://www.worldcat.org/oclc/60420172","WorldCat Record")</f>
        <v/>
      </c>
      <c r="AU291" t="inlineStr">
        <is>
          <t>198911611:eng</t>
        </is>
      </c>
      <c r="AV291" t="inlineStr">
        <is>
          <t>60420172</t>
        </is>
      </c>
      <c r="AW291" t="inlineStr">
        <is>
          <t>991005220119702656</t>
        </is>
      </c>
      <c r="AX291" t="inlineStr">
        <is>
          <t>991005220119702656</t>
        </is>
      </c>
      <c r="AY291" t="inlineStr">
        <is>
          <t>2257462590002656</t>
        </is>
      </c>
      <c r="AZ291" t="inlineStr">
        <is>
          <t>BOOK</t>
        </is>
      </c>
      <c r="BB291" t="inlineStr">
        <is>
          <t>9780787981082</t>
        </is>
      </c>
      <c r="BC291" t="inlineStr">
        <is>
          <t>32285005442719</t>
        </is>
      </c>
      <c r="BD291" t="inlineStr">
        <is>
          <t>893248568</t>
        </is>
      </c>
    </row>
    <row r="292">
      <c r="A292" t="inlineStr">
        <is>
          <t>No</t>
        </is>
      </c>
      <c r="B292" t="inlineStr">
        <is>
          <t>LB1027 .H778 1984</t>
        </is>
      </c>
      <c r="C292" t="inlineStr">
        <is>
          <t>0                      LB 1027000H  778         1984</t>
        </is>
      </c>
      <c r="D292" t="inlineStr">
        <is>
          <t>Innovation up close : how school improvement works / A. Michael Huberman and Matthew B. Miles.</t>
        </is>
      </c>
      <c r="F292" t="inlineStr">
        <is>
          <t>No</t>
        </is>
      </c>
      <c r="G292" t="inlineStr">
        <is>
          <t>1</t>
        </is>
      </c>
      <c r="H292" t="inlineStr">
        <is>
          <t>No</t>
        </is>
      </c>
      <c r="I292" t="inlineStr">
        <is>
          <t>No</t>
        </is>
      </c>
      <c r="J292" t="inlineStr">
        <is>
          <t>0</t>
        </is>
      </c>
      <c r="K292" t="inlineStr">
        <is>
          <t>Huberman, A. M.</t>
        </is>
      </c>
      <c r="L292" t="inlineStr">
        <is>
          <t>New York : Plenum Press, c1984.</t>
        </is>
      </c>
      <c r="M292" t="inlineStr">
        <is>
          <t>1984</t>
        </is>
      </c>
      <c r="O292" t="inlineStr">
        <is>
          <t>eng</t>
        </is>
      </c>
      <c r="P292" t="inlineStr">
        <is>
          <t>nyu</t>
        </is>
      </c>
      <c r="Q292" t="inlineStr">
        <is>
          <t>Environment, development, and public policy. Public policy and social services</t>
        </is>
      </c>
      <c r="R292" t="inlineStr">
        <is>
          <t xml:space="preserve">LB </t>
        </is>
      </c>
      <c r="S292" t="n">
        <v>1</v>
      </c>
      <c r="T292" t="n">
        <v>1</v>
      </c>
      <c r="U292" t="inlineStr">
        <is>
          <t>2002-03-28</t>
        </is>
      </c>
      <c r="V292" t="inlineStr">
        <is>
          <t>2002-03-28</t>
        </is>
      </c>
      <c r="W292" t="inlineStr">
        <is>
          <t>1992-10-20</t>
        </is>
      </c>
      <c r="X292" t="inlineStr">
        <is>
          <t>1992-10-20</t>
        </is>
      </c>
      <c r="Y292" t="n">
        <v>358</v>
      </c>
      <c r="Z292" t="n">
        <v>272</v>
      </c>
      <c r="AA292" t="n">
        <v>295</v>
      </c>
      <c r="AB292" t="n">
        <v>2</v>
      </c>
      <c r="AC292" t="n">
        <v>2</v>
      </c>
      <c r="AD292" t="n">
        <v>12</v>
      </c>
      <c r="AE292" t="n">
        <v>14</v>
      </c>
      <c r="AF292" t="n">
        <v>3</v>
      </c>
      <c r="AG292" t="n">
        <v>5</v>
      </c>
      <c r="AH292" t="n">
        <v>6</v>
      </c>
      <c r="AI292" t="n">
        <v>6</v>
      </c>
      <c r="AJ292" t="n">
        <v>6</v>
      </c>
      <c r="AK292" t="n">
        <v>7</v>
      </c>
      <c r="AL292" t="n">
        <v>1</v>
      </c>
      <c r="AM292" t="n">
        <v>1</v>
      </c>
      <c r="AN292" t="n">
        <v>0</v>
      </c>
      <c r="AO292" t="n">
        <v>0</v>
      </c>
      <c r="AP292" t="inlineStr">
        <is>
          <t>No</t>
        </is>
      </c>
      <c r="AQ292" t="inlineStr">
        <is>
          <t>No</t>
        </is>
      </c>
      <c r="AS292">
        <f>HYPERLINK("https://creighton-primo.hosted.exlibrisgroup.com/primo-explore/search?tab=default_tab&amp;search_scope=EVERYTHING&amp;vid=01CRU&amp;lang=en_US&amp;offset=0&amp;query=any,contains,991000483909702656","Catalog Record")</f>
        <v/>
      </c>
      <c r="AT292">
        <f>HYPERLINK("http://www.worldcat.org/oclc/11067601","WorldCat Record")</f>
        <v/>
      </c>
      <c r="AU292" t="inlineStr">
        <is>
          <t>836674933:eng</t>
        </is>
      </c>
      <c r="AV292" t="inlineStr">
        <is>
          <t>11067601</t>
        </is>
      </c>
      <c r="AW292" t="inlineStr">
        <is>
          <t>991000483909702656</t>
        </is>
      </c>
      <c r="AX292" t="inlineStr">
        <is>
          <t>991000483909702656</t>
        </is>
      </c>
      <c r="AY292" t="inlineStr">
        <is>
          <t>2260978010002656</t>
        </is>
      </c>
      <c r="AZ292" t="inlineStr">
        <is>
          <t>BOOK</t>
        </is>
      </c>
      <c r="BB292" t="inlineStr">
        <is>
          <t>9780306416934</t>
        </is>
      </c>
      <c r="BC292" t="inlineStr">
        <is>
          <t>32285001353100</t>
        </is>
      </c>
      <c r="BD292" t="inlineStr">
        <is>
          <t>893589487</t>
        </is>
      </c>
    </row>
    <row r="293">
      <c r="A293" t="inlineStr">
        <is>
          <t>No</t>
        </is>
      </c>
      <c r="B293" t="inlineStr">
        <is>
          <t>LB1027 .K37 1985</t>
        </is>
      </c>
      <c r="C293" t="inlineStr">
        <is>
          <t>0                      LB 1027000K  37          1985</t>
        </is>
      </c>
      <c r="D293" t="inlineStr">
        <is>
          <t>Student-centered teaching for increased participation / James Kelly.</t>
        </is>
      </c>
      <c r="F293" t="inlineStr">
        <is>
          <t>No</t>
        </is>
      </c>
      <c r="G293" t="inlineStr">
        <is>
          <t>1</t>
        </is>
      </c>
      <c r="H293" t="inlineStr">
        <is>
          <t>No</t>
        </is>
      </c>
      <c r="I293" t="inlineStr">
        <is>
          <t>No</t>
        </is>
      </c>
      <c r="J293" t="inlineStr">
        <is>
          <t>0</t>
        </is>
      </c>
      <c r="K293" t="inlineStr">
        <is>
          <t>Kelly, James.</t>
        </is>
      </c>
      <c r="L293" t="inlineStr">
        <is>
          <t>Washington, D.C. : National Education Association, c1985.</t>
        </is>
      </c>
      <c r="M293" t="inlineStr">
        <is>
          <t>1985</t>
        </is>
      </c>
      <c r="O293" t="inlineStr">
        <is>
          <t>eng</t>
        </is>
      </c>
      <c r="P293" t="inlineStr">
        <is>
          <t>dcu</t>
        </is>
      </c>
      <c r="Q293" t="inlineStr">
        <is>
          <t>Reference and resources series</t>
        </is>
      </c>
      <c r="R293" t="inlineStr">
        <is>
          <t xml:space="preserve">LB </t>
        </is>
      </c>
      <c r="S293" t="n">
        <v>3</v>
      </c>
      <c r="T293" t="n">
        <v>3</v>
      </c>
      <c r="U293" t="inlineStr">
        <is>
          <t>2000-06-28</t>
        </is>
      </c>
      <c r="V293" t="inlineStr">
        <is>
          <t>2000-06-28</t>
        </is>
      </c>
      <c r="W293" t="inlineStr">
        <is>
          <t>1992-10-21</t>
        </is>
      </c>
      <c r="X293" t="inlineStr">
        <is>
          <t>1992-10-21</t>
        </is>
      </c>
      <c r="Y293" t="n">
        <v>283</v>
      </c>
      <c r="Z293" t="n">
        <v>273</v>
      </c>
      <c r="AA293" t="n">
        <v>276</v>
      </c>
      <c r="AB293" t="n">
        <v>6</v>
      </c>
      <c r="AC293" t="n">
        <v>6</v>
      </c>
      <c r="AD293" t="n">
        <v>13</v>
      </c>
      <c r="AE293" t="n">
        <v>13</v>
      </c>
      <c r="AF293" t="n">
        <v>5</v>
      </c>
      <c r="AG293" t="n">
        <v>5</v>
      </c>
      <c r="AH293" t="n">
        <v>2</v>
      </c>
      <c r="AI293" t="n">
        <v>2</v>
      </c>
      <c r="AJ293" t="n">
        <v>5</v>
      </c>
      <c r="AK293" t="n">
        <v>5</v>
      </c>
      <c r="AL293" t="n">
        <v>5</v>
      </c>
      <c r="AM293" t="n">
        <v>5</v>
      </c>
      <c r="AN293" t="n">
        <v>0</v>
      </c>
      <c r="AO293" t="n">
        <v>0</v>
      </c>
      <c r="AP293" t="inlineStr">
        <is>
          <t>No</t>
        </is>
      </c>
      <c r="AQ293" t="inlineStr">
        <is>
          <t>No</t>
        </is>
      </c>
      <c r="AS293">
        <f>HYPERLINK("https://creighton-primo.hosted.exlibrisgroup.com/primo-explore/search?tab=default_tab&amp;search_scope=EVERYTHING&amp;vid=01CRU&amp;lang=en_US&amp;offset=0&amp;query=any,contains,991000573669702656","Catalog Record")</f>
        <v/>
      </c>
      <c r="AT293">
        <f>HYPERLINK("http://www.worldcat.org/oclc/11676069","WorldCat Record")</f>
        <v/>
      </c>
      <c r="AU293" t="inlineStr">
        <is>
          <t>1075838:eng</t>
        </is>
      </c>
      <c r="AV293" t="inlineStr">
        <is>
          <t>11676069</t>
        </is>
      </c>
      <c r="AW293" t="inlineStr">
        <is>
          <t>991000573669702656</t>
        </is>
      </c>
      <c r="AX293" t="inlineStr">
        <is>
          <t>991000573669702656</t>
        </is>
      </c>
      <c r="AY293" t="inlineStr">
        <is>
          <t>2256838420002656</t>
        </is>
      </c>
      <c r="AZ293" t="inlineStr">
        <is>
          <t>BOOK</t>
        </is>
      </c>
      <c r="BB293" t="inlineStr">
        <is>
          <t>9780810615274</t>
        </is>
      </c>
      <c r="BC293" t="inlineStr">
        <is>
          <t>32285001353175</t>
        </is>
      </c>
      <c r="BD293" t="inlineStr">
        <is>
          <t>893438379</t>
        </is>
      </c>
    </row>
    <row r="294">
      <c r="A294" t="inlineStr">
        <is>
          <t>No</t>
        </is>
      </c>
      <c r="B294" t="inlineStr">
        <is>
          <t>LB1027 .K65 1990</t>
        </is>
      </c>
      <c r="C294" t="inlineStr">
        <is>
          <t>0                      LB 1027000K  65          1990</t>
        </is>
      </c>
      <c r="D294" t="inlineStr">
        <is>
          <t>Case studies on teaching / Theodore J. Kowalski, Roy A. Weaver, Kenneth T. Henson.</t>
        </is>
      </c>
      <c r="F294" t="inlineStr">
        <is>
          <t>No</t>
        </is>
      </c>
      <c r="G294" t="inlineStr">
        <is>
          <t>1</t>
        </is>
      </c>
      <c r="H294" t="inlineStr">
        <is>
          <t>No</t>
        </is>
      </c>
      <c r="I294" t="inlineStr">
        <is>
          <t>No</t>
        </is>
      </c>
      <c r="J294" t="inlineStr">
        <is>
          <t>0</t>
        </is>
      </c>
      <c r="K294" t="inlineStr">
        <is>
          <t>Kowalski, Theodore J.</t>
        </is>
      </c>
      <c r="L294" t="inlineStr">
        <is>
          <t>New York : Longman, c1990.</t>
        </is>
      </c>
      <c r="M294" t="inlineStr">
        <is>
          <t>1990</t>
        </is>
      </c>
      <c r="O294" t="inlineStr">
        <is>
          <t>eng</t>
        </is>
      </c>
      <c r="P294" t="inlineStr">
        <is>
          <t>nyu</t>
        </is>
      </c>
      <c r="R294" t="inlineStr">
        <is>
          <t xml:space="preserve">LB </t>
        </is>
      </c>
      <c r="S294" t="n">
        <v>5</v>
      </c>
      <c r="T294" t="n">
        <v>5</v>
      </c>
      <c r="U294" t="inlineStr">
        <is>
          <t>2007-02-04</t>
        </is>
      </c>
      <c r="V294" t="inlineStr">
        <is>
          <t>2007-02-04</t>
        </is>
      </c>
      <c r="W294" t="inlineStr">
        <is>
          <t>1990-02-26</t>
        </is>
      </c>
      <c r="X294" t="inlineStr">
        <is>
          <t>1990-02-26</t>
        </is>
      </c>
      <c r="Y294" t="n">
        <v>345</v>
      </c>
      <c r="Z294" t="n">
        <v>304</v>
      </c>
      <c r="AA294" t="n">
        <v>311</v>
      </c>
      <c r="AB294" t="n">
        <v>5</v>
      </c>
      <c r="AC294" t="n">
        <v>5</v>
      </c>
      <c r="AD294" t="n">
        <v>13</v>
      </c>
      <c r="AE294" t="n">
        <v>13</v>
      </c>
      <c r="AF294" t="n">
        <v>3</v>
      </c>
      <c r="AG294" t="n">
        <v>3</v>
      </c>
      <c r="AH294" t="n">
        <v>1</v>
      </c>
      <c r="AI294" t="n">
        <v>1</v>
      </c>
      <c r="AJ294" t="n">
        <v>6</v>
      </c>
      <c r="AK294" t="n">
        <v>6</v>
      </c>
      <c r="AL294" t="n">
        <v>4</v>
      </c>
      <c r="AM294" t="n">
        <v>4</v>
      </c>
      <c r="AN294" t="n">
        <v>0</v>
      </c>
      <c r="AO294" t="n">
        <v>0</v>
      </c>
      <c r="AP294" t="inlineStr">
        <is>
          <t>No</t>
        </is>
      </c>
      <c r="AQ294" t="inlineStr">
        <is>
          <t>No</t>
        </is>
      </c>
      <c r="AS294">
        <f>HYPERLINK("https://creighton-primo.hosted.exlibrisgroup.com/primo-explore/search?tab=default_tab&amp;search_scope=EVERYTHING&amp;vid=01CRU&amp;lang=en_US&amp;offset=0&amp;query=any,contains,991001438939702656","Catalog Record")</f>
        <v/>
      </c>
      <c r="AT294">
        <f>HYPERLINK("http://www.worldcat.org/oclc/19221466","WorldCat Record")</f>
        <v/>
      </c>
      <c r="AU294" t="inlineStr">
        <is>
          <t>21410680:eng</t>
        </is>
      </c>
      <c r="AV294" t="inlineStr">
        <is>
          <t>19221466</t>
        </is>
      </c>
      <c r="AW294" t="inlineStr">
        <is>
          <t>991001438939702656</t>
        </is>
      </c>
      <c r="AX294" t="inlineStr">
        <is>
          <t>991001438939702656</t>
        </is>
      </c>
      <c r="AY294" t="inlineStr">
        <is>
          <t>2257441710002656</t>
        </is>
      </c>
      <c r="AZ294" t="inlineStr">
        <is>
          <t>BOOK</t>
        </is>
      </c>
      <c r="BB294" t="inlineStr">
        <is>
          <t>9780801302336</t>
        </is>
      </c>
      <c r="BC294" t="inlineStr">
        <is>
          <t>32285000041045</t>
        </is>
      </c>
      <c r="BD294" t="inlineStr">
        <is>
          <t>893872532</t>
        </is>
      </c>
    </row>
    <row r="295">
      <c r="A295" t="inlineStr">
        <is>
          <t>No</t>
        </is>
      </c>
      <c r="B295" t="inlineStr">
        <is>
          <t>LB1027 .L616 1997</t>
        </is>
      </c>
      <c r="C295" t="inlineStr">
        <is>
          <t>0                      LB 1027000L  616         1997</t>
        </is>
      </c>
      <c r="D295" t="inlineStr">
        <is>
          <t>Teaching stories / Judy Logan ; afterword by Peggy McIntosh.</t>
        </is>
      </c>
      <c r="F295" t="inlineStr">
        <is>
          <t>No</t>
        </is>
      </c>
      <c r="G295" t="inlineStr">
        <is>
          <t>1</t>
        </is>
      </c>
      <c r="H295" t="inlineStr">
        <is>
          <t>No</t>
        </is>
      </c>
      <c r="I295" t="inlineStr">
        <is>
          <t>No</t>
        </is>
      </c>
      <c r="J295" t="inlineStr">
        <is>
          <t>0</t>
        </is>
      </c>
      <c r="K295" t="inlineStr">
        <is>
          <t>Logan, Judy.</t>
        </is>
      </c>
      <c r="L295" t="inlineStr">
        <is>
          <t>New York : Kodansha International, 1997.</t>
        </is>
      </c>
      <c r="M295" t="inlineStr">
        <is>
          <t>1997</t>
        </is>
      </c>
      <c r="O295" t="inlineStr">
        <is>
          <t>eng</t>
        </is>
      </c>
      <c r="P295" t="inlineStr">
        <is>
          <t>nyu</t>
        </is>
      </c>
      <c r="R295" t="inlineStr">
        <is>
          <t xml:space="preserve">LB </t>
        </is>
      </c>
      <c r="S295" t="n">
        <v>2</v>
      </c>
      <c r="T295" t="n">
        <v>2</v>
      </c>
      <c r="U295" t="inlineStr">
        <is>
          <t>2001-09-10</t>
        </is>
      </c>
      <c r="V295" t="inlineStr">
        <is>
          <t>2001-09-10</t>
        </is>
      </c>
      <c r="W295" t="inlineStr">
        <is>
          <t>1998-03-30</t>
        </is>
      </c>
      <c r="X295" t="inlineStr">
        <is>
          <t>1998-03-30</t>
        </is>
      </c>
      <c r="Y295" t="n">
        <v>213</v>
      </c>
      <c r="Z295" t="n">
        <v>201</v>
      </c>
      <c r="AA295" t="n">
        <v>280</v>
      </c>
      <c r="AB295" t="n">
        <v>4</v>
      </c>
      <c r="AC295" t="n">
        <v>4</v>
      </c>
      <c r="AD295" t="n">
        <v>6</v>
      </c>
      <c r="AE295" t="n">
        <v>6</v>
      </c>
      <c r="AF295" t="n">
        <v>1</v>
      </c>
      <c r="AG295" t="n">
        <v>1</v>
      </c>
      <c r="AH295" t="n">
        <v>1</v>
      </c>
      <c r="AI295" t="n">
        <v>1</v>
      </c>
      <c r="AJ295" t="n">
        <v>3</v>
      </c>
      <c r="AK295" t="n">
        <v>3</v>
      </c>
      <c r="AL295" t="n">
        <v>2</v>
      </c>
      <c r="AM295" t="n">
        <v>2</v>
      </c>
      <c r="AN295" t="n">
        <v>0</v>
      </c>
      <c r="AO295" t="n">
        <v>0</v>
      </c>
      <c r="AP295" t="inlineStr">
        <is>
          <t>No</t>
        </is>
      </c>
      <c r="AQ295" t="inlineStr">
        <is>
          <t>No</t>
        </is>
      </c>
      <c r="AS295">
        <f>HYPERLINK("https://creighton-primo.hosted.exlibrisgroup.com/primo-explore/search?tab=default_tab&amp;search_scope=EVERYTHING&amp;vid=01CRU&amp;lang=en_US&amp;offset=0&amp;query=any,contains,991002822449702656","Catalog Record")</f>
        <v/>
      </c>
      <c r="AT295">
        <f>HYPERLINK("http://www.worldcat.org/oclc/37141266","WorldCat Record")</f>
        <v/>
      </c>
      <c r="AU295" t="inlineStr">
        <is>
          <t>661584:eng</t>
        </is>
      </c>
      <c r="AV295" t="inlineStr">
        <is>
          <t>37141266</t>
        </is>
      </c>
      <c r="AW295" t="inlineStr">
        <is>
          <t>991002822449702656</t>
        </is>
      </c>
      <c r="AX295" t="inlineStr">
        <is>
          <t>991002822449702656</t>
        </is>
      </c>
      <c r="AY295" t="inlineStr">
        <is>
          <t>2267695960002656</t>
        </is>
      </c>
      <c r="AZ295" t="inlineStr">
        <is>
          <t>BOOK</t>
        </is>
      </c>
      <c r="BB295" t="inlineStr">
        <is>
          <t>9781568361956</t>
        </is>
      </c>
      <c r="BC295" t="inlineStr">
        <is>
          <t>32285003381588</t>
        </is>
      </c>
      <c r="BD295" t="inlineStr">
        <is>
          <t>893716962</t>
        </is>
      </c>
    </row>
    <row r="296">
      <c r="A296" t="inlineStr">
        <is>
          <t>No</t>
        </is>
      </c>
      <c r="B296" t="inlineStr">
        <is>
          <t>LB1027 .L68 1984</t>
        </is>
      </c>
      <c r="C296" t="inlineStr">
        <is>
          <t>0                      LB 1027000L  68          1984</t>
        </is>
      </c>
      <c r="D296" t="inlineStr">
        <is>
          <t>Tactics for teaching / Thomas C. Lovitt.</t>
        </is>
      </c>
      <c r="F296" t="inlineStr">
        <is>
          <t>No</t>
        </is>
      </c>
      <c r="G296" t="inlineStr">
        <is>
          <t>1</t>
        </is>
      </c>
      <c r="H296" t="inlineStr">
        <is>
          <t>No</t>
        </is>
      </c>
      <c r="I296" t="inlineStr">
        <is>
          <t>No</t>
        </is>
      </c>
      <c r="J296" t="inlineStr">
        <is>
          <t>0</t>
        </is>
      </c>
      <c r="K296" t="inlineStr">
        <is>
          <t>Lovitt, Thomas C.</t>
        </is>
      </c>
      <c r="L296" t="inlineStr">
        <is>
          <t>Columbus, Ohio : C.E. Merrill Pub. Co., c1984.</t>
        </is>
      </c>
      <c r="M296" t="inlineStr">
        <is>
          <t>1984</t>
        </is>
      </c>
      <c r="O296" t="inlineStr">
        <is>
          <t>eng</t>
        </is>
      </c>
      <c r="P296" t="inlineStr">
        <is>
          <t>ohu</t>
        </is>
      </c>
      <c r="R296" t="inlineStr">
        <is>
          <t xml:space="preserve">LB </t>
        </is>
      </c>
      <c r="S296" t="n">
        <v>5</v>
      </c>
      <c r="T296" t="n">
        <v>5</v>
      </c>
      <c r="U296" t="inlineStr">
        <is>
          <t>2006-09-20</t>
        </is>
      </c>
      <c r="V296" t="inlineStr">
        <is>
          <t>2006-09-20</t>
        </is>
      </c>
      <c r="W296" t="inlineStr">
        <is>
          <t>1992-10-21</t>
        </is>
      </c>
      <c r="X296" t="inlineStr">
        <is>
          <t>1992-10-21</t>
        </is>
      </c>
      <c r="Y296" t="n">
        <v>239</v>
      </c>
      <c r="Z296" t="n">
        <v>177</v>
      </c>
      <c r="AA296" t="n">
        <v>281</v>
      </c>
      <c r="AB296" t="n">
        <v>1</v>
      </c>
      <c r="AC296" t="n">
        <v>2</v>
      </c>
      <c r="AD296" t="n">
        <v>4</v>
      </c>
      <c r="AE296" t="n">
        <v>10</v>
      </c>
      <c r="AF296" t="n">
        <v>1</v>
      </c>
      <c r="AG296" t="n">
        <v>5</v>
      </c>
      <c r="AH296" t="n">
        <v>1</v>
      </c>
      <c r="AI296" t="n">
        <v>1</v>
      </c>
      <c r="AJ296" t="n">
        <v>3</v>
      </c>
      <c r="AK296" t="n">
        <v>8</v>
      </c>
      <c r="AL296" t="n">
        <v>0</v>
      </c>
      <c r="AM296" t="n">
        <v>1</v>
      </c>
      <c r="AN296" t="n">
        <v>0</v>
      </c>
      <c r="AO296" t="n">
        <v>0</v>
      </c>
      <c r="AP296" t="inlineStr">
        <is>
          <t>No</t>
        </is>
      </c>
      <c r="AQ296" t="inlineStr">
        <is>
          <t>No</t>
        </is>
      </c>
      <c r="AS296">
        <f>HYPERLINK("https://creighton-primo.hosted.exlibrisgroup.com/primo-explore/search?tab=default_tab&amp;search_scope=EVERYTHING&amp;vid=01CRU&amp;lang=en_US&amp;offset=0&amp;query=any,contains,991000389779702656","Catalog Record")</f>
        <v/>
      </c>
      <c r="AT296">
        <f>HYPERLINK("http://www.worldcat.org/oclc/10537143","WorldCat Record")</f>
        <v/>
      </c>
      <c r="AU296" t="inlineStr">
        <is>
          <t>3480857:eng</t>
        </is>
      </c>
      <c r="AV296" t="inlineStr">
        <is>
          <t>10537143</t>
        </is>
      </c>
      <c r="AW296" t="inlineStr">
        <is>
          <t>991000389779702656</t>
        </is>
      </c>
      <c r="AX296" t="inlineStr">
        <is>
          <t>991000389779702656</t>
        </is>
      </c>
      <c r="AY296" t="inlineStr">
        <is>
          <t>2256889210002656</t>
        </is>
      </c>
      <c r="AZ296" t="inlineStr">
        <is>
          <t>BOOK</t>
        </is>
      </c>
      <c r="BB296" t="inlineStr">
        <is>
          <t>9780675201339</t>
        </is>
      </c>
      <c r="BC296" t="inlineStr">
        <is>
          <t>32285001353183</t>
        </is>
      </c>
      <c r="BD296" t="inlineStr">
        <is>
          <t>893777893</t>
        </is>
      </c>
    </row>
    <row r="297">
      <c r="A297" t="inlineStr">
        <is>
          <t>No</t>
        </is>
      </c>
      <c r="B297" t="inlineStr">
        <is>
          <t>LB1027 .M224 1997</t>
        </is>
      </c>
      <c r="C297" t="inlineStr">
        <is>
          <t>0                      LB 1027000M  224         1997</t>
        </is>
      </c>
      <c r="D297" t="inlineStr">
        <is>
          <t>The learner-centered classroom and school : strategies for increasing student motivation and achievement / Barbara L. McCombs, Jo Sue Whisler.</t>
        </is>
      </c>
      <c r="F297" t="inlineStr">
        <is>
          <t>No</t>
        </is>
      </c>
      <c r="G297" t="inlineStr">
        <is>
          <t>1</t>
        </is>
      </c>
      <c r="H297" t="inlineStr">
        <is>
          <t>No</t>
        </is>
      </c>
      <c r="I297" t="inlineStr">
        <is>
          <t>No</t>
        </is>
      </c>
      <c r="J297" t="inlineStr">
        <is>
          <t>0</t>
        </is>
      </c>
      <c r="K297" t="inlineStr">
        <is>
          <t>McCombs, Barbara L.</t>
        </is>
      </c>
      <c r="L297" t="inlineStr">
        <is>
          <t>San Francisco : Jossey-Bass, c1997.</t>
        </is>
      </c>
      <c r="M297" t="inlineStr">
        <is>
          <t>1997</t>
        </is>
      </c>
      <c r="N297" t="inlineStr">
        <is>
          <t>1st ed.</t>
        </is>
      </c>
      <c r="O297" t="inlineStr">
        <is>
          <t>eng</t>
        </is>
      </c>
      <c r="P297" t="inlineStr">
        <is>
          <t>cau</t>
        </is>
      </c>
      <c r="Q297" t="inlineStr">
        <is>
          <t>Jossey-Bass education series</t>
        </is>
      </c>
      <c r="R297" t="inlineStr">
        <is>
          <t xml:space="preserve">LB </t>
        </is>
      </c>
      <c r="S297" t="n">
        <v>8</v>
      </c>
      <c r="T297" t="n">
        <v>8</v>
      </c>
      <c r="U297" t="inlineStr">
        <is>
          <t>2010-04-11</t>
        </is>
      </c>
      <c r="V297" t="inlineStr">
        <is>
          <t>2010-04-11</t>
        </is>
      </c>
      <c r="W297" t="inlineStr">
        <is>
          <t>1997-05-15</t>
        </is>
      </c>
      <c r="X297" t="inlineStr">
        <is>
          <t>1997-05-15</t>
        </is>
      </c>
      <c r="Y297" t="n">
        <v>664</v>
      </c>
      <c r="Z297" t="n">
        <v>577</v>
      </c>
      <c r="AA297" t="n">
        <v>584</v>
      </c>
      <c r="AB297" t="n">
        <v>7</v>
      </c>
      <c r="AC297" t="n">
        <v>7</v>
      </c>
      <c r="AD297" t="n">
        <v>30</v>
      </c>
      <c r="AE297" t="n">
        <v>30</v>
      </c>
      <c r="AF297" t="n">
        <v>16</v>
      </c>
      <c r="AG297" t="n">
        <v>16</v>
      </c>
      <c r="AH297" t="n">
        <v>4</v>
      </c>
      <c r="AI297" t="n">
        <v>4</v>
      </c>
      <c r="AJ297" t="n">
        <v>13</v>
      </c>
      <c r="AK297" t="n">
        <v>13</v>
      </c>
      <c r="AL297" t="n">
        <v>5</v>
      </c>
      <c r="AM297" t="n">
        <v>5</v>
      </c>
      <c r="AN297" t="n">
        <v>0</v>
      </c>
      <c r="AO297" t="n">
        <v>0</v>
      </c>
      <c r="AP297" t="inlineStr">
        <is>
          <t>No</t>
        </is>
      </c>
      <c r="AQ297" t="inlineStr">
        <is>
          <t>Yes</t>
        </is>
      </c>
      <c r="AR297">
        <f>HYPERLINK("http://catalog.hathitrust.org/Record/003162000","HathiTrust Record")</f>
        <v/>
      </c>
      <c r="AS297">
        <f>HYPERLINK("https://creighton-primo.hosted.exlibrisgroup.com/primo-explore/search?tab=default_tab&amp;search_scope=EVERYTHING&amp;vid=01CRU&amp;lang=en_US&amp;offset=0&amp;query=any,contains,991002754469702656","Catalog Record")</f>
        <v/>
      </c>
      <c r="AT297">
        <f>HYPERLINK("http://www.worldcat.org/oclc/36133309","WorldCat Record")</f>
        <v/>
      </c>
      <c r="AU297" t="inlineStr">
        <is>
          <t>308632770:eng</t>
        </is>
      </c>
      <c r="AV297" t="inlineStr">
        <is>
          <t>36133309</t>
        </is>
      </c>
      <c r="AW297" t="inlineStr">
        <is>
          <t>991002754469702656</t>
        </is>
      </c>
      <c r="AX297" t="inlineStr">
        <is>
          <t>991002754469702656</t>
        </is>
      </c>
      <c r="AY297" t="inlineStr">
        <is>
          <t>2261912080002656</t>
        </is>
      </c>
      <c r="AZ297" t="inlineStr">
        <is>
          <t>BOOK</t>
        </is>
      </c>
      <c r="BB297" t="inlineStr">
        <is>
          <t>9780787908362</t>
        </is>
      </c>
      <c r="BC297" t="inlineStr">
        <is>
          <t>32285002608742</t>
        </is>
      </c>
      <c r="BD297" t="inlineStr">
        <is>
          <t>893530427</t>
        </is>
      </c>
    </row>
    <row r="298">
      <c r="A298" t="inlineStr">
        <is>
          <t>No</t>
        </is>
      </c>
      <c r="B298" t="inlineStr">
        <is>
          <t>LB1027 .M368 1990</t>
        </is>
      </c>
      <c r="C298" t="inlineStr">
        <is>
          <t>0                      LB 1027000M  368         1990</t>
        </is>
      </c>
      <c r="D298" t="inlineStr">
        <is>
          <t>Magic and showmanship for teachers / Alan J. McCormack ; illustrations by Marilyn Blackmer.</t>
        </is>
      </c>
      <c r="F298" t="inlineStr">
        <is>
          <t>No</t>
        </is>
      </c>
      <c r="G298" t="inlineStr">
        <is>
          <t>1</t>
        </is>
      </c>
      <c r="H298" t="inlineStr">
        <is>
          <t>No</t>
        </is>
      </c>
      <c r="I298" t="inlineStr">
        <is>
          <t>No</t>
        </is>
      </c>
      <c r="J298" t="inlineStr">
        <is>
          <t>0</t>
        </is>
      </c>
      <c r="K298" t="inlineStr">
        <is>
          <t>McCormack, Alan J.</t>
        </is>
      </c>
      <c r="L298" t="inlineStr">
        <is>
          <t>Riverview, Fla. : Idea Factory, c1990.</t>
        </is>
      </c>
      <c r="M298" t="inlineStr">
        <is>
          <t>1990</t>
        </is>
      </c>
      <c r="O298" t="inlineStr">
        <is>
          <t>eng</t>
        </is>
      </c>
      <c r="P298" t="inlineStr">
        <is>
          <t>flu</t>
        </is>
      </c>
      <c r="R298" t="inlineStr">
        <is>
          <t xml:space="preserve">LB </t>
        </is>
      </c>
      <c r="S298" t="n">
        <v>3</v>
      </c>
      <c r="T298" t="n">
        <v>3</v>
      </c>
      <c r="U298" t="inlineStr">
        <is>
          <t>2004-03-30</t>
        </is>
      </c>
      <c r="V298" t="inlineStr">
        <is>
          <t>2004-03-30</t>
        </is>
      </c>
      <c r="W298" t="inlineStr">
        <is>
          <t>1997-03-11</t>
        </is>
      </c>
      <c r="X298" t="inlineStr">
        <is>
          <t>1997-03-11</t>
        </is>
      </c>
      <c r="Y298" t="n">
        <v>73</v>
      </c>
      <c r="Z298" t="n">
        <v>58</v>
      </c>
      <c r="AA298" t="n">
        <v>59</v>
      </c>
      <c r="AB298" t="n">
        <v>3</v>
      </c>
      <c r="AC298" t="n">
        <v>3</v>
      </c>
      <c r="AD298" t="n">
        <v>3</v>
      </c>
      <c r="AE298" t="n">
        <v>3</v>
      </c>
      <c r="AF298" t="n">
        <v>2</v>
      </c>
      <c r="AG298" t="n">
        <v>2</v>
      </c>
      <c r="AH298" t="n">
        <v>1</v>
      </c>
      <c r="AI298" t="n">
        <v>1</v>
      </c>
      <c r="AJ298" t="n">
        <v>0</v>
      </c>
      <c r="AK298" t="n">
        <v>0</v>
      </c>
      <c r="AL298" t="n">
        <v>1</v>
      </c>
      <c r="AM298" t="n">
        <v>1</v>
      </c>
      <c r="AN298" t="n">
        <v>0</v>
      </c>
      <c r="AO298" t="n">
        <v>0</v>
      </c>
      <c r="AP298" t="inlineStr">
        <is>
          <t>No</t>
        </is>
      </c>
      <c r="AQ298" t="inlineStr">
        <is>
          <t>No</t>
        </is>
      </c>
      <c r="AS298">
        <f>HYPERLINK("https://creighton-primo.hosted.exlibrisgroup.com/primo-explore/search?tab=default_tab&amp;search_scope=EVERYTHING&amp;vid=01CRU&amp;lang=en_US&amp;offset=0&amp;query=any,contains,991001698569702656","Catalog Record")</f>
        <v/>
      </c>
      <c r="AT298">
        <f>HYPERLINK("http://www.worldcat.org/oclc/21518929","WorldCat Record")</f>
        <v/>
      </c>
      <c r="AU298" t="inlineStr">
        <is>
          <t>23115776:eng</t>
        </is>
      </c>
      <c r="AV298" t="inlineStr">
        <is>
          <t>21518929</t>
        </is>
      </c>
      <c r="AW298" t="inlineStr">
        <is>
          <t>991001698569702656</t>
        </is>
      </c>
      <c r="AX298" t="inlineStr">
        <is>
          <t>991001698569702656</t>
        </is>
      </c>
      <c r="AY298" t="inlineStr">
        <is>
          <t>2267658900002656</t>
        </is>
      </c>
      <c r="AZ298" t="inlineStr">
        <is>
          <t>BOOK</t>
        </is>
      </c>
      <c r="BB298" t="inlineStr">
        <is>
          <t>9781885041050</t>
        </is>
      </c>
      <c r="BC298" t="inlineStr">
        <is>
          <t>32285002441474</t>
        </is>
      </c>
      <c r="BD298" t="inlineStr">
        <is>
          <t>893439333</t>
        </is>
      </c>
    </row>
    <row r="299">
      <c r="A299" t="inlineStr">
        <is>
          <t>No</t>
        </is>
      </c>
      <c r="B299" t="inlineStr">
        <is>
          <t>LB1027 .M428 1985</t>
        </is>
      </c>
      <c r="C299" t="inlineStr">
        <is>
          <t>0                      LB 1027000M  428         1985</t>
        </is>
      </c>
      <c r="D299" t="inlineStr">
        <is>
          <t>Teaching students with learning problems / Cecil D. Mercer, Ann R. Mercer.</t>
        </is>
      </c>
      <c r="F299" t="inlineStr">
        <is>
          <t>No</t>
        </is>
      </c>
      <c r="G299" t="inlineStr">
        <is>
          <t>1</t>
        </is>
      </c>
      <c r="H299" t="inlineStr">
        <is>
          <t>No</t>
        </is>
      </c>
      <c r="I299" t="inlineStr">
        <is>
          <t>No</t>
        </is>
      </c>
      <c r="J299" t="inlineStr">
        <is>
          <t>0</t>
        </is>
      </c>
      <c r="K299" t="inlineStr">
        <is>
          <t>Mercer, Cecil D.</t>
        </is>
      </c>
      <c r="L299" t="inlineStr">
        <is>
          <t>Columbus, Ohio : C.E. Merrill Pub. Co., c1985.</t>
        </is>
      </c>
      <c r="M299" t="inlineStr">
        <is>
          <t>1985</t>
        </is>
      </c>
      <c r="N299" t="inlineStr">
        <is>
          <t>2nd ed.</t>
        </is>
      </c>
      <c r="O299" t="inlineStr">
        <is>
          <t>eng</t>
        </is>
      </c>
      <c r="P299" t="inlineStr">
        <is>
          <t>ohu</t>
        </is>
      </c>
      <c r="R299" t="inlineStr">
        <is>
          <t xml:space="preserve">LB </t>
        </is>
      </c>
      <c r="S299" t="n">
        <v>2</v>
      </c>
      <c r="T299" t="n">
        <v>2</v>
      </c>
      <c r="U299" t="inlineStr">
        <is>
          <t>1997-04-23</t>
        </is>
      </c>
      <c r="V299" t="inlineStr">
        <is>
          <t>1997-04-23</t>
        </is>
      </c>
      <c r="W299" t="inlineStr">
        <is>
          <t>1992-11-01</t>
        </is>
      </c>
      <c r="X299" t="inlineStr">
        <is>
          <t>1992-11-01</t>
        </is>
      </c>
      <c r="Y299" t="n">
        <v>161</v>
      </c>
      <c r="Z299" t="n">
        <v>131</v>
      </c>
      <c r="AA299" t="n">
        <v>742</v>
      </c>
      <c r="AB299" t="n">
        <v>3</v>
      </c>
      <c r="AC299" t="n">
        <v>6</v>
      </c>
      <c r="AD299" t="n">
        <v>6</v>
      </c>
      <c r="AE299" t="n">
        <v>31</v>
      </c>
      <c r="AF299" t="n">
        <v>1</v>
      </c>
      <c r="AG299" t="n">
        <v>12</v>
      </c>
      <c r="AH299" t="n">
        <v>1</v>
      </c>
      <c r="AI299" t="n">
        <v>7</v>
      </c>
      <c r="AJ299" t="n">
        <v>3</v>
      </c>
      <c r="AK299" t="n">
        <v>16</v>
      </c>
      <c r="AL299" t="n">
        <v>2</v>
      </c>
      <c r="AM299" t="n">
        <v>5</v>
      </c>
      <c r="AN299" t="n">
        <v>0</v>
      </c>
      <c r="AO299" t="n">
        <v>0</v>
      </c>
      <c r="AP299" t="inlineStr">
        <is>
          <t>No</t>
        </is>
      </c>
      <c r="AQ299" t="inlineStr">
        <is>
          <t>No</t>
        </is>
      </c>
      <c r="AS299">
        <f>HYPERLINK("https://creighton-primo.hosted.exlibrisgroup.com/primo-explore/search?tab=default_tab&amp;search_scope=EVERYTHING&amp;vid=01CRU&amp;lang=en_US&amp;offset=0&amp;query=any,contains,991000587219702656","Catalog Record")</f>
        <v/>
      </c>
      <c r="AT299">
        <f>HYPERLINK("http://www.worldcat.org/oclc/11766487","WorldCat Record")</f>
        <v/>
      </c>
      <c r="AU299" t="inlineStr">
        <is>
          <t>984187:eng</t>
        </is>
      </c>
      <c r="AV299" t="inlineStr">
        <is>
          <t>11766487</t>
        </is>
      </c>
      <c r="AW299" t="inlineStr">
        <is>
          <t>991000587219702656</t>
        </is>
      </c>
      <c r="AX299" t="inlineStr">
        <is>
          <t>991000587219702656</t>
        </is>
      </c>
      <c r="AY299" t="inlineStr">
        <is>
          <t>2267156980002656</t>
        </is>
      </c>
      <c r="AZ299" t="inlineStr">
        <is>
          <t>BOOK</t>
        </is>
      </c>
      <c r="BC299" t="inlineStr">
        <is>
          <t>32285001380046</t>
        </is>
      </c>
      <c r="BD299" t="inlineStr">
        <is>
          <t>893419597</t>
        </is>
      </c>
    </row>
    <row r="300">
      <c r="A300" t="inlineStr">
        <is>
          <t>No</t>
        </is>
      </c>
      <c r="B300" t="inlineStr">
        <is>
          <t>LB1027 .R445 1978</t>
        </is>
      </c>
      <c r="C300" t="inlineStr">
        <is>
          <t>0                      LB 1027000R  445         1978</t>
        </is>
      </c>
      <c r="D300" t="inlineStr">
        <is>
          <t>Educational reform for a changing society : anticipating tomorrow's schools / Research for Better Schools, inc. ; edited by Louis Rubin.</t>
        </is>
      </c>
      <c r="F300" t="inlineStr">
        <is>
          <t>No</t>
        </is>
      </c>
      <c r="G300" t="inlineStr">
        <is>
          <t>1</t>
        </is>
      </c>
      <c r="H300" t="inlineStr">
        <is>
          <t>No</t>
        </is>
      </c>
      <c r="I300" t="inlineStr">
        <is>
          <t>No</t>
        </is>
      </c>
      <c r="J300" t="inlineStr">
        <is>
          <t>0</t>
        </is>
      </c>
      <c r="K300" t="inlineStr">
        <is>
          <t>Research for Better Schools, inc.</t>
        </is>
      </c>
      <c r="L300" t="inlineStr">
        <is>
          <t>Boston : Allyn and Bacon, c1978.</t>
        </is>
      </c>
      <c r="M300" t="inlineStr">
        <is>
          <t>1978</t>
        </is>
      </c>
      <c r="O300" t="inlineStr">
        <is>
          <t>eng</t>
        </is>
      </c>
      <c r="P300" t="inlineStr">
        <is>
          <t>mau</t>
        </is>
      </c>
      <c r="R300" t="inlineStr">
        <is>
          <t xml:space="preserve">LB </t>
        </is>
      </c>
      <c r="S300" t="n">
        <v>1</v>
      </c>
      <c r="T300" t="n">
        <v>1</v>
      </c>
      <c r="U300" t="inlineStr">
        <is>
          <t>2010-04-11</t>
        </is>
      </c>
      <c r="V300" t="inlineStr">
        <is>
          <t>2010-04-11</t>
        </is>
      </c>
      <c r="W300" t="inlineStr">
        <is>
          <t>1997-04-28</t>
        </is>
      </c>
      <c r="X300" t="inlineStr">
        <is>
          <t>1997-04-28</t>
        </is>
      </c>
      <c r="Y300" t="n">
        <v>360</v>
      </c>
      <c r="Z300" t="n">
        <v>298</v>
      </c>
      <c r="AA300" t="n">
        <v>304</v>
      </c>
      <c r="AB300" t="n">
        <v>5</v>
      </c>
      <c r="AC300" t="n">
        <v>5</v>
      </c>
      <c r="AD300" t="n">
        <v>14</v>
      </c>
      <c r="AE300" t="n">
        <v>14</v>
      </c>
      <c r="AF300" t="n">
        <v>3</v>
      </c>
      <c r="AG300" t="n">
        <v>3</v>
      </c>
      <c r="AH300" t="n">
        <v>4</v>
      </c>
      <c r="AI300" t="n">
        <v>4</v>
      </c>
      <c r="AJ300" t="n">
        <v>6</v>
      </c>
      <c r="AK300" t="n">
        <v>6</v>
      </c>
      <c r="AL300" t="n">
        <v>4</v>
      </c>
      <c r="AM300" t="n">
        <v>4</v>
      </c>
      <c r="AN300" t="n">
        <v>0</v>
      </c>
      <c r="AO300" t="n">
        <v>0</v>
      </c>
      <c r="AP300" t="inlineStr">
        <is>
          <t>No</t>
        </is>
      </c>
      <c r="AQ300" t="inlineStr">
        <is>
          <t>Yes</t>
        </is>
      </c>
      <c r="AR300">
        <f>HYPERLINK("http://catalog.hathitrust.org/Record/003921883","HathiTrust Record")</f>
        <v/>
      </c>
      <c r="AS300">
        <f>HYPERLINK("https://creighton-primo.hosted.exlibrisgroup.com/primo-explore/search?tab=default_tab&amp;search_scope=EVERYTHING&amp;vid=01CRU&amp;lang=en_US&amp;offset=0&amp;query=any,contains,991004361799702656","Catalog Record")</f>
        <v/>
      </c>
      <c r="AT300">
        <f>HYPERLINK("http://www.worldcat.org/oclc/3167866","WorldCat Record")</f>
        <v/>
      </c>
      <c r="AU300" t="inlineStr">
        <is>
          <t>8126972:eng</t>
        </is>
      </c>
      <c r="AV300" t="inlineStr">
        <is>
          <t>3167866</t>
        </is>
      </c>
      <c r="AW300" t="inlineStr">
        <is>
          <t>991004361799702656</t>
        </is>
      </c>
      <c r="AX300" t="inlineStr">
        <is>
          <t>991004361799702656</t>
        </is>
      </c>
      <c r="AY300" t="inlineStr">
        <is>
          <t>2262194050002656</t>
        </is>
      </c>
      <c r="AZ300" t="inlineStr">
        <is>
          <t>BOOK</t>
        </is>
      </c>
      <c r="BB300" t="inlineStr">
        <is>
          <t>9780205058273</t>
        </is>
      </c>
      <c r="BC300" t="inlineStr">
        <is>
          <t>32285002599842</t>
        </is>
      </c>
      <c r="BD300" t="inlineStr">
        <is>
          <t>893782152</t>
        </is>
      </c>
    </row>
    <row r="301">
      <c r="A301" t="inlineStr">
        <is>
          <t>No</t>
        </is>
      </c>
      <c r="B301" t="inlineStr">
        <is>
          <t>LB1027 .R513 1981</t>
        </is>
      </c>
      <c r="C301" t="inlineStr">
        <is>
          <t>0                      LB 1027000R  513         1981</t>
        </is>
      </c>
      <c r="D301" t="inlineStr">
        <is>
          <t>Innovations in education : reformers and their critics / John Martin Rich.</t>
        </is>
      </c>
      <c r="F301" t="inlineStr">
        <is>
          <t>No</t>
        </is>
      </c>
      <c r="G301" t="inlineStr">
        <is>
          <t>1</t>
        </is>
      </c>
      <c r="H301" t="inlineStr">
        <is>
          <t>No</t>
        </is>
      </c>
      <c r="I301" t="inlineStr">
        <is>
          <t>No</t>
        </is>
      </c>
      <c r="J301" t="inlineStr">
        <is>
          <t>0</t>
        </is>
      </c>
      <c r="K301" t="inlineStr">
        <is>
          <t>Rich, John Martin compiler.</t>
        </is>
      </c>
      <c r="L301" t="inlineStr">
        <is>
          <t>Boston : Allyn and Bacon, c1981.</t>
        </is>
      </c>
      <c r="M301" t="inlineStr">
        <is>
          <t>1981</t>
        </is>
      </c>
      <c r="N301" t="inlineStr">
        <is>
          <t>3d ed.</t>
        </is>
      </c>
      <c r="O301" t="inlineStr">
        <is>
          <t>eng</t>
        </is>
      </c>
      <c r="P301" t="inlineStr">
        <is>
          <t>mau</t>
        </is>
      </c>
      <c r="R301" t="inlineStr">
        <is>
          <t xml:space="preserve">LB </t>
        </is>
      </c>
      <c r="S301" t="n">
        <v>1</v>
      </c>
      <c r="T301" t="n">
        <v>1</v>
      </c>
      <c r="U301" t="inlineStr">
        <is>
          <t>2000-06-22</t>
        </is>
      </c>
      <c r="V301" t="inlineStr">
        <is>
          <t>2000-06-22</t>
        </is>
      </c>
      <c r="W301" t="inlineStr">
        <is>
          <t>1992-10-21</t>
        </is>
      </c>
      <c r="X301" t="inlineStr">
        <is>
          <t>1992-10-21</t>
        </is>
      </c>
      <c r="Y301" t="n">
        <v>286</v>
      </c>
      <c r="Z301" t="n">
        <v>223</v>
      </c>
      <c r="AA301" t="n">
        <v>738</v>
      </c>
      <c r="AB301" t="n">
        <v>2</v>
      </c>
      <c r="AC301" t="n">
        <v>7</v>
      </c>
      <c r="AD301" t="n">
        <v>11</v>
      </c>
      <c r="AE301" t="n">
        <v>41</v>
      </c>
      <c r="AF301" t="n">
        <v>5</v>
      </c>
      <c r="AG301" t="n">
        <v>19</v>
      </c>
      <c r="AH301" t="n">
        <v>2</v>
      </c>
      <c r="AI301" t="n">
        <v>7</v>
      </c>
      <c r="AJ301" t="n">
        <v>4</v>
      </c>
      <c r="AK301" t="n">
        <v>19</v>
      </c>
      <c r="AL301" t="n">
        <v>1</v>
      </c>
      <c r="AM301" t="n">
        <v>6</v>
      </c>
      <c r="AN301" t="n">
        <v>0</v>
      </c>
      <c r="AO301" t="n">
        <v>0</v>
      </c>
      <c r="AP301" t="inlineStr">
        <is>
          <t>No</t>
        </is>
      </c>
      <c r="AQ301" t="inlineStr">
        <is>
          <t>No</t>
        </is>
      </c>
      <c r="AS301">
        <f>HYPERLINK("https://creighton-primo.hosted.exlibrisgroup.com/primo-explore/search?tab=default_tab&amp;search_scope=EVERYTHING&amp;vid=01CRU&amp;lang=en_US&amp;offset=0&amp;query=any,contains,991004955179702656","Catalog Record")</f>
        <v/>
      </c>
      <c r="AT301">
        <f>HYPERLINK("http://www.worldcat.org/oclc/6277760","WorldCat Record")</f>
        <v/>
      </c>
      <c r="AU301" t="inlineStr">
        <is>
          <t>836661719:eng</t>
        </is>
      </c>
      <c r="AV301" t="inlineStr">
        <is>
          <t>6277760</t>
        </is>
      </c>
      <c r="AW301" t="inlineStr">
        <is>
          <t>991004955179702656</t>
        </is>
      </c>
      <c r="AX301" t="inlineStr">
        <is>
          <t>991004955179702656</t>
        </is>
      </c>
      <c r="AY301" t="inlineStr">
        <is>
          <t>2268714810002656</t>
        </is>
      </c>
      <c r="AZ301" t="inlineStr">
        <is>
          <t>BOOK</t>
        </is>
      </c>
      <c r="BB301" t="inlineStr">
        <is>
          <t>9780205071418</t>
        </is>
      </c>
      <c r="BC301" t="inlineStr">
        <is>
          <t>32285001353266</t>
        </is>
      </c>
      <c r="BD301" t="inlineStr">
        <is>
          <t>893350543</t>
        </is>
      </c>
    </row>
    <row r="302">
      <c r="A302" t="inlineStr">
        <is>
          <t>No</t>
        </is>
      </c>
      <c r="B302" t="inlineStr">
        <is>
          <t>LB1027 .S475 2004</t>
        </is>
      </c>
      <c r="C302" t="inlineStr">
        <is>
          <t>0                      LB 1027000S  475         2004</t>
        </is>
      </c>
      <c r="D302" t="inlineStr">
        <is>
          <t>The wisdom of practice : essays on teaching, learning, and learning to teach / Lee S. Shulman ; edited by Suzanne M. Wilson ; foreword by Pat Hutchings.</t>
        </is>
      </c>
      <c r="F302" t="inlineStr">
        <is>
          <t>No</t>
        </is>
      </c>
      <c r="G302" t="inlineStr">
        <is>
          <t>1</t>
        </is>
      </c>
      <c r="H302" t="inlineStr">
        <is>
          <t>No</t>
        </is>
      </c>
      <c r="I302" t="inlineStr">
        <is>
          <t>No</t>
        </is>
      </c>
      <c r="J302" t="inlineStr">
        <is>
          <t>0</t>
        </is>
      </c>
      <c r="K302" t="inlineStr">
        <is>
          <t>Shulman, Lee S.</t>
        </is>
      </c>
      <c r="L302" t="inlineStr">
        <is>
          <t>San Francisco : Jossey-Bass, c2004.</t>
        </is>
      </c>
      <c r="M302" t="inlineStr">
        <is>
          <t>2004</t>
        </is>
      </c>
      <c r="N302" t="inlineStr">
        <is>
          <t>1st ed.</t>
        </is>
      </c>
      <c r="O302" t="inlineStr">
        <is>
          <t>eng</t>
        </is>
      </c>
      <c r="P302" t="inlineStr">
        <is>
          <t>cau</t>
        </is>
      </c>
      <c r="R302" t="inlineStr">
        <is>
          <t xml:space="preserve">LB </t>
        </is>
      </c>
      <c r="S302" t="n">
        <v>1</v>
      </c>
      <c r="T302" t="n">
        <v>1</v>
      </c>
      <c r="U302" t="inlineStr">
        <is>
          <t>2008-06-02</t>
        </is>
      </c>
      <c r="V302" t="inlineStr">
        <is>
          <t>2008-06-02</t>
        </is>
      </c>
      <c r="W302" t="inlineStr">
        <is>
          <t>2008-06-02</t>
        </is>
      </c>
      <c r="X302" t="inlineStr">
        <is>
          <t>2008-06-02</t>
        </is>
      </c>
      <c r="Y302" t="n">
        <v>735</v>
      </c>
      <c r="Z302" t="n">
        <v>578</v>
      </c>
      <c r="AA302" t="n">
        <v>580</v>
      </c>
      <c r="AB302" t="n">
        <v>3</v>
      </c>
      <c r="AC302" t="n">
        <v>3</v>
      </c>
      <c r="AD302" t="n">
        <v>31</v>
      </c>
      <c r="AE302" t="n">
        <v>31</v>
      </c>
      <c r="AF302" t="n">
        <v>15</v>
      </c>
      <c r="AG302" t="n">
        <v>15</v>
      </c>
      <c r="AH302" t="n">
        <v>6</v>
      </c>
      <c r="AI302" t="n">
        <v>6</v>
      </c>
      <c r="AJ302" t="n">
        <v>17</v>
      </c>
      <c r="AK302" t="n">
        <v>17</v>
      </c>
      <c r="AL302" t="n">
        <v>2</v>
      </c>
      <c r="AM302" t="n">
        <v>2</v>
      </c>
      <c r="AN302" t="n">
        <v>0</v>
      </c>
      <c r="AO302" t="n">
        <v>0</v>
      </c>
      <c r="AP302" t="inlineStr">
        <is>
          <t>No</t>
        </is>
      </c>
      <c r="AQ302" t="inlineStr">
        <is>
          <t>Yes</t>
        </is>
      </c>
      <c r="AR302">
        <f>HYPERLINK("http://catalog.hathitrust.org/Record/004372700","HathiTrust Record")</f>
        <v/>
      </c>
      <c r="AS302">
        <f>HYPERLINK("https://creighton-primo.hosted.exlibrisgroup.com/primo-explore/search?tab=default_tab&amp;search_scope=EVERYTHING&amp;vid=01CRU&amp;lang=en_US&amp;offset=0&amp;query=any,contains,991005220029702656","Catalog Record")</f>
        <v/>
      </c>
      <c r="AT302">
        <f>HYPERLINK("http://www.worldcat.org/oclc/53485175","WorldCat Record")</f>
        <v/>
      </c>
      <c r="AU302" t="inlineStr">
        <is>
          <t>796375939:eng</t>
        </is>
      </c>
      <c r="AV302" t="inlineStr">
        <is>
          <t>53485175</t>
        </is>
      </c>
      <c r="AW302" t="inlineStr">
        <is>
          <t>991005220029702656</t>
        </is>
      </c>
      <c r="AX302" t="inlineStr">
        <is>
          <t>991005220029702656</t>
        </is>
      </c>
      <c r="AY302" t="inlineStr">
        <is>
          <t>2267869770002656</t>
        </is>
      </c>
      <c r="AZ302" t="inlineStr">
        <is>
          <t>BOOK</t>
        </is>
      </c>
      <c r="BB302" t="inlineStr">
        <is>
          <t>9780787972004</t>
        </is>
      </c>
      <c r="BC302" t="inlineStr">
        <is>
          <t>32285005441166</t>
        </is>
      </c>
      <c r="BD302" t="inlineStr">
        <is>
          <t>893713662</t>
        </is>
      </c>
    </row>
    <row r="303">
      <c r="A303" t="inlineStr">
        <is>
          <t>No</t>
        </is>
      </c>
      <c r="B303" t="inlineStr">
        <is>
          <t>LB1027 .T29 1987</t>
        </is>
      </c>
      <c r="C303" t="inlineStr">
        <is>
          <t>0                      LB 1027000T  29          1987</t>
        </is>
      </c>
      <c r="D303" t="inlineStr">
        <is>
          <t>Taking charge of change / Shirley M. Hord ... [et al.].</t>
        </is>
      </c>
      <c r="F303" t="inlineStr">
        <is>
          <t>No</t>
        </is>
      </c>
      <c r="G303" t="inlineStr">
        <is>
          <t>1</t>
        </is>
      </c>
      <c r="H303" t="inlineStr">
        <is>
          <t>No</t>
        </is>
      </c>
      <c r="I303" t="inlineStr">
        <is>
          <t>No</t>
        </is>
      </c>
      <c r="J303" t="inlineStr">
        <is>
          <t>0</t>
        </is>
      </c>
      <c r="L303" t="inlineStr">
        <is>
          <t>Alexandria, Va. : Association for Supervision and Curriculum Development, c1987.</t>
        </is>
      </c>
      <c r="M303" t="inlineStr">
        <is>
          <t>1987</t>
        </is>
      </c>
      <c r="O303" t="inlineStr">
        <is>
          <t>eng</t>
        </is>
      </c>
      <c r="P303" t="inlineStr">
        <is>
          <t>vau</t>
        </is>
      </c>
      <c r="R303" t="inlineStr">
        <is>
          <t xml:space="preserve">LB </t>
        </is>
      </c>
      <c r="S303" t="n">
        <v>5</v>
      </c>
      <c r="T303" t="n">
        <v>5</v>
      </c>
      <c r="U303" t="inlineStr">
        <is>
          <t>2003-03-29</t>
        </is>
      </c>
      <c r="V303" t="inlineStr">
        <is>
          <t>2003-03-29</t>
        </is>
      </c>
      <c r="W303" t="inlineStr">
        <is>
          <t>1992-10-21</t>
        </is>
      </c>
      <c r="X303" t="inlineStr">
        <is>
          <t>1992-10-21</t>
        </is>
      </c>
      <c r="Y303" t="n">
        <v>474</v>
      </c>
      <c r="Z303" t="n">
        <v>428</v>
      </c>
      <c r="AA303" t="n">
        <v>436</v>
      </c>
      <c r="AB303" t="n">
        <v>5</v>
      </c>
      <c r="AC303" t="n">
        <v>5</v>
      </c>
      <c r="AD303" t="n">
        <v>20</v>
      </c>
      <c r="AE303" t="n">
        <v>20</v>
      </c>
      <c r="AF303" t="n">
        <v>9</v>
      </c>
      <c r="AG303" t="n">
        <v>9</v>
      </c>
      <c r="AH303" t="n">
        <v>4</v>
      </c>
      <c r="AI303" t="n">
        <v>4</v>
      </c>
      <c r="AJ303" t="n">
        <v>11</v>
      </c>
      <c r="AK303" t="n">
        <v>11</v>
      </c>
      <c r="AL303" t="n">
        <v>4</v>
      </c>
      <c r="AM303" t="n">
        <v>4</v>
      </c>
      <c r="AN303" t="n">
        <v>0</v>
      </c>
      <c r="AO303" t="n">
        <v>0</v>
      </c>
      <c r="AP303" t="inlineStr">
        <is>
          <t>No</t>
        </is>
      </c>
      <c r="AQ303" t="inlineStr">
        <is>
          <t>No</t>
        </is>
      </c>
      <c r="AS303">
        <f>HYPERLINK("https://creighton-primo.hosted.exlibrisgroup.com/primo-explore/search?tab=default_tab&amp;search_scope=EVERYTHING&amp;vid=01CRU&amp;lang=en_US&amp;offset=0&amp;query=any,contains,991001090059702656","Catalog Record")</f>
        <v/>
      </c>
      <c r="AT303">
        <f>HYPERLINK("http://www.worldcat.org/oclc/16199168","WorldCat Record")</f>
        <v/>
      </c>
      <c r="AU303" t="inlineStr">
        <is>
          <t>355908315:eng</t>
        </is>
      </c>
      <c r="AV303" t="inlineStr">
        <is>
          <t>16199168</t>
        </is>
      </c>
      <c r="AW303" t="inlineStr">
        <is>
          <t>991001090059702656</t>
        </is>
      </c>
      <c r="AX303" t="inlineStr">
        <is>
          <t>991001090059702656</t>
        </is>
      </c>
      <c r="AY303" t="inlineStr">
        <is>
          <t>2272229940002656</t>
        </is>
      </c>
      <c r="AZ303" t="inlineStr">
        <is>
          <t>BOOK</t>
        </is>
      </c>
      <c r="BB303" t="inlineStr">
        <is>
          <t>9780871201447</t>
        </is>
      </c>
      <c r="BC303" t="inlineStr">
        <is>
          <t>32285001353308</t>
        </is>
      </c>
      <c r="BD303" t="inlineStr">
        <is>
          <t>893528649</t>
        </is>
      </c>
    </row>
    <row r="304">
      <c r="A304" t="inlineStr">
        <is>
          <t>No</t>
        </is>
      </c>
      <c r="B304" t="inlineStr">
        <is>
          <t>LB1027.2 .C85 2001</t>
        </is>
      </c>
      <c r="C304" t="inlineStr">
        <is>
          <t>0                      LB 1027200C  85          2001</t>
        </is>
      </c>
      <c r="D304" t="inlineStr">
        <is>
          <t>Building connections : spiritual dimensions of teaching / Eileen M. Cunningham.</t>
        </is>
      </c>
      <c r="F304" t="inlineStr">
        <is>
          <t>No</t>
        </is>
      </c>
      <c r="G304" t="inlineStr">
        <is>
          <t>1</t>
        </is>
      </c>
      <c r="H304" t="inlineStr">
        <is>
          <t>No</t>
        </is>
      </c>
      <c r="I304" t="inlineStr">
        <is>
          <t>No</t>
        </is>
      </c>
      <c r="J304" t="inlineStr">
        <is>
          <t>0</t>
        </is>
      </c>
      <c r="K304" t="inlineStr">
        <is>
          <t>Cunningham, Eileen M., 1943-</t>
        </is>
      </c>
      <c r="L304" t="inlineStr">
        <is>
          <t>New York : P. Lang Pub., c2001.</t>
        </is>
      </c>
      <c r="M304" t="inlineStr">
        <is>
          <t>2001</t>
        </is>
      </c>
      <c r="O304" t="inlineStr">
        <is>
          <t>eng</t>
        </is>
      </c>
      <c r="P304" t="inlineStr">
        <is>
          <t>nyu</t>
        </is>
      </c>
      <c r="Q304" t="inlineStr">
        <is>
          <t>Counterpoints ; v. 130</t>
        </is>
      </c>
      <c r="R304" t="inlineStr">
        <is>
          <t xml:space="preserve">LB </t>
        </is>
      </c>
      <c r="S304" t="n">
        <v>1</v>
      </c>
      <c r="T304" t="n">
        <v>1</v>
      </c>
      <c r="U304" t="inlineStr">
        <is>
          <t>2008-10-22</t>
        </is>
      </c>
      <c r="V304" t="inlineStr">
        <is>
          <t>2008-10-22</t>
        </is>
      </c>
      <c r="W304" t="inlineStr">
        <is>
          <t>2001-12-03</t>
        </is>
      </c>
      <c r="X304" t="inlineStr">
        <is>
          <t>2001-12-03</t>
        </is>
      </c>
      <c r="Y304" t="n">
        <v>161</v>
      </c>
      <c r="Z304" t="n">
        <v>130</v>
      </c>
      <c r="AA304" t="n">
        <v>131</v>
      </c>
      <c r="AB304" t="n">
        <v>1</v>
      </c>
      <c r="AC304" t="n">
        <v>1</v>
      </c>
      <c r="AD304" t="n">
        <v>7</v>
      </c>
      <c r="AE304" t="n">
        <v>7</v>
      </c>
      <c r="AF304" t="n">
        <v>3</v>
      </c>
      <c r="AG304" t="n">
        <v>3</v>
      </c>
      <c r="AH304" t="n">
        <v>1</v>
      </c>
      <c r="AI304" t="n">
        <v>1</v>
      </c>
      <c r="AJ304" t="n">
        <v>5</v>
      </c>
      <c r="AK304" t="n">
        <v>5</v>
      </c>
      <c r="AL304" t="n">
        <v>0</v>
      </c>
      <c r="AM304" t="n">
        <v>0</v>
      </c>
      <c r="AN304" t="n">
        <v>0</v>
      </c>
      <c r="AO304" t="n">
        <v>0</v>
      </c>
      <c r="AP304" t="inlineStr">
        <is>
          <t>No</t>
        </is>
      </c>
      <c r="AQ304" t="inlineStr">
        <is>
          <t>Yes</t>
        </is>
      </c>
      <c r="AR304">
        <f>HYPERLINK("http://catalog.hathitrust.org/Record/102019446","HathiTrust Record")</f>
        <v/>
      </c>
      <c r="AS304">
        <f>HYPERLINK("https://creighton-primo.hosted.exlibrisgroup.com/primo-explore/search?tab=default_tab&amp;search_scope=EVERYTHING&amp;vid=01CRU&amp;lang=en_US&amp;offset=0&amp;query=any,contains,991003653999702656","Catalog Record")</f>
        <v/>
      </c>
      <c r="AT304">
        <f>HYPERLINK("http://www.worldcat.org/oclc/42649829","WorldCat Record")</f>
        <v/>
      </c>
      <c r="AU304" t="inlineStr">
        <is>
          <t>793046345:eng</t>
        </is>
      </c>
      <c r="AV304" t="inlineStr">
        <is>
          <t>42649829</t>
        </is>
      </c>
      <c r="AW304" t="inlineStr">
        <is>
          <t>991003653999702656</t>
        </is>
      </c>
      <c r="AX304" t="inlineStr">
        <is>
          <t>991003653999702656</t>
        </is>
      </c>
      <c r="AY304" t="inlineStr">
        <is>
          <t>2263315220002656</t>
        </is>
      </c>
      <c r="AZ304" t="inlineStr">
        <is>
          <t>BOOK</t>
        </is>
      </c>
      <c r="BB304" t="inlineStr">
        <is>
          <t>9780820448602</t>
        </is>
      </c>
      <c r="BC304" t="inlineStr">
        <is>
          <t>32285004425343</t>
        </is>
      </c>
      <c r="BD304" t="inlineStr">
        <is>
          <t>893711615</t>
        </is>
      </c>
    </row>
    <row r="305">
      <c r="A305" t="inlineStr">
        <is>
          <t>No</t>
        </is>
      </c>
      <c r="B305" t="inlineStr">
        <is>
          <t>LB1027.2 .D87 2002</t>
        </is>
      </c>
      <c r="C305" t="inlineStr">
        <is>
          <t>0                      LB 1027200D  87          2002</t>
        </is>
      </c>
      <c r="D305" t="inlineStr">
        <is>
          <t>The teacher's calling : a spirituality for those who teach / Gloria Durka.</t>
        </is>
      </c>
      <c r="F305" t="inlineStr">
        <is>
          <t>No</t>
        </is>
      </c>
      <c r="G305" t="inlineStr">
        <is>
          <t>1</t>
        </is>
      </c>
      <c r="H305" t="inlineStr">
        <is>
          <t>No</t>
        </is>
      </c>
      <c r="I305" t="inlineStr">
        <is>
          <t>No</t>
        </is>
      </c>
      <c r="J305" t="inlineStr">
        <is>
          <t>0</t>
        </is>
      </c>
      <c r="K305" t="inlineStr">
        <is>
          <t>Durka, Gloria.</t>
        </is>
      </c>
      <c r="L305" t="inlineStr">
        <is>
          <t>New York : Paulist Press, c2002.</t>
        </is>
      </c>
      <c r="M305" t="inlineStr">
        <is>
          <t>2002</t>
        </is>
      </c>
      <c r="O305" t="inlineStr">
        <is>
          <t>eng</t>
        </is>
      </c>
      <c r="P305" t="inlineStr">
        <is>
          <t>nyu</t>
        </is>
      </c>
      <c r="R305" t="inlineStr">
        <is>
          <t xml:space="preserve">LB </t>
        </is>
      </c>
      <c r="S305" t="n">
        <v>4</v>
      </c>
      <c r="T305" t="n">
        <v>4</v>
      </c>
      <c r="U305" t="inlineStr">
        <is>
          <t>2004-11-16</t>
        </is>
      </c>
      <c r="V305" t="inlineStr">
        <is>
          <t>2004-11-16</t>
        </is>
      </c>
      <c r="W305" t="inlineStr">
        <is>
          <t>2002-09-24</t>
        </is>
      </c>
      <c r="X305" t="inlineStr">
        <is>
          <t>2002-09-24</t>
        </is>
      </c>
      <c r="Y305" t="n">
        <v>176</v>
      </c>
      <c r="Z305" t="n">
        <v>143</v>
      </c>
      <c r="AA305" t="n">
        <v>148</v>
      </c>
      <c r="AB305" t="n">
        <v>2</v>
      </c>
      <c r="AC305" t="n">
        <v>2</v>
      </c>
      <c r="AD305" t="n">
        <v>12</v>
      </c>
      <c r="AE305" t="n">
        <v>12</v>
      </c>
      <c r="AF305" t="n">
        <v>4</v>
      </c>
      <c r="AG305" t="n">
        <v>4</v>
      </c>
      <c r="AH305" t="n">
        <v>3</v>
      </c>
      <c r="AI305" t="n">
        <v>3</v>
      </c>
      <c r="AJ305" t="n">
        <v>7</v>
      </c>
      <c r="AK305" t="n">
        <v>7</v>
      </c>
      <c r="AL305" t="n">
        <v>1</v>
      </c>
      <c r="AM305" t="n">
        <v>1</v>
      </c>
      <c r="AN305" t="n">
        <v>0</v>
      </c>
      <c r="AO305" t="n">
        <v>0</v>
      </c>
      <c r="AP305" t="inlineStr">
        <is>
          <t>No</t>
        </is>
      </c>
      <c r="AQ305" t="inlineStr">
        <is>
          <t>No</t>
        </is>
      </c>
      <c r="AS305">
        <f>HYPERLINK("https://creighton-primo.hosted.exlibrisgroup.com/primo-explore/search?tab=default_tab&amp;search_scope=EVERYTHING&amp;vid=01CRU&amp;lang=en_US&amp;offset=0&amp;query=any,contains,991003841169702656","Catalog Record")</f>
        <v/>
      </c>
      <c r="AT305">
        <f>HYPERLINK("http://www.worldcat.org/oclc/48256284","WorldCat Record")</f>
        <v/>
      </c>
      <c r="AU305" t="inlineStr">
        <is>
          <t>5164514062:eng</t>
        </is>
      </c>
      <c r="AV305" t="inlineStr">
        <is>
          <t>48256284</t>
        </is>
      </c>
      <c r="AW305" t="inlineStr">
        <is>
          <t>991003841169702656</t>
        </is>
      </c>
      <c r="AX305" t="inlineStr">
        <is>
          <t>991003841169702656</t>
        </is>
      </c>
      <c r="AY305" t="inlineStr">
        <is>
          <t>2260540600002656</t>
        </is>
      </c>
      <c r="AZ305" t="inlineStr">
        <is>
          <t>BOOK</t>
        </is>
      </c>
      <c r="BB305" t="inlineStr">
        <is>
          <t>9780809140626</t>
        </is>
      </c>
      <c r="BC305" t="inlineStr">
        <is>
          <t>32285004648654</t>
        </is>
      </c>
      <c r="BD305" t="inlineStr">
        <is>
          <t>893246790</t>
        </is>
      </c>
    </row>
    <row r="306">
      <c r="A306" t="inlineStr">
        <is>
          <t>No</t>
        </is>
      </c>
      <c r="B306" t="inlineStr">
        <is>
          <t>LB1027.2 .T57 2003</t>
        </is>
      </c>
      <c r="C306" t="inlineStr">
        <is>
          <t>0                      LB 1027200T  57          2003</t>
        </is>
      </c>
      <c r="D306" t="inlineStr">
        <is>
          <t>Exploring spirituality and culture in adult and higher education / Elizabeth J. Tisdell.</t>
        </is>
      </c>
      <c r="F306" t="inlineStr">
        <is>
          <t>No</t>
        </is>
      </c>
      <c r="G306" t="inlineStr">
        <is>
          <t>1</t>
        </is>
      </c>
      <c r="H306" t="inlineStr">
        <is>
          <t>No</t>
        </is>
      </c>
      <c r="I306" t="inlineStr">
        <is>
          <t>No</t>
        </is>
      </c>
      <c r="J306" t="inlineStr">
        <is>
          <t>0</t>
        </is>
      </c>
      <c r="K306" t="inlineStr">
        <is>
          <t>Tisdell, Elizabeth J., 1955-</t>
        </is>
      </c>
      <c r="L306" t="inlineStr">
        <is>
          <t>San Francisco : Jossey-Bass, c2003.</t>
        </is>
      </c>
      <c r="M306" t="inlineStr">
        <is>
          <t>2003</t>
        </is>
      </c>
      <c r="N306" t="inlineStr">
        <is>
          <t>1st ed.</t>
        </is>
      </c>
      <c r="O306" t="inlineStr">
        <is>
          <t>eng</t>
        </is>
      </c>
      <c r="P306" t="inlineStr">
        <is>
          <t>cau</t>
        </is>
      </c>
      <c r="Q306" t="inlineStr">
        <is>
          <t>The Jossey-Bass higher and adult education series</t>
        </is>
      </c>
      <c r="R306" t="inlineStr">
        <is>
          <t xml:space="preserve">LB </t>
        </is>
      </c>
      <c r="S306" t="n">
        <v>2</v>
      </c>
      <c r="T306" t="n">
        <v>2</v>
      </c>
      <c r="U306" t="inlineStr">
        <is>
          <t>2006-02-13</t>
        </is>
      </c>
      <c r="V306" t="inlineStr">
        <is>
          <t>2006-02-13</t>
        </is>
      </c>
      <c r="W306" t="inlineStr">
        <is>
          <t>2005-04-13</t>
        </is>
      </c>
      <c r="X306" t="inlineStr">
        <is>
          <t>2005-04-13</t>
        </is>
      </c>
      <c r="Y306" t="n">
        <v>460</v>
      </c>
      <c r="Z306" t="n">
        <v>374</v>
      </c>
      <c r="AA306" t="n">
        <v>1131</v>
      </c>
      <c r="AB306" t="n">
        <v>4</v>
      </c>
      <c r="AC306" t="n">
        <v>28</v>
      </c>
      <c r="AD306" t="n">
        <v>23</v>
      </c>
      <c r="AE306" t="n">
        <v>38</v>
      </c>
      <c r="AF306" t="n">
        <v>11</v>
      </c>
      <c r="AG306" t="n">
        <v>13</v>
      </c>
      <c r="AH306" t="n">
        <v>4</v>
      </c>
      <c r="AI306" t="n">
        <v>6</v>
      </c>
      <c r="AJ306" t="n">
        <v>10</v>
      </c>
      <c r="AK306" t="n">
        <v>13</v>
      </c>
      <c r="AL306" t="n">
        <v>3</v>
      </c>
      <c r="AM306" t="n">
        <v>13</v>
      </c>
      <c r="AN306" t="n">
        <v>0</v>
      </c>
      <c r="AO306" t="n">
        <v>0</v>
      </c>
      <c r="AP306" t="inlineStr">
        <is>
          <t>No</t>
        </is>
      </c>
      <c r="AQ306" t="inlineStr">
        <is>
          <t>Yes</t>
        </is>
      </c>
      <c r="AR306">
        <f>HYPERLINK("http://catalog.hathitrust.org/Record/004310839","HathiTrust Record")</f>
        <v/>
      </c>
      <c r="AS306">
        <f>HYPERLINK("https://creighton-primo.hosted.exlibrisgroup.com/primo-explore/search?tab=default_tab&amp;search_scope=EVERYTHING&amp;vid=01CRU&amp;lang=en_US&amp;offset=0&amp;query=any,contains,991004517049702656","Catalog Record")</f>
        <v/>
      </c>
      <c r="AT306">
        <f>HYPERLINK("http://www.worldcat.org/oclc/50941964","WorldCat Record")</f>
        <v/>
      </c>
      <c r="AU306" t="inlineStr">
        <is>
          <t>1051661:eng</t>
        </is>
      </c>
      <c r="AV306" t="inlineStr">
        <is>
          <t>50941964</t>
        </is>
      </c>
      <c r="AW306" t="inlineStr">
        <is>
          <t>991004517049702656</t>
        </is>
      </c>
      <c r="AX306" t="inlineStr">
        <is>
          <t>991004517049702656</t>
        </is>
      </c>
      <c r="AY306" t="inlineStr">
        <is>
          <t>2257736200002656</t>
        </is>
      </c>
      <c r="AZ306" t="inlineStr">
        <is>
          <t>BOOK</t>
        </is>
      </c>
      <c r="BB306" t="inlineStr">
        <is>
          <t>9780787957230</t>
        </is>
      </c>
      <c r="BC306" t="inlineStr">
        <is>
          <t>32285005030985</t>
        </is>
      </c>
      <c r="BD306" t="inlineStr">
        <is>
          <t>893876200</t>
        </is>
      </c>
    </row>
    <row r="307">
      <c r="A307" t="inlineStr">
        <is>
          <t>No</t>
        </is>
      </c>
      <c r="B307" t="inlineStr">
        <is>
          <t>LB1027.223 .B65 2007</t>
        </is>
      </c>
      <c r="C307" t="inlineStr">
        <is>
          <t>0                      LB 1027223B  65          2007</t>
        </is>
      </c>
      <c r="D307" t="inlineStr">
        <is>
          <t>The light of his face : spirituality for Catholic teachers / John Bollan.</t>
        </is>
      </c>
      <c r="F307" t="inlineStr">
        <is>
          <t>No</t>
        </is>
      </c>
      <c r="G307" t="inlineStr">
        <is>
          <t>1</t>
        </is>
      </c>
      <c r="H307" t="inlineStr">
        <is>
          <t>No</t>
        </is>
      </c>
      <c r="I307" t="inlineStr">
        <is>
          <t>No</t>
        </is>
      </c>
      <c r="J307" t="inlineStr">
        <is>
          <t>0</t>
        </is>
      </c>
      <c r="K307" t="inlineStr">
        <is>
          <t>Bollan, John.</t>
        </is>
      </c>
      <c r="L307" t="inlineStr">
        <is>
          <t>Dublin : Veritas, 21 cm.</t>
        </is>
      </c>
      <c r="M307" t="inlineStr">
        <is>
          <t>2007</t>
        </is>
      </c>
      <c r="O307" t="inlineStr">
        <is>
          <t>eng</t>
        </is>
      </c>
      <c r="P307" t="inlineStr">
        <is>
          <t xml:space="preserve">ie </t>
        </is>
      </c>
      <c r="R307" t="inlineStr">
        <is>
          <t xml:space="preserve">LB </t>
        </is>
      </c>
      <c r="S307" t="n">
        <v>1</v>
      </c>
      <c r="T307" t="n">
        <v>1</v>
      </c>
      <c r="U307" t="inlineStr">
        <is>
          <t>2008-05-05</t>
        </is>
      </c>
      <c r="V307" t="inlineStr">
        <is>
          <t>2008-05-05</t>
        </is>
      </c>
      <c r="W307" t="inlineStr">
        <is>
          <t>2008-05-05</t>
        </is>
      </c>
      <c r="X307" t="inlineStr">
        <is>
          <t>2008-05-05</t>
        </is>
      </c>
      <c r="Y307" t="n">
        <v>45</v>
      </c>
      <c r="Z307" t="n">
        <v>21</v>
      </c>
      <c r="AA307" t="n">
        <v>21</v>
      </c>
      <c r="AB307" t="n">
        <v>1</v>
      </c>
      <c r="AC307" t="n">
        <v>1</v>
      </c>
      <c r="AD307" t="n">
        <v>4</v>
      </c>
      <c r="AE307" t="n">
        <v>4</v>
      </c>
      <c r="AF307" t="n">
        <v>2</v>
      </c>
      <c r="AG307" t="n">
        <v>2</v>
      </c>
      <c r="AH307" t="n">
        <v>1</v>
      </c>
      <c r="AI307" t="n">
        <v>1</v>
      </c>
      <c r="AJ307" t="n">
        <v>4</v>
      </c>
      <c r="AK307" t="n">
        <v>4</v>
      </c>
      <c r="AL307" t="n">
        <v>0</v>
      </c>
      <c r="AM307" t="n">
        <v>0</v>
      </c>
      <c r="AN307" t="n">
        <v>0</v>
      </c>
      <c r="AO307" t="n">
        <v>0</v>
      </c>
      <c r="AP307" t="inlineStr">
        <is>
          <t>No</t>
        </is>
      </c>
      <c r="AQ307" t="inlineStr">
        <is>
          <t>No</t>
        </is>
      </c>
      <c r="AS307">
        <f>HYPERLINK("https://creighton-primo.hosted.exlibrisgroup.com/primo-explore/search?tab=default_tab&amp;search_scope=EVERYTHING&amp;vid=01CRU&amp;lang=en_US&amp;offset=0&amp;query=any,contains,991005215669702656","Catalog Record")</f>
        <v/>
      </c>
      <c r="AT307">
        <f>HYPERLINK("http://www.worldcat.org/oclc/85885553","WorldCat Record")</f>
        <v/>
      </c>
      <c r="AU307" t="inlineStr">
        <is>
          <t>69767792:eng</t>
        </is>
      </c>
      <c r="AV307" t="inlineStr">
        <is>
          <t>85885553</t>
        </is>
      </c>
      <c r="AW307" t="inlineStr">
        <is>
          <t>991005215669702656</t>
        </is>
      </c>
      <c r="AX307" t="inlineStr">
        <is>
          <t>991005215669702656</t>
        </is>
      </c>
      <c r="AY307" t="inlineStr">
        <is>
          <t>2261955590002656</t>
        </is>
      </c>
      <c r="AZ307" t="inlineStr">
        <is>
          <t>BOOK</t>
        </is>
      </c>
      <c r="BB307" t="inlineStr">
        <is>
          <t>9781847300225</t>
        </is>
      </c>
      <c r="BC307" t="inlineStr">
        <is>
          <t>32285005405278</t>
        </is>
      </c>
      <c r="BD307" t="inlineStr">
        <is>
          <t>893326385</t>
        </is>
      </c>
    </row>
    <row r="308">
      <c r="A308" t="inlineStr">
        <is>
          <t>No</t>
        </is>
      </c>
      <c r="B308" t="inlineStr">
        <is>
          <t>LB1027.23 .H67 1994</t>
        </is>
      </c>
      <c r="C308" t="inlineStr">
        <is>
          <t>0                      LB 1027230H  67          1994</t>
        </is>
      </c>
      <c r="D308" t="inlineStr">
        <is>
          <t>Narrative schooling : experiential learning and the transformation of American education / Richard L. Hopkins.</t>
        </is>
      </c>
      <c r="F308" t="inlineStr">
        <is>
          <t>No</t>
        </is>
      </c>
      <c r="G308" t="inlineStr">
        <is>
          <t>1</t>
        </is>
      </c>
      <c r="H308" t="inlineStr">
        <is>
          <t>No</t>
        </is>
      </c>
      <c r="I308" t="inlineStr">
        <is>
          <t>No</t>
        </is>
      </c>
      <c r="J308" t="inlineStr">
        <is>
          <t>0</t>
        </is>
      </c>
      <c r="K308" t="inlineStr">
        <is>
          <t>Hopkins, Richard L., 1927-</t>
        </is>
      </c>
      <c r="L308" t="inlineStr">
        <is>
          <t>New York : Teachers College Press, c1994.</t>
        </is>
      </c>
      <c r="M308" t="inlineStr">
        <is>
          <t>1994</t>
        </is>
      </c>
      <c r="O308" t="inlineStr">
        <is>
          <t>eng</t>
        </is>
      </c>
      <c r="P308" t="inlineStr">
        <is>
          <t>nyu</t>
        </is>
      </c>
      <c r="Q308" t="inlineStr">
        <is>
          <t>Advances in contemporary educational thought series ; v. 13</t>
        </is>
      </c>
      <c r="R308" t="inlineStr">
        <is>
          <t xml:space="preserve">LB </t>
        </is>
      </c>
      <c r="S308" t="n">
        <v>1</v>
      </c>
      <c r="T308" t="n">
        <v>1</v>
      </c>
      <c r="U308" t="inlineStr">
        <is>
          <t>2001-12-13</t>
        </is>
      </c>
      <c r="V308" t="inlineStr">
        <is>
          <t>2001-12-13</t>
        </is>
      </c>
      <c r="W308" t="inlineStr">
        <is>
          <t>2001-12-12</t>
        </is>
      </c>
      <c r="X308" t="inlineStr">
        <is>
          <t>2001-12-12</t>
        </is>
      </c>
      <c r="Y308" t="n">
        <v>304</v>
      </c>
      <c r="Z308" t="n">
        <v>272</v>
      </c>
      <c r="AA308" t="n">
        <v>344</v>
      </c>
      <c r="AB308" t="n">
        <v>2</v>
      </c>
      <c r="AC308" t="n">
        <v>2</v>
      </c>
      <c r="AD308" t="n">
        <v>14</v>
      </c>
      <c r="AE308" t="n">
        <v>15</v>
      </c>
      <c r="AF308" t="n">
        <v>5</v>
      </c>
      <c r="AG308" t="n">
        <v>5</v>
      </c>
      <c r="AH308" t="n">
        <v>3</v>
      </c>
      <c r="AI308" t="n">
        <v>4</v>
      </c>
      <c r="AJ308" t="n">
        <v>9</v>
      </c>
      <c r="AK308" t="n">
        <v>10</v>
      </c>
      <c r="AL308" t="n">
        <v>1</v>
      </c>
      <c r="AM308" t="n">
        <v>1</v>
      </c>
      <c r="AN308" t="n">
        <v>0</v>
      </c>
      <c r="AO308" t="n">
        <v>0</v>
      </c>
      <c r="AP308" t="inlineStr">
        <is>
          <t>No</t>
        </is>
      </c>
      <c r="AQ308" t="inlineStr">
        <is>
          <t>No</t>
        </is>
      </c>
      <c r="AS308">
        <f>HYPERLINK("https://creighton-primo.hosted.exlibrisgroup.com/primo-explore/search?tab=default_tab&amp;search_scope=EVERYTHING&amp;vid=01CRU&amp;lang=en_US&amp;offset=0&amp;query=any,contains,991003680989702656","Catalog Record")</f>
        <v/>
      </c>
      <c r="AT308">
        <f>HYPERLINK("http://www.worldcat.org/oclc/29468952","WorldCat Record")</f>
        <v/>
      </c>
      <c r="AU308" t="inlineStr">
        <is>
          <t>799995902:eng</t>
        </is>
      </c>
      <c r="AV308" t="inlineStr">
        <is>
          <t>29468952</t>
        </is>
      </c>
      <c r="AW308" t="inlineStr">
        <is>
          <t>991003680989702656</t>
        </is>
      </c>
      <c r="AX308" t="inlineStr">
        <is>
          <t>991003680989702656</t>
        </is>
      </c>
      <c r="AY308" t="inlineStr">
        <is>
          <t>2261223010002656</t>
        </is>
      </c>
      <c r="AZ308" t="inlineStr">
        <is>
          <t>BOOK</t>
        </is>
      </c>
      <c r="BB308" t="inlineStr">
        <is>
          <t>9780807733332</t>
        </is>
      </c>
      <c r="BC308" t="inlineStr">
        <is>
          <t>32285004428180</t>
        </is>
      </c>
      <c r="BD308" t="inlineStr">
        <is>
          <t>893441587</t>
        </is>
      </c>
    </row>
    <row r="309">
      <c r="A309" t="inlineStr">
        <is>
          <t>No</t>
        </is>
      </c>
      <c r="B309" t="inlineStr">
        <is>
          <t>LB1027.23 .I58 1994</t>
        </is>
      </c>
      <c r="C309" t="inlineStr">
        <is>
          <t>0                      LB 1027230I  58          1994</t>
        </is>
      </c>
      <c r="D309" t="inlineStr">
        <is>
          <t>Perspectives on experiential learning : prelude to a global conversation about learning / volume editor, Morris T. Keeton.</t>
        </is>
      </c>
      <c r="F309" t="inlineStr">
        <is>
          <t>No</t>
        </is>
      </c>
      <c r="G309" t="inlineStr">
        <is>
          <t>1</t>
        </is>
      </c>
      <c r="H309" t="inlineStr">
        <is>
          <t>No</t>
        </is>
      </c>
      <c r="I309" t="inlineStr">
        <is>
          <t>No</t>
        </is>
      </c>
      <c r="J309" t="inlineStr">
        <is>
          <t>0</t>
        </is>
      </c>
      <c r="K309" t="inlineStr">
        <is>
          <t>International Experiential Learning Conference (1994 : Washington, D.C.)</t>
        </is>
      </c>
      <c r="L309" t="inlineStr">
        <is>
          <t>Chicago, Ill. : International Experiential Learning Conference Committee, c/o The Council for Adult and Experiential Learning, c1994.</t>
        </is>
      </c>
      <c r="M309" t="inlineStr">
        <is>
          <t>1994</t>
        </is>
      </c>
      <c r="O309" t="inlineStr">
        <is>
          <t>eng</t>
        </is>
      </c>
      <c r="P309" t="inlineStr">
        <is>
          <t>ilu</t>
        </is>
      </c>
      <c r="R309" t="inlineStr">
        <is>
          <t xml:space="preserve">LB </t>
        </is>
      </c>
      <c r="S309" t="n">
        <v>5</v>
      </c>
      <c r="T309" t="n">
        <v>5</v>
      </c>
      <c r="U309" t="inlineStr">
        <is>
          <t>2004-11-16</t>
        </is>
      </c>
      <c r="V309" t="inlineStr">
        <is>
          <t>2004-11-16</t>
        </is>
      </c>
      <c r="W309" t="inlineStr">
        <is>
          <t>1997-08-21</t>
        </is>
      </c>
      <c r="X309" t="inlineStr">
        <is>
          <t>1997-08-21</t>
        </is>
      </c>
      <c r="Y309" t="n">
        <v>18</v>
      </c>
      <c r="Z309" t="n">
        <v>8</v>
      </c>
      <c r="AA309" t="n">
        <v>8</v>
      </c>
      <c r="AB309" t="n">
        <v>2</v>
      </c>
      <c r="AC309" t="n">
        <v>2</v>
      </c>
      <c r="AD309" t="n">
        <v>2</v>
      </c>
      <c r="AE309" t="n">
        <v>2</v>
      </c>
      <c r="AF309" t="n">
        <v>1</v>
      </c>
      <c r="AG309" t="n">
        <v>1</v>
      </c>
      <c r="AH309" t="n">
        <v>1</v>
      </c>
      <c r="AI309" t="n">
        <v>1</v>
      </c>
      <c r="AJ309" t="n">
        <v>0</v>
      </c>
      <c r="AK309" t="n">
        <v>0</v>
      </c>
      <c r="AL309" t="n">
        <v>1</v>
      </c>
      <c r="AM309" t="n">
        <v>1</v>
      </c>
      <c r="AN309" t="n">
        <v>0</v>
      </c>
      <c r="AO309" t="n">
        <v>0</v>
      </c>
      <c r="AP309" t="inlineStr">
        <is>
          <t>No</t>
        </is>
      </c>
      <c r="AQ309" t="inlineStr">
        <is>
          <t>No</t>
        </is>
      </c>
      <c r="AS309">
        <f>HYPERLINK("https://creighton-primo.hosted.exlibrisgroup.com/primo-explore/search?tab=default_tab&amp;search_scope=EVERYTHING&amp;vid=01CRU&amp;lang=en_US&amp;offset=0&amp;query=any,contains,991002682449702656","Catalog Record")</f>
        <v/>
      </c>
      <c r="AT309">
        <f>HYPERLINK("http://www.worldcat.org/oclc/35045939","WorldCat Record")</f>
        <v/>
      </c>
      <c r="AU309" t="inlineStr">
        <is>
          <t>40998811:eng</t>
        </is>
      </c>
      <c r="AV309" t="inlineStr">
        <is>
          <t>35045939</t>
        </is>
      </c>
      <c r="AW309" t="inlineStr">
        <is>
          <t>991002682449702656</t>
        </is>
      </c>
      <c r="AX309" t="inlineStr">
        <is>
          <t>991002682449702656</t>
        </is>
      </c>
      <c r="AY309" t="inlineStr">
        <is>
          <t>2269122250002656</t>
        </is>
      </c>
      <c r="AZ309" t="inlineStr">
        <is>
          <t>BOOK</t>
        </is>
      </c>
      <c r="BB309" t="inlineStr">
        <is>
          <t>9780787233525</t>
        </is>
      </c>
      <c r="BC309" t="inlineStr">
        <is>
          <t>32285003001467</t>
        </is>
      </c>
      <c r="BD309" t="inlineStr">
        <is>
          <t>893591644</t>
        </is>
      </c>
    </row>
    <row r="310">
      <c r="A310" t="inlineStr">
        <is>
          <t>No</t>
        </is>
      </c>
      <c r="B310" t="inlineStr">
        <is>
          <t>LB1027.23 .S67 1993</t>
        </is>
      </c>
      <c r="C310" t="inlineStr">
        <is>
          <t>0                      LB 1027230S  67          1993</t>
        </is>
      </c>
      <c r="D310" t="inlineStr">
        <is>
          <t>Creating interactive environments in the secondary school / by Lois T. Stover, Gloria A. Neubert, James C. Lawlor.</t>
        </is>
      </c>
      <c r="F310" t="inlineStr">
        <is>
          <t>No</t>
        </is>
      </c>
      <c r="G310" t="inlineStr">
        <is>
          <t>1</t>
        </is>
      </c>
      <c r="H310" t="inlineStr">
        <is>
          <t>No</t>
        </is>
      </c>
      <c r="I310" t="inlineStr">
        <is>
          <t>No</t>
        </is>
      </c>
      <c r="J310" t="inlineStr">
        <is>
          <t>0</t>
        </is>
      </c>
      <c r="K310" t="inlineStr">
        <is>
          <t>Stover, Lois T.</t>
        </is>
      </c>
      <c r="L310" t="inlineStr">
        <is>
          <t>Washington, D.C. : National Education Association, c1993.</t>
        </is>
      </c>
      <c r="M310" t="inlineStr">
        <is>
          <t>1993</t>
        </is>
      </c>
      <c r="O310" t="inlineStr">
        <is>
          <t>eng</t>
        </is>
      </c>
      <c r="P310" t="inlineStr">
        <is>
          <t>dcu</t>
        </is>
      </c>
      <c r="Q310" t="inlineStr">
        <is>
          <t>Interactive resources</t>
        </is>
      </c>
      <c r="R310" t="inlineStr">
        <is>
          <t xml:space="preserve">LB </t>
        </is>
      </c>
      <c r="S310" t="n">
        <v>6</v>
      </c>
      <c r="T310" t="n">
        <v>6</v>
      </c>
      <c r="U310" t="inlineStr">
        <is>
          <t>1997-10-04</t>
        </is>
      </c>
      <c r="V310" t="inlineStr">
        <is>
          <t>1997-10-04</t>
        </is>
      </c>
      <c r="W310" t="inlineStr">
        <is>
          <t>1993-10-04</t>
        </is>
      </c>
      <c r="X310" t="inlineStr">
        <is>
          <t>1993-10-04</t>
        </is>
      </c>
      <c r="Y310" t="n">
        <v>448</v>
      </c>
      <c r="Z310" t="n">
        <v>430</v>
      </c>
      <c r="AA310" t="n">
        <v>430</v>
      </c>
      <c r="AB310" t="n">
        <v>7</v>
      </c>
      <c r="AC310" t="n">
        <v>7</v>
      </c>
      <c r="AD310" t="n">
        <v>22</v>
      </c>
      <c r="AE310" t="n">
        <v>22</v>
      </c>
      <c r="AF310" t="n">
        <v>8</v>
      </c>
      <c r="AG310" t="n">
        <v>8</v>
      </c>
      <c r="AH310" t="n">
        <v>4</v>
      </c>
      <c r="AI310" t="n">
        <v>4</v>
      </c>
      <c r="AJ310" t="n">
        <v>10</v>
      </c>
      <c r="AK310" t="n">
        <v>10</v>
      </c>
      <c r="AL310" t="n">
        <v>6</v>
      </c>
      <c r="AM310" t="n">
        <v>6</v>
      </c>
      <c r="AN310" t="n">
        <v>0</v>
      </c>
      <c r="AO310" t="n">
        <v>0</v>
      </c>
      <c r="AP310" t="inlineStr">
        <is>
          <t>No</t>
        </is>
      </c>
      <c r="AQ310" t="inlineStr">
        <is>
          <t>No</t>
        </is>
      </c>
      <c r="AS310">
        <f>HYPERLINK("https://creighton-primo.hosted.exlibrisgroup.com/primo-explore/search?tab=default_tab&amp;search_scope=EVERYTHING&amp;vid=01CRU&amp;lang=en_US&amp;offset=0&amp;query=any,contains,991002158719702656","Catalog Record")</f>
        <v/>
      </c>
      <c r="AT310">
        <f>HYPERLINK("http://www.worldcat.org/oclc/27811720","WorldCat Record")</f>
        <v/>
      </c>
      <c r="AU310" t="inlineStr">
        <is>
          <t>9826938514:eng</t>
        </is>
      </c>
      <c r="AV310" t="inlineStr">
        <is>
          <t>27811720</t>
        </is>
      </c>
      <c r="AW310" t="inlineStr">
        <is>
          <t>991002158719702656</t>
        </is>
      </c>
      <c r="AX310" t="inlineStr">
        <is>
          <t>991002158719702656</t>
        </is>
      </c>
      <c r="AY310" t="inlineStr">
        <is>
          <t>2258651270002656</t>
        </is>
      </c>
      <c r="AZ310" t="inlineStr">
        <is>
          <t>BOOK</t>
        </is>
      </c>
      <c r="BB310" t="inlineStr">
        <is>
          <t>9780810633513</t>
        </is>
      </c>
      <c r="BC310" t="inlineStr">
        <is>
          <t>32285001759306</t>
        </is>
      </c>
      <c r="BD310" t="inlineStr">
        <is>
          <t>893691267</t>
        </is>
      </c>
    </row>
    <row r="311">
      <c r="A311" t="inlineStr">
        <is>
          <t>No</t>
        </is>
      </c>
      <c r="B311" t="inlineStr">
        <is>
          <t>LB1027.3 .E44 1988</t>
        </is>
      </c>
      <c r="C311" t="inlineStr">
        <is>
          <t>0                      LB 1027300E  44          1988</t>
        </is>
      </c>
      <c r="D311" t="inlineStr">
        <is>
          <t>Strategies for teachers : teaching content and thinking skills / Paul D. Eggen, Donald P. Kauchak.</t>
        </is>
      </c>
      <c r="F311" t="inlineStr">
        <is>
          <t>No</t>
        </is>
      </c>
      <c r="G311" t="inlineStr">
        <is>
          <t>1</t>
        </is>
      </c>
      <c r="H311" t="inlineStr">
        <is>
          <t>No</t>
        </is>
      </c>
      <c r="I311" t="inlineStr">
        <is>
          <t>No</t>
        </is>
      </c>
      <c r="J311" t="inlineStr">
        <is>
          <t>0</t>
        </is>
      </c>
      <c r="K311" t="inlineStr">
        <is>
          <t>Eggen, Paul D., 1940-</t>
        </is>
      </c>
      <c r="L311" t="inlineStr">
        <is>
          <t>Englewood Cliffs, N.J. : Prentice-Hall, c1988.</t>
        </is>
      </c>
      <c r="M311" t="inlineStr">
        <is>
          <t>1988</t>
        </is>
      </c>
      <c r="N311" t="inlineStr">
        <is>
          <t>2nd ed.</t>
        </is>
      </c>
      <c r="O311" t="inlineStr">
        <is>
          <t>eng</t>
        </is>
      </c>
      <c r="P311" t="inlineStr">
        <is>
          <t>nju</t>
        </is>
      </c>
      <c r="R311" t="inlineStr">
        <is>
          <t xml:space="preserve">LB </t>
        </is>
      </c>
      <c r="S311" t="n">
        <v>7</v>
      </c>
      <c r="T311" t="n">
        <v>7</v>
      </c>
      <c r="U311" t="inlineStr">
        <is>
          <t>2010-04-11</t>
        </is>
      </c>
      <c r="V311" t="inlineStr">
        <is>
          <t>2010-04-11</t>
        </is>
      </c>
      <c r="W311" t="inlineStr">
        <is>
          <t>1992-10-21</t>
        </is>
      </c>
      <c r="X311" t="inlineStr">
        <is>
          <t>1992-10-21</t>
        </is>
      </c>
      <c r="Y311" t="n">
        <v>358</v>
      </c>
      <c r="Z311" t="n">
        <v>282</v>
      </c>
      <c r="AA311" t="n">
        <v>493</v>
      </c>
      <c r="AB311" t="n">
        <v>2</v>
      </c>
      <c r="AC311" t="n">
        <v>3</v>
      </c>
      <c r="AD311" t="n">
        <v>13</v>
      </c>
      <c r="AE311" t="n">
        <v>24</v>
      </c>
      <c r="AF311" t="n">
        <v>6</v>
      </c>
      <c r="AG311" t="n">
        <v>13</v>
      </c>
      <c r="AH311" t="n">
        <v>1</v>
      </c>
      <c r="AI311" t="n">
        <v>3</v>
      </c>
      <c r="AJ311" t="n">
        <v>8</v>
      </c>
      <c r="AK311" t="n">
        <v>13</v>
      </c>
      <c r="AL311" t="n">
        <v>1</v>
      </c>
      <c r="AM311" t="n">
        <v>2</v>
      </c>
      <c r="AN311" t="n">
        <v>0</v>
      </c>
      <c r="AO311" t="n">
        <v>0</v>
      </c>
      <c r="AP311" t="inlineStr">
        <is>
          <t>No</t>
        </is>
      </c>
      <c r="AQ311" t="inlineStr">
        <is>
          <t>Yes</t>
        </is>
      </c>
      <c r="AR311">
        <f>HYPERLINK("http://catalog.hathitrust.org/Record/000879760","HathiTrust Record")</f>
        <v/>
      </c>
      <c r="AS311">
        <f>HYPERLINK("https://creighton-primo.hosted.exlibrisgroup.com/primo-explore/search?tab=default_tab&amp;search_scope=EVERYTHING&amp;vid=01CRU&amp;lang=en_US&amp;offset=0&amp;query=any,contains,991001063859702656","Catalog Record")</f>
        <v/>
      </c>
      <c r="AT311">
        <f>HYPERLINK("http://www.worldcat.org/oclc/15792037","WorldCat Record")</f>
        <v/>
      </c>
      <c r="AU311" t="inlineStr">
        <is>
          <t>4202296959:eng</t>
        </is>
      </c>
      <c r="AV311" t="inlineStr">
        <is>
          <t>15792037</t>
        </is>
      </c>
      <c r="AW311" t="inlineStr">
        <is>
          <t>991001063859702656</t>
        </is>
      </c>
      <c r="AX311" t="inlineStr">
        <is>
          <t>991001063859702656</t>
        </is>
      </c>
      <c r="AY311" t="inlineStr">
        <is>
          <t>2261716700002656</t>
        </is>
      </c>
      <c r="AZ311" t="inlineStr">
        <is>
          <t>BOOK</t>
        </is>
      </c>
      <c r="BB311" t="inlineStr">
        <is>
          <t>9780138515775</t>
        </is>
      </c>
      <c r="BC311" t="inlineStr">
        <is>
          <t>32285001353381</t>
        </is>
      </c>
      <c r="BD311" t="inlineStr">
        <is>
          <t>893334021</t>
        </is>
      </c>
    </row>
    <row r="312">
      <c r="A312" t="inlineStr">
        <is>
          <t>No</t>
        </is>
      </c>
      <c r="B312" t="inlineStr">
        <is>
          <t>LB1027.3 .M67 2001</t>
        </is>
      </c>
      <c r="C312" t="inlineStr">
        <is>
          <t>0                      LB 1027300M  67          2001</t>
        </is>
      </c>
      <c r="D312" t="inlineStr">
        <is>
          <t>More strategies for educating everybody's children / Robert W. Cole, editor.</t>
        </is>
      </c>
      <c r="F312" t="inlineStr">
        <is>
          <t>No</t>
        </is>
      </c>
      <c r="G312" t="inlineStr">
        <is>
          <t>1</t>
        </is>
      </c>
      <c r="H312" t="inlineStr">
        <is>
          <t>No</t>
        </is>
      </c>
      <c r="I312" t="inlineStr">
        <is>
          <t>No</t>
        </is>
      </c>
      <c r="J312" t="inlineStr">
        <is>
          <t>0</t>
        </is>
      </c>
      <c r="L312" t="inlineStr">
        <is>
          <t>Alexandria, Va. : Association for Supervision and Curriculum Development, c2001.</t>
        </is>
      </c>
      <c r="M312" t="inlineStr">
        <is>
          <t>2001</t>
        </is>
      </c>
      <c r="O312" t="inlineStr">
        <is>
          <t>eng</t>
        </is>
      </c>
      <c r="P312" t="inlineStr">
        <is>
          <t>vau</t>
        </is>
      </c>
      <c r="R312" t="inlineStr">
        <is>
          <t xml:space="preserve">LB </t>
        </is>
      </c>
      <c r="S312" t="n">
        <v>4</v>
      </c>
      <c r="T312" t="n">
        <v>4</v>
      </c>
      <c r="U312" t="inlineStr">
        <is>
          <t>2006-03-24</t>
        </is>
      </c>
      <c r="V312" t="inlineStr">
        <is>
          <t>2006-03-24</t>
        </is>
      </c>
      <c r="W312" t="inlineStr">
        <is>
          <t>2001-10-14</t>
        </is>
      </c>
      <c r="X312" t="inlineStr">
        <is>
          <t>2001-10-14</t>
        </is>
      </c>
      <c r="Y312" t="n">
        <v>352</v>
      </c>
      <c r="Z312" t="n">
        <v>310</v>
      </c>
      <c r="AA312" t="n">
        <v>317</v>
      </c>
      <c r="AB312" t="n">
        <v>1</v>
      </c>
      <c r="AC312" t="n">
        <v>1</v>
      </c>
      <c r="AD312" t="n">
        <v>10</v>
      </c>
      <c r="AE312" t="n">
        <v>10</v>
      </c>
      <c r="AF312" t="n">
        <v>8</v>
      </c>
      <c r="AG312" t="n">
        <v>8</v>
      </c>
      <c r="AH312" t="n">
        <v>1</v>
      </c>
      <c r="AI312" t="n">
        <v>1</v>
      </c>
      <c r="AJ312" t="n">
        <v>3</v>
      </c>
      <c r="AK312" t="n">
        <v>3</v>
      </c>
      <c r="AL312" t="n">
        <v>0</v>
      </c>
      <c r="AM312" t="n">
        <v>0</v>
      </c>
      <c r="AN312" t="n">
        <v>0</v>
      </c>
      <c r="AO312" t="n">
        <v>0</v>
      </c>
      <c r="AP312" t="inlineStr">
        <is>
          <t>No</t>
        </is>
      </c>
      <c r="AQ312" t="inlineStr">
        <is>
          <t>Yes</t>
        </is>
      </c>
      <c r="AR312">
        <f>HYPERLINK("http://catalog.hathitrust.org/Record/004199417","HathiTrust Record")</f>
        <v/>
      </c>
      <c r="AS312">
        <f>HYPERLINK("https://creighton-primo.hosted.exlibrisgroup.com/primo-explore/search?tab=default_tab&amp;search_scope=EVERYTHING&amp;vid=01CRU&amp;lang=en_US&amp;offset=0&amp;query=any,contains,991003612259702656","Catalog Record")</f>
        <v/>
      </c>
      <c r="AT312">
        <f>HYPERLINK("http://www.worldcat.org/oclc/45230350","WorldCat Record")</f>
        <v/>
      </c>
      <c r="AU312" t="inlineStr">
        <is>
          <t>477966911:eng</t>
        </is>
      </c>
      <c r="AV312" t="inlineStr">
        <is>
          <t>45230350</t>
        </is>
      </c>
      <c r="AW312" t="inlineStr">
        <is>
          <t>991003612259702656</t>
        </is>
      </c>
      <c r="AX312" t="inlineStr">
        <is>
          <t>991003612259702656</t>
        </is>
      </c>
      <c r="AY312" t="inlineStr">
        <is>
          <t>2268804070002656</t>
        </is>
      </c>
      <c r="AZ312" t="inlineStr">
        <is>
          <t>BOOK</t>
        </is>
      </c>
      <c r="BB312" t="inlineStr">
        <is>
          <t>9780871205018</t>
        </is>
      </c>
      <c r="BC312" t="inlineStr">
        <is>
          <t>32285004395330</t>
        </is>
      </c>
      <c r="BD312" t="inlineStr">
        <is>
          <t>893793813</t>
        </is>
      </c>
    </row>
    <row r="313">
      <c r="A313" t="inlineStr">
        <is>
          <t>No</t>
        </is>
      </c>
      <c r="B313" t="inlineStr">
        <is>
          <t>LB1027.3 .Z55 1993</t>
        </is>
      </c>
      <c r="C313" t="inlineStr">
        <is>
          <t>0                      LB 1027300Z  55          1993</t>
        </is>
      </c>
      <c r="D313" t="inlineStr">
        <is>
          <t>Changing schools : progressive education theory and practice, 1930-1960 / Arthur Zilversmit.</t>
        </is>
      </c>
      <c r="F313" t="inlineStr">
        <is>
          <t>No</t>
        </is>
      </c>
      <c r="G313" t="inlineStr">
        <is>
          <t>1</t>
        </is>
      </c>
      <c r="H313" t="inlineStr">
        <is>
          <t>No</t>
        </is>
      </c>
      <c r="I313" t="inlineStr">
        <is>
          <t>No</t>
        </is>
      </c>
      <c r="J313" t="inlineStr">
        <is>
          <t>0</t>
        </is>
      </c>
      <c r="K313" t="inlineStr">
        <is>
          <t>Zilversmit, Arthur.</t>
        </is>
      </c>
      <c r="L313" t="inlineStr">
        <is>
          <t>Chicago : University of Chicago Press, c1993.</t>
        </is>
      </c>
      <c r="M313" t="inlineStr">
        <is>
          <t>1993</t>
        </is>
      </c>
      <c r="O313" t="inlineStr">
        <is>
          <t>eng</t>
        </is>
      </c>
      <c r="P313" t="inlineStr">
        <is>
          <t>ilu</t>
        </is>
      </c>
      <c r="R313" t="inlineStr">
        <is>
          <t xml:space="preserve">LB </t>
        </is>
      </c>
      <c r="S313" t="n">
        <v>10</v>
      </c>
      <c r="T313" t="n">
        <v>10</v>
      </c>
      <c r="U313" t="inlineStr">
        <is>
          <t>2010-04-28</t>
        </is>
      </c>
      <c r="V313" t="inlineStr">
        <is>
          <t>2010-04-28</t>
        </is>
      </c>
      <c r="W313" t="inlineStr">
        <is>
          <t>1996-04-08</t>
        </is>
      </c>
      <c r="X313" t="inlineStr">
        <is>
          <t>1996-04-08</t>
        </is>
      </c>
      <c r="Y313" t="n">
        <v>533</v>
      </c>
      <c r="Z313" t="n">
        <v>469</v>
      </c>
      <c r="AA313" t="n">
        <v>477</v>
      </c>
      <c r="AB313" t="n">
        <v>4</v>
      </c>
      <c r="AC313" t="n">
        <v>4</v>
      </c>
      <c r="AD313" t="n">
        <v>24</v>
      </c>
      <c r="AE313" t="n">
        <v>24</v>
      </c>
      <c r="AF313" t="n">
        <v>11</v>
      </c>
      <c r="AG313" t="n">
        <v>11</v>
      </c>
      <c r="AH313" t="n">
        <v>3</v>
      </c>
      <c r="AI313" t="n">
        <v>3</v>
      </c>
      <c r="AJ313" t="n">
        <v>13</v>
      </c>
      <c r="AK313" t="n">
        <v>13</v>
      </c>
      <c r="AL313" t="n">
        <v>3</v>
      </c>
      <c r="AM313" t="n">
        <v>3</v>
      </c>
      <c r="AN313" t="n">
        <v>0</v>
      </c>
      <c r="AO313" t="n">
        <v>0</v>
      </c>
      <c r="AP313" t="inlineStr">
        <is>
          <t>No</t>
        </is>
      </c>
      <c r="AQ313" t="inlineStr">
        <is>
          <t>Yes</t>
        </is>
      </c>
      <c r="AR313">
        <f>HYPERLINK("http://catalog.hathitrust.org/Record/002619997","HathiTrust Record")</f>
        <v/>
      </c>
      <c r="AS313">
        <f>HYPERLINK("https://creighton-primo.hosted.exlibrisgroup.com/primo-explore/search?tab=default_tab&amp;search_scope=EVERYTHING&amp;vid=01CRU&amp;lang=en_US&amp;offset=0&amp;query=any,contains,991002074039702656","Catalog Record")</f>
        <v/>
      </c>
      <c r="AT313">
        <f>HYPERLINK("http://www.worldcat.org/oclc/26586313","WorldCat Record")</f>
        <v/>
      </c>
      <c r="AU313" t="inlineStr">
        <is>
          <t>836779841:eng</t>
        </is>
      </c>
      <c r="AV313" t="inlineStr">
        <is>
          <t>26586313</t>
        </is>
      </c>
      <c r="AW313" t="inlineStr">
        <is>
          <t>991002074039702656</t>
        </is>
      </c>
      <c r="AX313" t="inlineStr">
        <is>
          <t>991002074039702656</t>
        </is>
      </c>
      <c r="AY313" t="inlineStr">
        <is>
          <t>2265073840002656</t>
        </is>
      </c>
      <c r="AZ313" t="inlineStr">
        <is>
          <t>BOOK</t>
        </is>
      </c>
      <c r="BB313" t="inlineStr">
        <is>
          <t>9780226983295</t>
        </is>
      </c>
      <c r="BC313" t="inlineStr">
        <is>
          <t>32285002150703</t>
        </is>
      </c>
      <c r="BD313" t="inlineStr">
        <is>
          <t>893250784</t>
        </is>
      </c>
    </row>
    <row r="314">
      <c r="A314" t="inlineStr">
        <is>
          <t>No</t>
        </is>
      </c>
      <c r="B314" t="inlineStr">
        <is>
          <t>LB1027.4 .J35 2007</t>
        </is>
      </c>
      <c r="C314" t="inlineStr">
        <is>
          <t>0                      LB 1027400J  35          2007</t>
        </is>
      </c>
      <c r="D314" t="inlineStr">
        <is>
          <t>Planning for learning : collaborative approaches to lesson design and review / Mary Renck Jalongo, Sue A. Rieg and Valeri R. Helterbran.</t>
        </is>
      </c>
      <c r="F314" t="inlineStr">
        <is>
          <t>No</t>
        </is>
      </c>
      <c r="G314" t="inlineStr">
        <is>
          <t>1</t>
        </is>
      </c>
      <c r="H314" t="inlineStr">
        <is>
          <t>No</t>
        </is>
      </c>
      <c r="I314" t="inlineStr">
        <is>
          <t>No</t>
        </is>
      </c>
      <c r="J314" t="inlineStr">
        <is>
          <t>0</t>
        </is>
      </c>
      <c r="K314" t="inlineStr">
        <is>
          <t>Jalongo, Mary Renck.</t>
        </is>
      </c>
      <c r="L314" t="inlineStr">
        <is>
          <t>New York : Teachers College Press, Columbia University, c2007.</t>
        </is>
      </c>
      <c r="M314" t="inlineStr">
        <is>
          <t>2007</t>
        </is>
      </c>
      <c r="O314" t="inlineStr">
        <is>
          <t>eng</t>
        </is>
      </c>
      <c r="P314" t="inlineStr">
        <is>
          <t>nyu</t>
        </is>
      </c>
      <c r="R314" t="inlineStr">
        <is>
          <t xml:space="preserve">LB </t>
        </is>
      </c>
      <c r="S314" t="n">
        <v>1</v>
      </c>
      <c r="T314" t="n">
        <v>1</v>
      </c>
      <c r="U314" t="inlineStr">
        <is>
          <t>2009-05-06</t>
        </is>
      </c>
      <c r="V314" t="inlineStr">
        <is>
          <t>2009-05-06</t>
        </is>
      </c>
      <c r="W314" t="inlineStr">
        <is>
          <t>2009-05-06</t>
        </is>
      </c>
      <c r="X314" t="inlineStr">
        <is>
          <t>2009-05-06</t>
        </is>
      </c>
      <c r="Y314" t="n">
        <v>731</v>
      </c>
      <c r="Z314" t="n">
        <v>653</v>
      </c>
      <c r="AA314" t="n">
        <v>676</v>
      </c>
      <c r="AB314" t="n">
        <v>8</v>
      </c>
      <c r="AC314" t="n">
        <v>8</v>
      </c>
      <c r="AD314" t="n">
        <v>34</v>
      </c>
      <c r="AE314" t="n">
        <v>34</v>
      </c>
      <c r="AF314" t="n">
        <v>16</v>
      </c>
      <c r="AG314" t="n">
        <v>16</v>
      </c>
      <c r="AH314" t="n">
        <v>7</v>
      </c>
      <c r="AI314" t="n">
        <v>7</v>
      </c>
      <c r="AJ314" t="n">
        <v>11</v>
      </c>
      <c r="AK314" t="n">
        <v>11</v>
      </c>
      <c r="AL314" t="n">
        <v>7</v>
      </c>
      <c r="AM314" t="n">
        <v>7</v>
      </c>
      <c r="AN314" t="n">
        <v>0</v>
      </c>
      <c r="AO314" t="n">
        <v>0</v>
      </c>
      <c r="AP314" t="inlineStr">
        <is>
          <t>No</t>
        </is>
      </c>
      <c r="AQ314" t="inlineStr">
        <is>
          <t>Yes</t>
        </is>
      </c>
      <c r="AR314">
        <f>HYPERLINK("http://catalog.hathitrust.org/Record/005402989","HathiTrust Record")</f>
        <v/>
      </c>
      <c r="AS314">
        <f>HYPERLINK("https://creighton-primo.hosted.exlibrisgroup.com/primo-explore/search?tab=default_tab&amp;search_scope=EVERYTHING&amp;vid=01CRU&amp;lang=en_US&amp;offset=0&amp;query=any,contains,991005313259702656","Catalog Record")</f>
        <v/>
      </c>
      <c r="AT314">
        <f>HYPERLINK("http://www.worldcat.org/oclc/70335189","WorldCat Record")</f>
        <v/>
      </c>
      <c r="AU314" t="inlineStr">
        <is>
          <t>797302830:eng</t>
        </is>
      </c>
      <c r="AV314" t="inlineStr">
        <is>
          <t>70335189</t>
        </is>
      </c>
      <c r="AW314" t="inlineStr">
        <is>
          <t>991005313259702656</t>
        </is>
      </c>
      <c r="AX314" t="inlineStr">
        <is>
          <t>991005313259702656</t>
        </is>
      </c>
      <c r="AY314" t="inlineStr">
        <is>
          <t>2267626870002656</t>
        </is>
      </c>
      <c r="AZ314" t="inlineStr">
        <is>
          <t>BOOK</t>
        </is>
      </c>
      <c r="BB314" t="inlineStr">
        <is>
          <t>9780807747360</t>
        </is>
      </c>
      <c r="BC314" t="inlineStr">
        <is>
          <t>32285005531123</t>
        </is>
      </c>
      <c r="BD314" t="inlineStr">
        <is>
          <t>893351086</t>
        </is>
      </c>
    </row>
    <row r="315">
      <c r="A315" t="inlineStr">
        <is>
          <t>No</t>
        </is>
      </c>
      <c r="B315" t="inlineStr">
        <is>
          <t>LB1027.4 .S357 2009</t>
        </is>
      </c>
      <c r="C315" t="inlineStr">
        <is>
          <t>0                      LB 1027400S  357         2009</t>
        </is>
      </c>
      <c r="D315" t="inlineStr">
        <is>
          <t>Lesson planning : a research-based model for K-12 classrooms / Melinda K. Schoenfeldt, Denise E. Salsbury.</t>
        </is>
      </c>
      <c r="F315" t="inlineStr">
        <is>
          <t>No</t>
        </is>
      </c>
      <c r="G315" t="inlineStr">
        <is>
          <t>1</t>
        </is>
      </c>
      <c r="H315" t="inlineStr">
        <is>
          <t>No</t>
        </is>
      </c>
      <c r="I315" t="inlineStr">
        <is>
          <t>No</t>
        </is>
      </c>
      <c r="J315" t="inlineStr">
        <is>
          <t>0</t>
        </is>
      </c>
      <c r="K315" t="inlineStr">
        <is>
          <t>Schoenfeldt, Melinda K.</t>
        </is>
      </c>
      <c r="L315" t="inlineStr">
        <is>
          <t>Upper Saddle River, N.J. : Pearson Merrill Prentice Hall, c2009.</t>
        </is>
      </c>
      <c r="M315" t="inlineStr">
        <is>
          <t>2009</t>
        </is>
      </c>
      <c r="O315" t="inlineStr">
        <is>
          <t>eng</t>
        </is>
      </c>
      <c r="P315" t="inlineStr">
        <is>
          <t>nju</t>
        </is>
      </c>
      <c r="R315" t="inlineStr">
        <is>
          <t xml:space="preserve">LB </t>
        </is>
      </c>
      <c r="S315" t="n">
        <v>1</v>
      </c>
      <c r="T315" t="n">
        <v>1</v>
      </c>
      <c r="U315" t="inlineStr">
        <is>
          <t>2008-04-21</t>
        </is>
      </c>
      <c r="V315" t="inlineStr">
        <is>
          <t>2008-04-21</t>
        </is>
      </c>
      <c r="W315" t="inlineStr">
        <is>
          <t>2008-04-21</t>
        </is>
      </c>
      <c r="X315" t="inlineStr">
        <is>
          <t>2008-04-21</t>
        </is>
      </c>
      <c r="Y315" t="n">
        <v>208</v>
      </c>
      <c r="Z315" t="n">
        <v>173</v>
      </c>
      <c r="AA315" t="n">
        <v>173</v>
      </c>
      <c r="AB315" t="n">
        <v>2</v>
      </c>
      <c r="AC315" t="n">
        <v>2</v>
      </c>
      <c r="AD315" t="n">
        <v>9</v>
      </c>
      <c r="AE315" t="n">
        <v>9</v>
      </c>
      <c r="AF315" t="n">
        <v>3</v>
      </c>
      <c r="AG315" t="n">
        <v>3</v>
      </c>
      <c r="AH315" t="n">
        <v>3</v>
      </c>
      <c r="AI315" t="n">
        <v>3</v>
      </c>
      <c r="AJ315" t="n">
        <v>6</v>
      </c>
      <c r="AK315" t="n">
        <v>6</v>
      </c>
      <c r="AL315" t="n">
        <v>1</v>
      </c>
      <c r="AM315" t="n">
        <v>1</v>
      </c>
      <c r="AN315" t="n">
        <v>0</v>
      </c>
      <c r="AO315" t="n">
        <v>0</v>
      </c>
      <c r="AP315" t="inlineStr">
        <is>
          <t>No</t>
        </is>
      </c>
      <c r="AQ315" t="inlineStr">
        <is>
          <t>No</t>
        </is>
      </c>
      <c r="AS315">
        <f>HYPERLINK("https://creighton-primo.hosted.exlibrisgroup.com/primo-explore/search?tab=default_tab&amp;search_scope=EVERYTHING&amp;vid=01CRU&amp;lang=en_US&amp;offset=0&amp;query=any,contains,991005199589702656","Catalog Record")</f>
        <v/>
      </c>
      <c r="AT315">
        <f>HYPERLINK("http://www.worldcat.org/oclc/174138876","WorldCat Record")</f>
        <v/>
      </c>
      <c r="AU315" t="inlineStr">
        <is>
          <t>114643654:eng</t>
        </is>
      </c>
      <c r="AV315" t="inlineStr">
        <is>
          <t>174138876</t>
        </is>
      </c>
      <c r="AW315" t="inlineStr">
        <is>
          <t>991005199589702656</t>
        </is>
      </c>
      <c r="AX315" t="inlineStr">
        <is>
          <t>991005199589702656</t>
        </is>
      </c>
      <c r="AY315" t="inlineStr">
        <is>
          <t>2266188850002656</t>
        </is>
      </c>
      <c r="AZ315" t="inlineStr">
        <is>
          <t>BOOK</t>
        </is>
      </c>
      <c r="BB315" t="inlineStr">
        <is>
          <t>9780131712775</t>
        </is>
      </c>
      <c r="BC315" t="inlineStr">
        <is>
          <t>32285005404073</t>
        </is>
      </c>
      <c r="BD315" t="inlineStr">
        <is>
          <t>893338700</t>
        </is>
      </c>
    </row>
    <row r="316">
      <c r="A316" t="inlineStr">
        <is>
          <t>No</t>
        </is>
      </c>
      <c r="B316" t="inlineStr">
        <is>
          <t>LB1027.47 .J45 1998</t>
        </is>
      </c>
      <c r="C316" t="inlineStr">
        <is>
          <t>0                      LB 1027470J  45          1998</t>
        </is>
      </c>
      <c r="D316" t="inlineStr">
        <is>
          <t>Trainer's bonanza : over 1000 fabulous tips &amp; tools / Eric Jensen.</t>
        </is>
      </c>
      <c r="F316" t="inlineStr">
        <is>
          <t>No</t>
        </is>
      </c>
      <c r="G316" t="inlineStr">
        <is>
          <t>1</t>
        </is>
      </c>
      <c r="H316" t="inlineStr">
        <is>
          <t>No</t>
        </is>
      </c>
      <c r="I316" t="inlineStr">
        <is>
          <t>No</t>
        </is>
      </c>
      <c r="J316" t="inlineStr">
        <is>
          <t>0</t>
        </is>
      </c>
      <c r="K316" t="inlineStr">
        <is>
          <t>Jensen, Eric.</t>
        </is>
      </c>
      <c r="L316" t="inlineStr">
        <is>
          <t>San Diego, CA : Brain Store, c1998.</t>
        </is>
      </c>
      <c r="M316" t="inlineStr">
        <is>
          <t>1998</t>
        </is>
      </c>
      <c r="O316" t="inlineStr">
        <is>
          <t>eng</t>
        </is>
      </c>
      <c r="P316" t="inlineStr">
        <is>
          <t>cau</t>
        </is>
      </c>
      <c r="R316" t="inlineStr">
        <is>
          <t xml:space="preserve">LB </t>
        </is>
      </c>
      <c r="S316" t="n">
        <v>7</v>
      </c>
      <c r="T316" t="n">
        <v>7</v>
      </c>
      <c r="U316" t="inlineStr">
        <is>
          <t>2007-01-09</t>
        </is>
      </c>
      <c r="V316" t="inlineStr">
        <is>
          <t>2007-01-09</t>
        </is>
      </c>
      <c r="W316" t="inlineStr">
        <is>
          <t>1999-04-27</t>
        </is>
      </c>
      <c r="X316" t="inlineStr">
        <is>
          <t>1999-04-27</t>
        </is>
      </c>
      <c r="Y316" t="n">
        <v>53</v>
      </c>
      <c r="Z316" t="n">
        <v>40</v>
      </c>
      <c r="AA316" t="n">
        <v>40</v>
      </c>
      <c r="AB316" t="n">
        <v>1</v>
      </c>
      <c r="AC316" t="n">
        <v>1</v>
      </c>
      <c r="AD316" t="n">
        <v>0</v>
      </c>
      <c r="AE316" t="n">
        <v>0</v>
      </c>
      <c r="AF316" t="n">
        <v>0</v>
      </c>
      <c r="AG316" t="n">
        <v>0</v>
      </c>
      <c r="AH316" t="n">
        <v>0</v>
      </c>
      <c r="AI316" t="n">
        <v>0</v>
      </c>
      <c r="AJ316" t="n">
        <v>0</v>
      </c>
      <c r="AK316" t="n">
        <v>0</v>
      </c>
      <c r="AL316" t="n">
        <v>0</v>
      </c>
      <c r="AM316" t="n">
        <v>0</v>
      </c>
      <c r="AN316" t="n">
        <v>0</v>
      </c>
      <c r="AO316" t="n">
        <v>0</v>
      </c>
      <c r="AP316" t="inlineStr">
        <is>
          <t>No</t>
        </is>
      </c>
      <c r="AQ316" t="inlineStr">
        <is>
          <t>No</t>
        </is>
      </c>
      <c r="AS316">
        <f>HYPERLINK("https://creighton-primo.hosted.exlibrisgroup.com/primo-explore/search?tab=default_tab&amp;search_scope=EVERYTHING&amp;vid=01CRU&amp;lang=en_US&amp;offset=0&amp;query=any,contains,991002983649702656","Catalog Record")</f>
        <v/>
      </c>
      <c r="AT316">
        <f>HYPERLINK("http://www.worldcat.org/oclc/40176918","WorldCat Record")</f>
        <v/>
      </c>
      <c r="AU316" t="inlineStr">
        <is>
          <t>25643315:eng</t>
        </is>
      </c>
      <c r="AV316" t="inlineStr">
        <is>
          <t>40176918</t>
        </is>
      </c>
      <c r="AW316" t="inlineStr">
        <is>
          <t>991002983649702656</t>
        </is>
      </c>
      <c r="AX316" t="inlineStr">
        <is>
          <t>991002983649702656</t>
        </is>
      </c>
      <c r="AY316" t="inlineStr">
        <is>
          <t>2264098310002656</t>
        </is>
      </c>
      <c r="AZ316" t="inlineStr">
        <is>
          <t>BOOK</t>
        </is>
      </c>
      <c r="BB316" t="inlineStr">
        <is>
          <t>9781890460037</t>
        </is>
      </c>
      <c r="BC316" t="inlineStr">
        <is>
          <t>32285003556502</t>
        </is>
      </c>
      <c r="BD316" t="inlineStr">
        <is>
          <t>893592044</t>
        </is>
      </c>
    </row>
    <row r="317">
      <c r="A317" t="inlineStr">
        <is>
          <t>No</t>
        </is>
      </c>
      <c r="B317" t="inlineStr">
        <is>
          <t>LB1027.5 .E358 1990</t>
        </is>
      </c>
      <c r="C317" t="inlineStr">
        <is>
          <t>0                      LB 1027500E  358         1990</t>
        </is>
      </c>
      <c r="D317" t="inlineStr">
        <is>
          <t>Elementary school counseling in a changing world / editors, Edwin R. Gerler, Jr., Joseph C. Ciechalski, Larry D. Parker.</t>
        </is>
      </c>
      <c r="F317" t="inlineStr">
        <is>
          <t>No</t>
        </is>
      </c>
      <c r="G317" t="inlineStr">
        <is>
          <t>1</t>
        </is>
      </c>
      <c r="H317" t="inlineStr">
        <is>
          <t>No</t>
        </is>
      </c>
      <c r="I317" t="inlineStr">
        <is>
          <t>No</t>
        </is>
      </c>
      <c r="J317" t="inlineStr">
        <is>
          <t>0</t>
        </is>
      </c>
      <c r="L317" t="inlineStr">
        <is>
          <t>Ann Arbor, Mich. : ERIC Counseling and Personnel Services Clearinghouse, School of Education, University of Michigan ; Alexandria, Va. : American School Counselor Association, c1990.</t>
        </is>
      </c>
      <c r="M317" t="inlineStr">
        <is>
          <t>1990</t>
        </is>
      </c>
      <c r="O317" t="inlineStr">
        <is>
          <t>eng</t>
        </is>
      </c>
      <c r="P317" t="inlineStr">
        <is>
          <t>miu</t>
        </is>
      </c>
      <c r="R317" t="inlineStr">
        <is>
          <t xml:space="preserve">LB </t>
        </is>
      </c>
      <c r="S317" t="n">
        <v>17</v>
      </c>
      <c r="T317" t="n">
        <v>17</v>
      </c>
      <c r="U317" t="inlineStr">
        <is>
          <t>2000-04-12</t>
        </is>
      </c>
      <c r="V317" t="inlineStr">
        <is>
          <t>2000-04-12</t>
        </is>
      </c>
      <c r="W317" t="inlineStr">
        <is>
          <t>1994-05-24</t>
        </is>
      </c>
      <c r="X317" t="inlineStr">
        <is>
          <t>1994-05-24</t>
        </is>
      </c>
      <c r="Y317" t="n">
        <v>192</v>
      </c>
      <c r="Z317" t="n">
        <v>172</v>
      </c>
      <c r="AA317" t="n">
        <v>180</v>
      </c>
      <c r="AB317" t="n">
        <v>3</v>
      </c>
      <c r="AC317" t="n">
        <v>3</v>
      </c>
      <c r="AD317" t="n">
        <v>8</v>
      </c>
      <c r="AE317" t="n">
        <v>8</v>
      </c>
      <c r="AF317" t="n">
        <v>3</v>
      </c>
      <c r="AG317" t="n">
        <v>3</v>
      </c>
      <c r="AH317" t="n">
        <v>2</v>
      </c>
      <c r="AI317" t="n">
        <v>2</v>
      </c>
      <c r="AJ317" t="n">
        <v>3</v>
      </c>
      <c r="AK317" t="n">
        <v>3</v>
      </c>
      <c r="AL317" t="n">
        <v>2</v>
      </c>
      <c r="AM317" t="n">
        <v>2</v>
      </c>
      <c r="AN317" t="n">
        <v>0</v>
      </c>
      <c r="AO317" t="n">
        <v>0</v>
      </c>
      <c r="AP317" t="inlineStr">
        <is>
          <t>No</t>
        </is>
      </c>
      <c r="AQ317" t="inlineStr">
        <is>
          <t>No</t>
        </is>
      </c>
      <c r="AS317">
        <f>HYPERLINK("https://creighton-primo.hosted.exlibrisgroup.com/primo-explore/search?tab=default_tab&amp;search_scope=EVERYTHING&amp;vid=01CRU&amp;lang=en_US&amp;offset=0&amp;query=any,contains,991001693629702656","Catalog Record")</f>
        <v/>
      </c>
      <c r="AT317">
        <f>HYPERLINK("http://www.worldcat.org/oclc/21454880","WorldCat Record")</f>
        <v/>
      </c>
      <c r="AU317" t="inlineStr">
        <is>
          <t>433358493:eng</t>
        </is>
      </c>
      <c r="AV317" t="inlineStr">
        <is>
          <t>21454880</t>
        </is>
      </c>
      <c r="AW317" t="inlineStr">
        <is>
          <t>991001693629702656</t>
        </is>
      </c>
      <c r="AX317" t="inlineStr">
        <is>
          <t>991001693629702656</t>
        </is>
      </c>
      <c r="AY317" t="inlineStr">
        <is>
          <t>2272348040002656</t>
        </is>
      </c>
      <c r="AZ317" t="inlineStr">
        <is>
          <t>BOOK</t>
        </is>
      </c>
      <c r="BB317" t="inlineStr">
        <is>
          <t>9781561090006</t>
        </is>
      </c>
      <c r="BC317" t="inlineStr">
        <is>
          <t>32285001898427</t>
        </is>
      </c>
      <c r="BD317" t="inlineStr">
        <is>
          <t>893340613</t>
        </is>
      </c>
    </row>
    <row r="318">
      <c r="A318" t="inlineStr">
        <is>
          <t>No</t>
        </is>
      </c>
      <c r="B318" t="inlineStr">
        <is>
          <t>LB1027.5 .E68 1982</t>
        </is>
      </c>
      <c r="C318" t="inlineStr">
        <is>
          <t>0                      LB 1027500E  68          1982</t>
        </is>
      </c>
      <c r="D318" t="inlineStr">
        <is>
          <t>The counselor as gatekeeper : social interaction in interviews / Frederick Erickson, Jeffrey Shultz.</t>
        </is>
      </c>
      <c r="F318" t="inlineStr">
        <is>
          <t>No</t>
        </is>
      </c>
      <c r="G318" t="inlineStr">
        <is>
          <t>1</t>
        </is>
      </c>
      <c r="H318" t="inlineStr">
        <is>
          <t>No</t>
        </is>
      </c>
      <c r="I318" t="inlineStr">
        <is>
          <t>No</t>
        </is>
      </c>
      <c r="J318" t="inlineStr">
        <is>
          <t>0</t>
        </is>
      </c>
      <c r="K318" t="inlineStr">
        <is>
          <t>Erickson, Frederick.</t>
        </is>
      </c>
      <c r="L318" t="inlineStr">
        <is>
          <t>New York : Academic Press, c1982.</t>
        </is>
      </c>
      <c r="M318" t="inlineStr">
        <is>
          <t>1982</t>
        </is>
      </c>
      <c r="O318" t="inlineStr">
        <is>
          <t>eng</t>
        </is>
      </c>
      <c r="P318" t="inlineStr">
        <is>
          <t>nyu</t>
        </is>
      </c>
      <c r="Q318" t="inlineStr">
        <is>
          <t>Language, thought, and culture</t>
        </is>
      </c>
      <c r="R318" t="inlineStr">
        <is>
          <t xml:space="preserve">LB </t>
        </is>
      </c>
      <c r="S318" t="n">
        <v>5</v>
      </c>
      <c r="T318" t="n">
        <v>5</v>
      </c>
      <c r="U318" t="inlineStr">
        <is>
          <t>2007-11-07</t>
        </is>
      </c>
      <c r="V318" t="inlineStr">
        <is>
          <t>2007-11-07</t>
        </is>
      </c>
      <c r="W318" t="inlineStr">
        <is>
          <t>1992-02-14</t>
        </is>
      </c>
      <c r="X318" t="inlineStr">
        <is>
          <t>1992-02-14</t>
        </is>
      </c>
      <c r="Y318" t="n">
        <v>375</v>
      </c>
      <c r="Z318" t="n">
        <v>264</v>
      </c>
      <c r="AA318" t="n">
        <v>267</v>
      </c>
      <c r="AB318" t="n">
        <v>1</v>
      </c>
      <c r="AC318" t="n">
        <v>1</v>
      </c>
      <c r="AD318" t="n">
        <v>8</v>
      </c>
      <c r="AE318" t="n">
        <v>8</v>
      </c>
      <c r="AF318" t="n">
        <v>4</v>
      </c>
      <c r="AG318" t="n">
        <v>4</v>
      </c>
      <c r="AH318" t="n">
        <v>2</v>
      </c>
      <c r="AI318" t="n">
        <v>2</v>
      </c>
      <c r="AJ318" t="n">
        <v>5</v>
      </c>
      <c r="AK318" t="n">
        <v>5</v>
      </c>
      <c r="AL318" t="n">
        <v>0</v>
      </c>
      <c r="AM318" t="n">
        <v>0</v>
      </c>
      <c r="AN318" t="n">
        <v>0</v>
      </c>
      <c r="AO318" t="n">
        <v>0</v>
      </c>
      <c r="AP318" t="inlineStr">
        <is>
          <t>No</t>
        </is>
      </c>
      <c r="AQ318" t="inlineStr">
        <is>
          <t>Yes</t>
        </is>
      </c>
      <c r="AR318">
        <f>HYPERLINK("http://catalog.hathitrust.org/Record/000762553","HathiTrust Record")</f>
        <v/>
      </c>
      <c r="AS318">
        <f>HYPERLINK("https://creighton-primo.hosted.exlibrisgroup.com/primo-explore/search?tab=default_tab&amp;search_scope=EVERYTHING&amp;vid=01CRU&amp;lang=en_US&amp;offset=0&amp;query=any,contains,991005177329702656","Catalog Record")</f>
        <v/>
      </c>
      <c r="AT318">
        <f>HYPERLINK("http://www.worldcat.org/oclc/7924722","WorldCat Record")</f>
        <v/>
      </c>
      <c r="AU318" t="inlineStr">
        <is>
          <t>795261004:eng</t>
        </is>
      </c>
      <c r="AV318" t="inlineStr">
        <is>
          <t>7924722</t>
        </is>
      </c>
      <c r="AW318" t="inlineStr">
        <is>
          <t>991005177329702656</t>
        </is>
      </c>
      <c r="AX318" t="inlineStr">
        <is>
          <t>991005177329702656</t>
        </is>
      </c>
      <c r="AY318" t="inlineStr">
        <is>
          <t>2270704370002656</t>
        </is>
      </c>
      <c r="AZ318" t="inlineStr">
        <is>
          <t>BOOK</t>
        </is>
      </c>
      <c r="BB318" t="inlineStr">
        <is>
          <t>9780122405808</t>
        </is>
      </c>
      <c r="BC318" t="inlineStr">
        <is>
          <t>32285000959071</t>
        </is>
      </c>
      <c r="BD318" t="inlineStr">
        <is>
          <t>893694873</t>
        </is>
      </c>
    </row>
    <row r="319">
      <c r="A319" t="inlineStr">
        <is>
          <t>No</t>
        </is>
      </c>
      <c r="B319" t="inlineStr">
        <is>
          <t>LB1027.5 .M567 1985</t>
        </is>
      </c>
      <c r="C319" t="inlineStr">
        <is>
          <t>0                      LB 1027500M  567         1985</t>
        </is>
      </c>
      <c r="D319" t="inlineStr">
        <is>
          <t>Children in crises : a team approach in the schools / Sharon R. Morgan.</t>
        </is>
      </c>
      <c r="F319" t="inlineStr">
        <is>
          <t>No</t>
        </is>
      </c>
      <c r="G319" t="inlineStr">
        <is>
          <t>1</t>
        </is>
      </c>
      <c r="H319" t="inlineStr">
        <is>
          <t>No</t>
        </is>
      </c>
      <c r="I319" t="inlineStr">
        <is>
          <t>No</t>
        </is>
      </c>
      <c r="J319" t="inlineStr">
        <is>
          <t>0</t>
        </is>
      </c>
      <c r="K319" t="inlineStr">
        <is>
          <t>Morgan, Sharon R., 1942-</t>
        </is>
      </c>
      <c r="L319" t="inlineStr">
        <is>
          <t>San Diego, Calif. : College-Hill Press, [1985]</t>
        </is>
      </c>
      <c r="M319" t="inlineStr">
        <is>
          <t>1985</t>
        </is>
      </c>
      <c r="O319" t="inlineStr">
        <is>
          <t>eng</t>
        </is>
      </c>
      <c r="P319" t="inlineStr">
        <is>
          <t>cau</t>
        </is>
      </c>
      <c r="R319" t="inlineStr">
        <is>
          <t xml:space="preserve">LB </t>
        </is>
      </c>
      <c r="S319" t="n">
        <v>13</v>
      </c>
      <c r="T319" t="n">
        <v>13</v>
      </c>
      <c r="U319" t="inlineStr">
        <is>
          <t>1999-02-03</t>
        </is>
      </c>
      <c r="V319" t="inlineStr">
        <is>
          <t>1999-02-03</t>
        </is>
      </c>
      <c r="W319" t="inlineStr">
        <is>
          <t>1992-02-14</t>
        </is>
      </c>
      <c r="X319" t="inlineStr">
        <is>
          <t>1992-02-14</t>
        </is>
      </c>
      <c r="Y319" t="n">
        <v>345</v>
      </c>
      <c r="Z319" t="n">
        <v>309</v>
      </c>
      <c r="AA319" t="n">
        <v>332</v>
      </c>
      <c r="AB319" t="n">
        <v>4</v>
      </c>
      <c r="AC319" t="n">
        <v>4</v>
      </c>
      <c r="AD319" t="n">
        <v>12</v>
      </c>
      <c r="AE319" t="n">
        <v>13</v>
      </c>
      <c r="AF319" t="n">
        <v>6</v>
      </c>
      <c r="AG319" t="n">
        <v>7</v>
      </c>
      <c r="AH319" t="n">
        <v>1</v>
      </c>
      <c r="AI319" t="n">
        <v>1</v>
      </c>
      <c r="AJ319" t="n">
        <v>4</v>
      </c>
      <c r="AK319" t="n">
        <v>5</v>
      </c>
      <c r="AL319" t="n">
        <v>3</v>
      </c>
      <c r="AM319" t="n">
        <v>3</v>
      </c>
      <c r="AN319" t="n">
        <v>0</v>
      </c>
      <c r="AO319" t="n">
        <v>0</v>
      </c>
      <c r="AP319" t="inlineStr">
        <is>
          <t>No</t>
        </is>
      </c>
      <c r="AQ319" t="inlineStr">
        <is>
          <t>Yes</t>
        </is>
      </c>
      <c r="AR319">
        <f>HYPERLINK("http://catalog.hathitrust.org/Record/000587712","HathiTrust Record")</f>
        <v/>
      </c>
      <c r="AS319">
        <f>HYPERLINK("https://creighton-primo.hosted.exlibrisgroup.com/primo-explore/search?tab=default_tab&amp;search_scope=EVERYTHING&amp;vid=01CRU&amp;lang=en_US&amp;offset=0&amp;query=any,contains,991000549859702656","Catalog Record")</f>
        <v/>
      </c>
      <c r="AT319">
        <f>HYPERLINK("http://www.worldcat.org/oclc/11532553","WorldCat Record")</f>
        <v/>
      </c>
      <c r="AU319" t="inlineStr">
        <is>
          <t>4141782:eng</t>
        </is>
      </c>
      <c r="AV319" t="inlineStr">
        <is>
          <t>11532553</t>
        </is>
      </c>
      <c r="AW319" t="inlineStr">
        <is>
          <t>991000549859702656</t>
        </is>
      </c>
      <c r="AX319" t="inlineStr">
        <is>
          <t>991000549859702656</t>
        </is>
      </c>
      <c r="AY319" t="inlineStr">
        <is>
          <t>2261284470002656</t>
        </is>
      </c>
      <c r="AZ319" t="inlineStr">
        <is>
          <t>BOOK</t>
        </is>
      </c>
      <c r="BB319" t="inlineStr">
        <is>
          <t>9780887441554</t>
        </is>
      </c>
      <c r="BC319" t="inlineStr">
        <is>
          <t>32285000959485</t>
        </is>
      </c>
      <c r="BD319" t="inlineStr">
        <is>
          <t>893255523</t>
        </is>
      </c>
    </row>
    <row r="320">
      <c r="A320" t="inlineStr">
        <is>
          <t>No</t>
        </is>
      </c>
      <c r="B320" t="inlineStr">
        <is>
          <t>LB1027.5 .P276 1994</t>
        </is>
      </c>
      <c r="C320" t="inlineStr">
        <is>
          <t>0                      LB 1027500P  276         1994</t>
        </is>
      </c>
      <c r="D320" t="inlineStr">
        <is>
          <t>Developmental school counseling programs : from theory to practice / Pamela O. Paisley, Glenda T. Hubbard.</t>
        </is>
      </c>
      <c r="F320" t="inlineStr">
        <is>
          <t>No</t>
        </is>
      </c>
      <c r="G320" t="inlineStr">
        <is>
          <t>1</t>
        </is>
      </c>
      <c r="H320" t="inlineStr">
        <is>
          <t>No</t>
        </is>
      </c>
      <c r="I320" t="inlineStr">
        <is>
          <t>No</t>
        </is>
      </c>
      <c r="J320" t="inlineStr">
        <is>
          <t>0</t>
        </is>
      </c>
      <c r="K320" t="inlineStr">
        <is>
          <t>Paisley, Pamela O.</t>
        </is>
      </c>
      <c r="L320" t="inlineStr">
        <is>
          <t>Alexandria, VA : American Counseling Association, c1994.</t>
        </is>
      </c>
      <c r="M320" t="inlineStr">
        <is>
          <t>1994</t>
        </is>
      </c>
      <c r="O320" t="inlineStr">
        <is>
          <t>eng</t>
        </is>
      </c>
      <c r="P320" t="inlineStr">
        <is>
          <t>vau</t>
        </is>
      </c>
      <c r="R320" t="inlineStr">
        <is>
          <t xml:space="preserve">LB </t>
        </is>
      </c>
      <c r="S320" t="n">
        <v>5</v>
      </c>
      <c r="T320" t="n">
        <v>5</v>
      </c>
      <c r="U320" t="inlineStr">
        <is>
          <t>2000-04-12</t>
        </is>
      </c>
      <c r="V320" t="inlineStr">
        <is>
          <t>2000-04-12</t>
        </is>
      </c>
      <c r="W320" t="inlineStr">
        <is>
          <t>1997-04-02</t>
        </is>
      </c>
      <c r="X320" t="inlineStr">
        <is>
          <t>1997-04-02</t>
        </is>
      </c>
      <c r="Y320" t="n">
        <v>167</v>
      </c>
      <c r="Z320" t="n">
        <v>151</v>
      </c>
      <c r="AA320" t="n">
        <v>153</v>
      </c>
      <c r="AB320" t="n">
        <v>2</v>
      </c>
      <c r="AC320" t="n">
        <v>2</v>
      </c>
      <c r="AD320" t="n">
        <v>9</v>
      </c>
      <c r="AE320" t="n">
        <v>9</v>
      </c>
      <c r="AF320" t="n">
        <v>6</v>
      </c>
      <c r="AG320" t="n">
        <v>6</v>
      </c>
      <c r="AH320" t="n">
        <v>0</v>
      </c>
      <c r="AI320" t="n">
        <v>0</v>
      </c>
      <c r="AJ320" t="n">
        <v>6</v>
      </c>
      <c r="AK320" t="n">
        <v>6</v>
      </c>
      <c r="AL320" t="n">
        <v>1</v>
      </c>
      <c r="AM320" t="n">
        <v>1</v>
      </c>
      <c r="AN320" t="n">
        <v>0</v>
      </c>
      <c r="AO320" t="n">
        <v>0</v>
      </c>
      <c r="AP320" t="inlineStr">
        <is>
          <t>No</t>
        </is>
      </c>
      <c r="AQ320" t="inlineStr">
        <is>
          <t>No</t>
        </is>
      </c>
      <c r="AS320">
        <f>HYPERLINK("https://creighton-primo.hosted.exlibrisgroup.com/primo-explore/search?tab=default_tab&amp;search_scope=EVERYTHING&amp;vid=01CRU&amp;lang=en_US&amp;offset=0&amp;query=any,contains,991002296319702656","Catalog Record")</f>
        <v/>
      </c>
      <c r="AT320">
        <f>HYPERLINK("http://www.worldcat.org/oclc/29793211","WorldCat Record")</f>
        <v/>
      </c>
      <c r="AU320" t="inlineStr">
        <is>
          <t>1364308514:eng</t>
        </is>
      </c>
      <c r="AV320" t="inlineStr">
        <is>
          <t>29793211</t>
        </is>
      </c>
      <c r="AW320" t="inlineStr">
        <is>
          <t>991002296319702656</t>
        </is>
      </c>
      <c r="AX320" t="inlineStr">
        <is>
          <t>991002296319702656</t>
        </is>
      </c>
      <c r="AY320" t="inlineStr">
        <is>
          <t>2270316000002656</t>
        </is>
      </c>
      <c r="AZ320" t="inlineStr">
        <is>
          <t>BOOK</t>
        </is>
      </c>
      <c r="BB320" t="inlineStr">
        <is>
          <t>9781556201394</t>
        </is>
      </c>
      <c r="BC320" t="inlineStr">
        <is>
          <t>32285002477841</t>
        </is>
      </c>
      <c r="BD320" t="inlineStr">
        <is>
          <t>893622120</t>
        </is>
      </c>
    </row>
    <row r="321">
      <c r="A321" t="inlineStr">
        <is>
          <t>No</t>
        </is>
      </c>
      <c r="B321" t="inlineStr">
        <is>
          <t>LB1027.5 .T68 1991</t>
        </is>
      </c>
      <c r="C321" t="inlineStr">
        <is>
          <t>0                      LB 1027500T  68          1991</t>
        </is>
      </c>
      <c r="D321" t="inlineStr">
        <is>
          <t>Toward the transformation of secondary school counseling / editors: Doris Rhea Coy ... [et al.]</t>
        </is>
      </c>
      <c r="F321" t="inlineStr">
        <is>
          <t>No</t>
        </is>
      </c>
      <c r="G321" t="inlineStr">
        <is>
          <t>1</t>
        </is>
      </c>
      <c r="H321" t="inlineStr">
        <is>
          <t>No</t>
        </is>
      </c>
      <c r="I321" t="inlineStr">
        <is>
          <t>No</t>
        </is>
      </c>
      <c r="J321" t="inlineStr">
        <is>
          <t>0</t>
        </is>
      </c>
      <c r="L321" t="inlineStr">
        <is>
          <t>Ann Arbor, Michigan : ERIC Counseling and Personnel Services Clearinghouse, School of Education, University of Michigan ; Alexandria, Virginia : American School Counselor Association, American Association for Counseling and Development, c1991.</t>
        </is>
      </c>
      <c r="M321" t="inlineStr">
        <is>
          <t>1991</t>
        </is>
      </c>
      <c r="O321" t="inlineStr">
        <is>
          <t>eng</t>
        </is>
      </c>
      <c r="P321" t="inlineStr">
        <is>
          <t>miu</t>
        </is>
      </c>
      <c r="R321" t="inlineStr">
        <is>
          <t xml:space="preserve">LB </t>
        </is>
      </c>
      <c r="S321" t="n">
        <v>8</v>
      </c>
      <c r="T321" t="n">
        <v>8</v>
      </c>
      <c r="U321" t="inlineStr">
        <is>
          <t>2002-06-24</t>
        </is>
      </c>
      <c r="V321" t="inlineStr">
        <is>
          <t>2002-06-24</t>
        </is>
      </c>
      <c r="W321" t="inlineStr">
        <is>
          <t>1994-05-26</t>
        </is>
      </c>
      <c r="X321" t="inlineStr">
        <is>
          <t>1994-05-26</t>
        </is>
      </c>
      <c r="Y321" t="n">
        <v>68</v>
      </c>
      <c r="Z321" t="n">
        <v>56</v>
      </c>
      <c r="AA321" t="n">
        <v>130</v>
      </c>
      <c r="AB321" t="n">
        <v>2</v>
      </c>
      <c r="AC321" t="n">
        <v>2</v>
      </c>
      <c r="AD321" t="n">
        <v>6</v>
      </c>
      <c r="AE321" t="n">
        <v>8</v>
      </c>
      <c r="AF321" t="n">
        <v>2</v>
      </c>
      <c r="AG321" t="n">
        <v>2</v>
      </c>
      <c r="AH321" t="n">
        <v>1</v>
      </c>
      <c r="AI321" t="n">
        <v>3</v>
      </c>
      <c r="AJ321" t="n">
        <v>4</v>
      </c>
      <c r="AK321" t="n">
        <v>5</v>
      </c>
      <c r="AL321" t="n">
        <v>1</v>
      </c>
      <c r="AM321" t="n">
        <v>1</v>
      </c>
      <c r="AN321" t="n">
        <v>0</v>
      </c>
      <c r="AO321" t="n">
        <v>0</v>
      </c>
      <c r="AP321" t="inlineStr">
        <is>
          <t>No</t>
        </is>
      </c>
      <c r="AQ321" t="inlineStr">
        <is>
          <t>No</t>
        </is>
      </c>
      <c r="AS321">
        <f>HYPERLINK("https://creighton-primo.hosted.exlibrisgroup.com/primo-explore/search?tab=default_tab&amp;search_scope=EVERYTHING&amp;vid=01CRU&amp;lang=en_US&amp;offset=0&amp;query=any,contains,991002030959702656","Catalog Record")</f>
        <v/>
      </c>
      <c r="AT321">
        <f>HYPERLINK("http://www.worldcat.org/oclc/25851107","WorldCat Record")</f>
        <v/>
      </c>
      <c r="AU321" t="inlineStr">
        <is>
          <t>55585573:eng</t>
        </is>
      </c>
      <c r="AV321" t="inlineStr">
        <is>
          <t>25851107</t>
        </is>
      </c>
      <c r="AW321" t="inlineStr">
        <is>
          <t>991002030959702656</t>
        </is>
      </c>
      <c r="AX321" t="inlineStr">
        <is>
          <t>991002030959702656</t>
        </is>
      </c>
      <c r="AY321" t="inlineStr">
        <is>
          <t>2256140450002656</t>
        </is>
      </c>
      <c r="AZ321" t="inlineStr">
        <is>
          <t>BOOK</t>
        </is>
      </c>
      <c r="BB321" t="inlineStr">
        <is>
          <t>9781561090372</t>
        </is>
      </c>
      <c r="BC321" t="inlineStr">
        <is>
          <t>32285001899409</t>
        </is>
      </c>
      <c r="BD321" t="inlineStr">
        <is>
          <t>893523106</t>
        </is>
      </c>
    </row>
    <row r="322">
      <c r="A322" t="inlineStr">
        <is>
          <t>No</t>
        </is>
      </c>
      <c r="B322" t="inlineStr">
        <is>
          <t>LB1027.5 .W343 1992, v...</t>
        </is>
      </c>
      <c r="C322" t="inlineStr">
        <is>
          <t>0                      LB 1027500W  343         1992                                        v...</t>
        </is>
      </c>
      <c r="D322" t="inlineStr">
        <is>
          <t>Student self-esteem : a vital element of school success / Garry R. Walz and Jeanne C. Bleuer.</t>
        </is>
      </c>
      <c r="E322" t="inlineStr">
        <is>
          <t>V.1</t>
        </is>
      </c>
      <c r="F322" t="inlineStr">
        <is>
          <t>No</t>
        </is>
      </c>
      <c r="G322" t="inlineStr">
        <is>
          <t>1</t>
        </is>
      </c>
      <c r="H322" t="inlineStr">
        <is>
          <t>No</t>
        </is>
      </c>
      <c r="I322" t="inlineStr">
        <is>
          <t>No</t>
        </is>
      </c>
      <c r="J322" t="inlineStr">
        <is>
          <t>0</t>
        </is>
      </c>
      <c r="K322" t="inlineStr">
        <is>
          <t>Walz, Garry Richard.</t>
        </is>
      </c>
      <c r="L322" t="inlineStr">
        <is>
          <t>Ann Arbor, Mich. : Counseling and Personnel Services, 1992-</t>
        </is>
      </c>
      <c r="M322" t="inlineStr">
        <is>
          <t>1992</t>
        </is>
      </c>
      <c r="O322" t="inlineStr">
        <is>
          <t>eng</t>
        </is>
      </c>
      <c r="P322" t="inlineStr">
        <is>
          <t>miu</t>
        </is>
      </c>
      <c r="R322" t="inlineStr">
        <is>
          <t xml:space="preserve">LB </t>
        </is>
      </c>
      <c r="S322" t="n">
        <v>33</v>
      </c>
      <c r="T322" t="n">
        <v>33</v>
      </c>
      <c r="U322" t="inlineStr">
        <is>
          <t>2003-10-07</t>
        </is>
      </c>
      <c r="V322" t="inlineStr">
        <is>
          <t>2003-10-07</t>
        </is>
      </c>
      <c r="W322" t="inlineStr">
        <is>
          <t>1993-05-26</t>
        </is>
      </c>
      <c r="X322" t="inlineStr">
        <is>
          <t>1993-05-26</t>
        </is>
      </c>
      <c r="Y322" t="n">
        <v>114</v>
      </c>
      <c r="Z322" t="n">
        <v>92</v>
      </c>
      <c r="AA322" t="n">
        <v>94</v>
      </c>
      <c r="AB322" t="n">
        <v>2</v>
      </c>
      <c r="AC322" t="n">
        <v>2</v>
      </c>
      <c r="AD322" t="n">
        <v>6</v>
      </c>
      <c r="AE322" t="n">
        <v>6</v>
      </c>
      <c r="AF322" t="n">
        <v>4</v>
      </c>
      <c r="AG322" t="n">
        <v>4</v>
      </c>
      <c r="AH322" t="n">
        <v>0</v>
      </c>
      <c r="AI322" t="n">
        <v>0</v>
      </c>
      <c r="AJ322" t="n">
        <v>2</v>
      </c>
      <c r="AK322" t="n">
        <v>2</v>
      </c>
      <c r="AL322" t="n">
        <v>1</v>
      </c>
      <c r="AM322" t="n">
        <v>1</v>
      </c>
      <c r="AN322" t="n">
        <v>0</v>
      </c>
      <c r="AO322" t="n">
        <v>0</v>
      </c>
      <c r="AP322" t="inlineStr">
        <is>
          <t>No</t>
        </is>
      </c>
      <c r="AQ322" t="inlineStr">
        <is>
          <t>No</t>
        </is>
      </c>
      <c r="AS322">
        <f>HYPERLINK("https://creighton-primo.hosted.exlibrisgroup.com/primo-explore/search?tab=default_tab&amp;search_scope=EVERYTHING&amp;vid=01CRU&amp;lang=en_US&amp;offset=0&amp;query=any,contains,991005415879702656","Catalog Record")</f>
        <v/>
      </c>
      <c r="AT322">
        <f>HYPERLINK("http://www.worldcat.org/oclc/26753671","WorldCat Record")</f>
        <v/>
      </c>
      <c r="AU322" t="inlineStr">
        <is>
          <t>285562149:eng</t>
        </is>
      </c>
      <c r="AV322" t="inlineStr">
        <is>
          <t>26753671</t>
        </is>
      </c>
      <c r="AW322" t="inlineStr">
        <is>
          <t>991005415879702656</t>
        </is>
      </c>
      <c r="AX322" t="inlineStr">
        <is>
          <t>991005415879702656</t>
        </is>
      </c>
      <c r="AY322" t="inlineStr">
        <is>
          <t>2271756330002656</t>
        </is>
      </c>
      <c r="AZ322" t="inlineStr">
        <is>
          <t>BOOK</t>
        </is>
      </c>
      <c r="BB322" t="inlineStr">
        <is>
          <t>9781561090440</t>
        </is>
      </c>
      <c r="BC322" t="inlineStr">
        <is>
          <t>32285001582880</t>
        </is>
      </c>
      <c r="BD322" t="inlineStr">
        <is>
          <t>893607359</t>
        </is>
      </c>
    </row>
    <row r="323">
      <c r="A323" t="inlineStr">
        <is>
          <t>No</t>
        </is>
      </c>
      <c r="B323" t="inlineStr">
        <is>
          <t>LB1027.9 .M395 1996</t>
        </is>
      </c>
      <c r="C323" t="inlineStr">
        <is>
          <t>0                      LB 1027900M  395         1996</t>
        </is>
      </c>
      <c r="D323" t="inlineStr">
        <is>
          <t>Break these chains : the battle for school choice / Daniel McGroarty.</t>
        </is>
      </c>
      <c r="F323" t="inlineStr">
        <is>
          <t>No</t>
        </is>
      </c>
      <c r="G323" t="inlineStr">
        <is>
          <t>1</t>
        </is>
      </c>
      <c r="H323" t="inlineStr">
        <is>
          <t>No</t>
        </is>
      </c>
      <c r="I323" t="inlineStr">
        <is>
          <t>No</t>
        </is>
      </c>
      <c r="J323" t="inlineStr">
        <is>
          <t>0</t>
        </is>
      </c>
      <c r="K323" t="inlineStr">
        <is>
          <t>McGroarty, Daniel.</t>
        </is>
      </c>
      <c r="L323" t="inlineStr">
        <is>
          <t>Rocklin, CA : Forum, c1996.</t>
        </is>
      </c>
      <c r="M323" t="inlineStr">
        <is>
          <t>1996</t>
        </is>
      </c>
      <c r="O323" t="inlineStr">
        <is>
          <t>eng</t>
        </is>
      </c>
      <c r="P323" t="inlineStr">
        <is>
          <t>cau</t>
        </is>
      </c>
      <c r="R323" t="inlineStr">
        <is>
          <t xml:space="preserve">LB </t>
        </is>
      </c>
      <c r="S323" t="n">
        <v>10</v>
      </c>
      <c r="T323" t="n">
        <v>10</v>
      </c>
      <c r="U323" t="inlineStr">
        <is>
          <t>2002-05-04</t>
        </is>
      </c>
      <c r="V323" t="inlineStr">
        <is>
          <t>2002-05-04</t>
        </is>
      </c>
      <c r="W323" t="inlineStr">
        <is>
          <t>1999-08-25</t>
        </is>
      </c>
      <c r="X323" t="inlineStr">
        <is>
          <t>1999-08-25</t>
        </is>
      </c>
      <c r="Y323" t="n">
        <v>556</v>
      </c>
      <c r="Z323" t="n">
        <v>544</v>
      </c>
      <c r="AA323" t="n">
        <v>552</v>
      </c>
      <c r="AB323" t="n">
        <v>4</v>
      </c>
      <c r="AC323" t="n">
        <v>4</v>
      </c>
      <c r="AD323" t="n">
        <v>19</v>
      </c>
      <c r="AE323" t="n">
        <v>19</v>
      </c>
      <c r="AF323" t="n">
        <v>6</v>
      </c>
      <c r="AG323" t="n">
        <v>6</v>
      </c>
      <c r="AH323" t="n">
        <v>6</v>
      </c>
      <c r="AI323" t="n">
        <v>6</v>
      </c>
      <c r="AJ323" t="n">
        <v>8</v>
      </c>
      <c r="AK323" t="n">
        <v>8</v>
      </c>
      <c r="AL323" t="n">
        <v>3</v>
      </c>
      <c r="AM323" t="n">
        <v>3</v>
      </c>
      <c r="AN323" t="n">
        <v>2</v>
      </c>
      <c r="AO323" t="n">
        <v>2</v>
      </c>
      <c r="AP323" t="inlineStr">
        <is>
          <t>No</t>
        </is>
      </c>
      <c r="AQ323" t="inlineStr">
        <is>
          <t>Yes</t>
        </is>
      </c>
      <c r="AR323">
        <f>HYPERLINK("http://catalog.hathitrust.org/Record/003110316","HathiTrust Record")</f>
        <v/>
      </c>
      <c r="AS323">
        <f>HYPERLINK("https://creighton-primo.hosted.exlibrisgroup.com/primo-explore/search?tab=default_tab&amp;search_scope=EVERYTHING&amp;vid=01CRU&amp;lang=en_US&amp;offset=0&amp;query=any,contains,991002606639702656","Catalog Record")</f>
        <v/>
      </c>
      <c r="AT323">
        <f>HYPERLINK("http://www.worldcat.org/oclc/34149921","WorldCat Record")</f>
        <v/>
      </c>
      <c r="AU323" t="inlineStr">
        <is>
          <t>474999963:eng</t>
        </is>
      </c>
      <c r="AV323" t="inlineStr">
        <is>
          <t>34149921</t>
        </is>
      </c>
      <c r="AW323" t="inlineStr">
        <is>
          <t>991002606639702656</t>
        </is>
      </c>
      <c r="AX323" t="inlineStr">
        <is>
          <t>991002606639702656</t>
        </is>
      </c>
      <c r="AY323" t="inlineStr">
        <is>
          <t>2271432410002656</t>
        </is>
      </c>
      <c r="AZ323" t="inlineStr">
        <is>
          <t>BOOK</t>
        </is>
      </c>
      <c r="BB323" t="inlineStr">
        <is>
          <t>9780761505075</t>
        </is>
      </c>
      <c r="BC323" t="inlineStr">
        <is>
          <t>32285003584256</t>
        </is>
      </c>
      <c r="BD323" t="inlineStr">
        <is>
          <t>893603782</t>
        </is>
      </c>
    </row>
    <row r="324">
      <c r="A324" t="inlineStr">
        <is>
          <t>No</t>
        </is>
      </c>
      <c r="B324" t="inlineStr">
        <is>
          <t>LB1027.9 .M68 1999</t>
        </is>
      </c>
      <c r="C324" t="inlineStr">
        <is>
          <t>0                      LB 1027900M  68          1999</t>
        </is>
      </c>
      <c r="D324" t="inlineStr">
        <is>
          <t>The politics of school choice / Hubert Morken and Jo Renee Formicola.</t>
        </is>
      </c>
      <c r="F324" t="inlineStr">
        <is>
          <t>No</t>
        </is>
      </c>
      <c r="G324" t="inlineStr">
        <is>
          <t>1</t>
        </is>
      </c>
      <c r="H324" t="inlineStr">
        <is>
          <t>No</t>
        </is>
      </c>
      <c r="I324" t="inlineStr">
        <is>
          <t>No</t>
        </is>
      </c>
      <c r="J324" t="inlineStr">
        <is>
          <t>0</t>
        </is>
      </c>
      <c r="K324" t="inlineStr">
        <is>
          <t>Morken, Hubert.</t>
        </is>
      </c>
      <c r="L324" t="inlineStr">
        <is>
          <t>Lanham, Md. : Rowman &amp; Littlefield Publishers, c1999.</t>
        </is>
      </c>
      <c r="M324" t="inlineStr">
        <is>
          <t>1999</t>
        </is>
      </c>
      <c r="O324" t="inlineStr">
        <is>
          <t>eng</t>
        </is>
      </c>
      <c r="P324" t="inlineStr">
        <is>
          <t>mdu</t>
        </is>
      </c>
      <c r="R324" t="inlineStr">
        <is>
          <t xml:space="preserve">LB </t>
        </is>
      </c>
      <c r="S324" t="n">
        <v>2</v>
      </c>
      <c r="T324" t="n">
        <v>2</v>
      </c>
      <c r="U324" t="inlineStr">
        <is>
          <t>2002-03-14</t>
        </is>
      </c>
      <c r="V324" t="inlineStr">
        <is>
          <t>2002-03-14</t>
        </is>
      </c>
      <c r="W324" t="inlineStr">
        <is>
          <t>2000-02-07</t>
        </is>
      </c>
      <c r="X324" t="inlineStr">
        <is>
          <t>2000-02-07</t>
        </is>
      </c>
      <c r="Y324" t="n">
        <v>453</v>
      </c>
      <c r="Z324" t="n">
        <v>428</v>
      </c>
      <c r="AA324" t="n">
        <v>435</v>
      </c>
      <c r="AB324" t="n">
        <v>6</v>
      </c>
      <c r="AC324" t="n">
        <v>6</v>
      </c>
      <c r="AD324" t="n">
        <v>33</v>
      </c>
      <c r="AE324" t="n">
        <v>33</v>
      </c>
      <c r="AF324" t="n">
        <v>14</v>
      </c>
      <c r="AG324" t="n">
        <v>14</v>
      </c>
      <c r="AH324" t="n">
        <v>7</v>
      </c>
      <c r="AI324" t="n">
        <v>7</v>
      </c>
      <c r="AJ324" t="n">
        <v>14</v>
      </c>
      <c r="AK324" t="n">
        <v>14</v>
      </c>
      <c r="AL324" t="n">
        <v>5</v>
      </c>
      <c r="AM324" t="n">
        <v>5</v>
      </c>
      <c r="AN324" t="n">
        <v>0</v>
      </c>
      <c r="AO324" t="n">
        <v>0</v>
      </c>
      <c r="AP324" t="inlineStr">
        <is>
          <t>No</t>
        </is>
      </c>
      <c r="AQ324" t="inlineStr">
        <is>
          <t>Yes</t>
        </is>
      </c>
      <c r="AR324">
        <f>HYPERLINK("http://catalog.hathitrust.org/Record/004071325","HathiTrust Record")</f>
        <v/>
      </c>
      <c r="AS324">
        <f>HYPERLINK("https://creighton-primo.hosted.exlibrisgroup.com/primo-explore/search?tab=default_tab&amp;search_scope=EVERYTHING&amp;vid=01CRU&amp;lang=en_US&amp;offset=0&amp;query=any,contains,991003032679702656","Catalog Record")</f>
        <v/>
      </c>
      <c r="AT324">
        <f>HYPERLINK("http://www.worldcat.org/oclc/41565274","WorldCat Record")</f>
        <v/>
      </c>
      <c r="AU324" t="inlineStr">
        <is>
          <t>26874535:eng</t>
        </is>
      </c>
      <c r="AV324" t="inlineStr">
        <is>
          <t>41565274</t>
        </is>
      </c>
      <c r="AW324" t="inlineStr">
        <is>
          <t>991003032679702656</t>
        </is>
      </c>
      <c r="AX324" t="inlineStr">
        <is>
          <t>991003032679702656</t>
        </is>
      </c>
      <c r="AY324" t="inlineStr">
        <is>
          <t>2269498110002656</t>
        </is>
      </c>
      <c r="AZ324" t="inlineStr">
        <is>
          <t>BOOK</t>
        </is>
      </c>
      <c r="BB324" t="inlineStr">
        <is>
          <t>9780847697205</t>
        </is>
      </c>
      <c r="BC324" t="inlineStr">
        <is>
          <t>32285003658902</t>
        </is>
      </c>
      <c r="BD324" t="inlineStr">
        <is>
          <t>893317589</t>
        </is>
      </c>
    </row>
    <row r="325">
      <c r="A325" t="inlineStr">
        <is>
          <t>No</t>
        </is>
      </c>
      <c r="B325" t="inlineStr">
        <is>
          <t>LB1027.9 .R62 1996</t>
        </is>
      </c>
      <c r="C325" t="inlineStr">
        <is>
          <t>0                      LB 1027900R  62          1996</t>
        </is>
      </c>
      <c r="D325" t="inlineStr">
        <is>
          <t>Transforming public policy : dynamics of policy entrepreneurship and innovation / Nancy C. Roberts, Paula J. King.</t>
        </is>
      </c>
      <c r="F325" t="inlineStr">
        <is>
          <t>No</t>
        </is>
      </c>
      <c r="G325" t="inlineStr">
        <is>
          <t>1</t>
        </is>
      </c>
      <c r="H325" t="inlineStr">
        <is>
          <t>No</t>
        </is>
      </c>
      <c r="I325" t="inlineStr">
        <is>
          <t>No</t>
        </is>
      </c>
      <c r="J325" t="inlineStr">
        <is>
          <t>0</t>
        </is>
      </c>
      <c r="K325" t="inlineStr">
        <is>
          <t>Roberts, Nancy Charlotte.</t>
        </is>
      </c>
      <c r="L325" t="inlineStr">
        <is>
          <t>San Francisco, Calif. : Jossey-Bass Publishers, c1996.</t>
        </is>
      </c>
      <c r="M325" t="inlineStr">
        <is>
          <t>1996</t>
        </is>
      </c>
      <c r="N325" t="inlineStr">
        <is>
          <t>1st ed.</t>
        </is>
      </c>
      <c r="O325" t="inlineStr">
        <is>
          <t>eng</t>
        </is>
      </c>
      <c r="P325" t="inlineStr">
        <is>
          <t>cau</t>
        </is>
      </c>
      <c r="Q325" t="inlineStr">
        <is>
          <t>Jossey-Bass education series</t>
        </is>
      </c>
      <c r="R325" t="inlineStr">
        <is>
          <t xml:space="preserve">LB </t>
        </is>
      </c>
      <c r="S325" t="n">
        <v>1</v>
      </c>
      <c r="T325" t="n">
        <v>1</v>
      </c>
      <c r="U325" t="inlineStr">
        <is>
          <t>2002-03-25</t>
        </is>
      </c>
      <c r="V325" t="inlineStr">
        <is>
          <t>2002-03-25</t>
        </is>
      </c>
      <c r="W325" t="inlineStr">
        <is>
          <t>1997-01-14</t>
        </is>
      </c>
      <c r="X325" t="inlineStr">
        <is>
          <t>1997-01-14</t>
        </is>
      </c>
      <c r="Y325" t="n">
        <v>306</v>
      </c>
      <c r="Z325" t="n">
        <v>262</v>
      </c>
      <c r="AA325" t="n">
        <v>269</v>
      </c>
      <c r="AB325" t="n">
        <v>4</v>
      </c>
      <c r="AC325" t="n">
        <v>4</v>
      </c>
      <c r="AD325" t="n">
        <v>14</v>
      </c>
      <c r="AE325" t="n">
        <v>14</v>
      </c>
      <c r="AF325" t="n">
        <v>3</v>
      </c>
      <c r="AG325" t="n">
        <v>3</v>
      </c>
      <c r="AH325" t="n">
        <v>3</v>
      </c>
      <c r="AI325" t="n">
        <v>3</v>
      </c>
      <c r="AJ325" t="n">
        <v>7</v>
      </c>
      <c r="AK325" t="n">
        <v>7</v>
      </c>
      <c r="AL325" t="n">
        <v>3</v>
      </c>
      <c r="AM325" t="n">
        <v>3</v>
      </c>
      <c r="AN325" t="n">
        <v>0</v>
      </c>
      <c r="AO325" t="n">
        <v>0</v>
      </c>
      <c r="AP325" t="inlineStr">
        <is>
          <t>No</t>
        </is>
      </c>
      <c r="AQ325" t="inlineStr">
        <is>
          <t>Yes</t>
        </is>
      </c>
      <c r="AR325">
        <f>HYPERLINK("http://catalog.hathitrust.org/Record/003055129","HathiTrust Record")</f>
        <v/>
      </c>
      <c r="AS325">
        <f>HYPERLINK("https://creighton-primo.hosted.exlibrisgroup.com/primo-explore/search?tab=default_tab&amp;search_scope=EVERYTHING&amp;vid=01CRU&amp;lang=en_US&amp;offset=0&amp;query=any,contains,991002557359702656","Catalog Record")</f>
        <v/>
      </c>
      <c r="AT325">
        <f>HYPERLINK("http://www.worldcat.org/oclc/33244175","WorldCat Record")</f>
        <v/>
      </c>
      <c r="AU325" t="inlineStr">
        <is>
          <t>890768755:eng</t>
        </is>
      </c>
      <c r="AV325" t="inlineStr">
        <is>
          <t>33244175</t>
        </is>
      </c>
      <c r="AW325" t="inlineStr">
        <is>
          <t>991002557359702656</t>
        </is>
      </c>
      <c r="AX325" t="inlineStr">
        <is>
          <t>991002557359702656</t>
        </is>
      </c>
      <c r="AY325" t="inlineStr">
        <is>
          <t>2255922230002656</t>
        </is>
      </c>
      <c r="AZ325" t="inlineStr">
        <is>
          <t>BOOK</t>
        </is>
      </c>
      <c r="BB325" t="inlineStr">
        <is>
          <t>9780787902025</t>
        </is>
      </c>
      <c r="BC325" t="inlineStr">
        <is>
          <t>32285002407236</t>
        </is>
      </c>
      <c r="BD325" t="inlineStr">
        <is>
          <t>893697951</t>
        </is>
      </c>
    </row>
    <row r="326">
      <c r="A326" t="inlineStr">
        <is>
          <t>No</t>
        </is>
      </c>
      <c r="B326" t="inlineStr">
        <is>
          <t>LB1027.9 .S84 2003</t>
        </is>
      </c>
      <c r="C326" t="inlineStr">
        <is>
          <t>0                      LB 1027900S  84          2003</t>
        </is>
      </c>
      <c r="D326" t="inlineStr">
        <is>
          <t>Breaking free : public school lessons and the imperative of school choice / Sol Stern.</t>
        </is>
      </c>
      <c r="F326" t="inlineStr">
        <is>
          <t>No</t>
        </is>
      </c>
      <c r="G326" t="inlineStr">
        <is>
          <t>1</t>
        </is>
      </c>
      <c r="H326" t="inlineStr">
        <is>
          <t>No</t>
        </is>
      </c>
      <c r="I326" t="inlineStr">
        <is>
          <t>No</t>
        </is>
      </c>
      <c r="J326" t="inlineStr">
        <is>
          <t>0</t>
        </is>
      </c>
      <c r="K326" t="inlineStr">
        <is>
          <t>Stern, Sol, 1935-</t>
        </is>
      </c>
      <c r="L326" t="inlineStr">
        <is>
          <t>San Francisco : Encounter Books, c2003.</t>
        </is>
      </c>
      <c r="M326" t="inlineStr">
        <is>
          <t>2003</t>
        </is>
      </c>
      <c r="N326" t="inlineStr">
        <is>
          <t>1st ed.</t>
        </is>
      </c>
      <c r="O326" t="inlineStr">
        <is>
          <t>eng</t>
        </is>
      </c>
      <c r="P326" t="inlineStr">
        <is>
          <t>cau</t>
        </is>
      </c>
      <c r="R326" t="inlineStr">
        <is>
          <t xml:space="preserve">LB </t>
        </is>
      </c>
      <c r="S326" t="n">
        <v>1</v>
      </c>
      <c r="T326" t="n">
        <v>1</v>
      </c>
      <c r="U326" t="inlineStr">
        <is>
          <t>2003-06-16</t>
        </is>
      </c>
      <c r="V326" t="inlineStr">
        <is>
          <t>2003-06-16</t>
        </is>
      </c>
      <c r="W326" t="inlineStr">
        <is>
          <t>2003-06-16</t>
        </is>
      </c>
      <c r="X326" t="inlineStr">
        <is>
          <t>2003-06-16</t>
        </is>
      </c>
      <c r="Y326" t="n">
        <v>540</v>
      </c>
      <c r="Z326" t="n">
        <v>524</v>
      </c>
      <c r="AA326" t="n">
        <v>545</v>
      </c>
      <c r="AB326" t="n">
        <v>3</v>
      </c>
      <c r="AC326" t="n">
        <v>3</v>
      </c>
      <c r="AD326" t="n">
        <v>24</v>
      </c>
      <c r="AE326" t="n">
        <v>26</v>
      </c>
      <c r="AF326" t="n">
        <v>10</v>
      </c>
      <c r="AG326" t="n">
        <v>12</v>
      </c>
      <c r="AH326" t="n">
        <v>6</v>
      </c>
      <c r="AI326" t="n">
        <v>6</v>
      </c>
      <c r="AJ326" t="n">
        <v>10</v>
      </c>
      <c r="AK326" t="n">
        <v>10</v>
      </c>
      <c r="AL326" t="n">
        <v>2</v>
      </c>
      <c r="AM326" t="n">
        <v>2</v>
      </c>
      <c r="AN326" t="n">
        <v>4</v>
      </c>
      <c r="AO326" t="n">
        <v>4</v>
      </c>
      <c r="AP326" t="inlineStr">
        <is>
          <t>No</t>
        </is>
      </c>
      <c r="AQ326" t="inlineStr">
        <is>
          <t>Yes</t>
        </is>
      </c>
      <c r="AR326">
        <f>HYPERLINK("http://catalog.hathitrust.org/Record/004320780","HathiTrust Record")</f>
        <v/>
      </c>
      <c r="AS326">
        <f>HYPERLINK("https://creighton-primo.hosted.exlibrisgroup.com/primo-explore/search?tab=default_tab&amp;search_scope=EVERYTHING&amp;vid=01CRU&amp;lang=en_US&amp;offset=0&amp;query=any,contains,991004058099702656","Catalog Record")</f>
        <v/>
      </c>
      <c r="AT326">
        <f>HYPERLINK("http://www.worldcat.org/oclc/51454538","WorldCat Record")</f>
        <v/>
      </c>
      <c r="AU326" t="inlineStr">
        <is>
          <t>1088347:eng</t>
        </is>
      </c>
      <c r="AV326" t="inlineStr">
        <is>
          <t>51454538</t>
        </is>
      </c>
      <c r="AW326" t="inlineStr">
        <is>
          <t>991004058099702656</t>
        </is>
      </c>
      <c r="AX326" t="inlineStr">
        <is>
          <t>991004058099702656</t>
        </is>
      </c>
      <c r="AY326" t="inlineStr">
        <is>
          <t>2255492070002656</t>
        </is>
      </c>
      <c r="AZ326" t="inlineStr">
        <is>
          <t>BOOK</t>
        </is>
      </c>
      <c r="BB326" t="inlineStr">
        <is>
          <t>9781893554078</t>
        </is>
      </c>
      <c r="BC326" t="inlineStr">
        <is>
          <t>32285004752290</t>
        </is>
      </c>
      <c r="BD326" t="inlineStr">
        <is>
          <t>893687303</t>
        </is>
      </c>
    </row>
    <row r="327">
      <c r="A327" t="inlineStr">
        <is>
          <t>No</t>
        </is>
      </c>
      <c r="B327" t="inlineStr">
        <is>
          <t>LB1027.9 .V38 2004</t>
        </is>
      </c>
      <c r="C327" t="inlineStr">
        <is>
          <t>0                      LB 1027900V  38          2004</t>
        </is>
      </c>
      <c r="D327" t="inlineStr">
        <is>
          <t>Empowering the poor : why justice requires school choice / David B. Van Heemst.</t>
        </is>
      </c>
      <c r="F327" t="inlineStr">
        <is>
          <t>No</t>
        </is>
      </c>
      <c r="G327" t="inlineStr">
        <is>
          <t>1</t>
        </is>
      </c>
      <c r="H327" t="inlineStr">
        <is>
          <t>No</t>
        </is>
      </c>
      <c r="I327" t="inlineStr">
        <is>
          <t>No</t>
        </is>
      </c>
      <c r="J327" t="inlineStr">
        <is>
          <t>0</t>
        </is>
      </c>
      <c r="K327" t="inlineStr">
        <is>
          <t>Van Heemst, David, 1966-</t>
        </is>
      </c>
      <c r="L327" t="inlineStr">
        <is>
          <t>Lanham, Md. : ScarecrowEducation, 2004.</t>
        </is>
      </c>
      <c r="M327" t="inlineStr">
        <is>
          <t>2004</t>
        </is>
      </c>
      <c r="O327" t="inlineStr">
        <is>
          <t>eng</t>
        </is>
      </c>
      <c r="P327" t="inlineStr">
        <is>
          <t>mdu</t>
        </is>
      </c>
      <c r="R327" t="inlineStr">
        <is>
          <t xml:space="preserve">LB </t>
        </is>
      </c>
      <c r="S327" t="n">
        <v>3</v>
      </c>
      <c r="T327" t="n">
        <v>3</v>
      </c>
      <c r="U327" t="inlineStr">
        <is>
          <t>2008-12-01</t>
        </is>
      </c>
      <c r="V327" t="inlineStr">
        <is>
          <t>2008-12-01</t>
        </is>
      </c>
      <c r="W327" t="inlineStr">
        <is>
          <t>2005-03-16</t>
        </is>
      </c>
      <c r="X327" t="inlineStr">
        <is>
          <t>2005-03-16</t>
        </is>
      </c>
      <c r="Y327" t="n">
        <v>274</v>
      </c>
      <c r="Z327" t="n">
        <v>245</v>
      </c>
      <c r="AA327" t="n">
        <v>250</v>
      </c>
      <c r="AB327" t="n">
        <v>3</v>
      </c>
      <c r="AC327" t="n">
        <v>3</v>
      </c>
      <c r="AD327" t="n">
        <v>15</v>
      </c>
      <c r="AE327" t="n">
        <v>15</v>
      </c>
      <c r="AF327" t="n">
        <v>5</v>
      </c>
      <c r="AG327" t="n">
        <v>5</v>
      </c>
      <c r="AH327" t="n">
        <v>5</v>
      </c>
      <c r="AI327" t="n">
        <v>5</v>
      </c>
      <c r="AJ327" t="n">
        <v>8</v>
      </c>
      <c r="AK327" t="n">
        <v>8</v>
      </c>
      <c r="AL327" t="n">
        <v>2</v>
      </c>
      <c r="AM327" t="n">
        <v>2</v>
      </c>
      <c r="AN327" t="n">
        <v>0</v>
      </c>
      <c r="AO327" t="n">
        <v>0</v>
      </c>
      <c r="AP327" t="inlineStr">
        <is>
          <t>No</t>
        </is>
      </c>
      <c r="AQ327" t="inlineStr">
        <is>
          <t>No</t>
        </is>
      </c>
      <c r="AS327">
        <f>HYPERLINK("https://creighton-primo.hosted.exlibrisgroup.com/primo-explore/search?tab=default_tab&amp;search_scope=EVERYTHING&amp;vid=01CRU&amp;lang=en_US&amp;offset=0&amp;query=any,contains,991004429569702656","Catalog Record")</f>
        <v/>
      </c>
      <c r="AT327">
        <f>HYPERLINK("http://www.worldcat.org/oclc/53951094","WorldCat Record")</f>
        <v/>
      </c>
      <c r="AU327" t="inlineStr">
        <is>
          <t>10132939437:eng</t>
        </is>
      </c>
      <c r="AV327" t="inlineStr">
        <is>
          <t>53951094</t>
        </is>
      </c>
      <c r="AW327" t="inlineStr">
        <is>
          <t>991004429569702656</t>
        </is>
      </c>
      <c r="AX327" t="inlineStr">
        <is>
          <t>991004429569702656</t>
        </is>
      </c>
      <c r="AY327" t="inlineStr">
        <is>
          <t>2257226060002656</t>
        </is>
      </c>
      <c r="AZ327" t="inlineStr">
        <is>
          <t>BOOK</t>
        </is>
      </c>
      <c r="BB327" t="inlineStr">
        <is>
          <t>9781578861194</t>
        </is>
      </c>
      <c r="BC327" t="inlineStr">
        <is>
          <t>32285005041891</t>
        </is>
      </c>
      <c r="BD327" t="inlineStr">
        <is>
          <t>893869709</t>
        </is>
      </c>
    </row>
    <row r="328">
      <c r="A328" t="inlineStr">
        <is>
          <t>No</t>
        </is>
      </c>
      <c r="B328" t="inlineStr">
        <is>
          <t>LB1027.9 .V58 1999</t>
        </is>
      </c>
      <c r="C328" t="inlineStr">
        <is>
          <t>0                      LB 1027900V  58          1999</t>
        </is>
      </c>
      <c r="D328" t="inlineStr">
        <is>
          <t>Choosing equality : school choice, the Constitution, and civil society / Joseph P. Viteritti.</t>
        </is>
      </c>
      <c r="F328" t="inlineStr">
        <is>
          <t>No</t>
        </is>
      </c>
      <c r="G328" t="inlineStr">
        <is>
          <t>1</t>
        </is>
      </c>
      <c r="H328" t="inlineStr">
        <is>
          <t>No</t>
        </is>
      </c>
      <c r="I328" t="inlineStr">
        <is>
          <t>No</t>
        </is>
      </c>
      <c r="J328" t="inlineStr">
        <is>
          <t>0</t>
        </is>
      </c>
      <c r="K328" t="inlineStr">
        <is>
          <t>Viteritti, Joseph P., 1946-</t>
        </is>
      </c>
      <c r="L328" t="inlineStr">
        <is>
          <t>Washington, D.C. : Brookings Institution Press, c1999.</t>
        </is>
      </c>
      <c r="M328" t="inlineStr">
        <is>
          <t>1999</t>
        </is>
      </c>
      <c r="O328" t="inlineStr">
        <is>
          <t>eng</t>
        </is>
      </c>
      <c r="P328" t="inlineStr">
        <is>
          <t>dcu</t>
        </is>
      </c>
      <c r="R328" t="inlineStr">
        <is>
          <t xml:space="preserve">LB </t>
        </is>
      </c>
      <c r="S328" t="n">
        <v>4</v>
      </c>
      <c r="T328" t="n">
        <v>4</v>
      </c>
      <c r="U328" t="inlineStr">
        <is>
          <t>2008-12-01</t>
        </is>
      </c>
      <c r="V328" t="inlineStr">
        <is>
          <t>2008-12-01</t>
        </is>
      </c>
      <c r="W328" t="inlineStr">
        <is>
          <t>1999-11-09</t>
        </is>
      </c>
      <c r="X328" t="inlineStr">
        <is>
          <t>1999-11-09</t>
        </is>
      </c>
      <c r="Y328" t="n">
        <v>859</v>
      </c>
      <c r="Z328" t="n">
        <v>799</v>
      </c>
      <c r="AA328" t="n">
        <v>1815</v>
      </c>
      <c r="AB328" t="n">
        <v>4</v>
      </c>
      <c r="AC328" t="n">
        <v>9</v>
      </c>
      <c r="AD328" t="n">
        <v>39</v>
      </c>
      <c r="AE328" t="n">
        <v>54</v>
      </c>
      <c r="AF328" t="n">
        <v>12</v>
      </c>
      <c r="AG328" t="n">
        <v>19</v>
      </c>
      <c r="AH328" t="n">
        <v>9</v>
      </c>
      <c r="AI328" t="n">
        <v>10</v>
      </c>
      <c r="AJ328" t="n">
        <v>20</v>
      </c>
      <c r="AK328" t="n">
        <v>22</v>
      </c>
      <c r="AL328" t="n">
        <v>3</v>
      </c>
      <c r="AM328" t="n">
        <v>8</v>
      </c>
      <c r="AN328" t="n">
        <v>6</v>
      </c>
      <c r="AO328" t="n">
        <v>6</v>
      </c>
      <c r="AP328" t="inlineStr">
        <is>
          <t>No</t>
        </is>
      </c>
      <c r="AQ328" t="inlineStr">
        <is>
          <t>No</t>
        </is>
      </c>
      <c r="AS328">
        <f>HYPERLINK("https://creighton-primo.hosted.exlibrisgroup.com/primo-explore/search?tab=default_tab&amp;search_scope=EVERYTHING&amp;vid=01CRU&amp;lang=en_US&amp;offset=0&amp;query=any,contains,991003027349702656","Catalog Record")</f>
        <v/>
      </c>
      <c r="AT328">
        <f>HYPERLINK("http://www.worldcat.org/oclc/41400668","WorldCat Record")</f>
        <v/>
      </c>
      <c r="AU328" t="inlineStr">
        <is>
          <t>793898428:eng</t>
        </is>
      </c>
      <c r="AV328" t="inlineStr">
        <is>
          <t>41400668</t>
        </is>
      </c>
      <c r="AW328" t="inlineStr">
        <is>
          <t>991003027349702656</t>
        </is>
      </c>
      <c r="AX328" t="inlineStr">
        <is>
          <t>991003027349702656</t>
        </is>
      </c>
      <c r="AY328" t="inlineStr">
        <is>
          <t>2271816980002656</t>
        </is>
      </c>
      <c r="AZ328" t="inlineStr">
        <is>
          <t>BOOK</t>
        </is>
      </c>
      <c r="BB328" t="inlineStr">
        <is>
          <t>9780815790464</t>
        </is>
      </c>
      <c r="BC328" t="inlineStr">
        <is>
          <t>32285003620126</t>
        </is>
      </c>
      <c r="BD328" t="inlineStr">
        <is>
          <t>893317582</t>
        </is>
      </c>
    </row>
    <row r="329">
      <c r="A329" t="inlineStr">
        <is>
          <t>No</t>
        </is>
      </c>
      <c r="B329" t="inlineStr">
        <is>
          <t>LB1027.9 .W45 1993</t>
        </is>
      </c>
      <c r="C329" t="inlineStr">
        <is>
          <t>0                      LB 1027900W  45          1993</t>
        </is>
      </c>
      <c r="D329" t="inlineStr">
        <is>
          <t>Time to choose : America at the crossroads of school choice policy / Amy Stuart Wells.</t>
        </is>
      </c>
      <c r="F329" t="inlineStr">
        <is>
          <t>No</t>
        </is>
      </c>
      <c r="G329" t="inlineStr">
        <is>
          <t>1</t>
        </is>
      </c>
      <c r="H329" t="inlineStr">
        <is>
          <t>No</t>
        </is>
      </c>
      <c r="I329" t="inlineStr">
        <is>
          <t>No</t>
        </is>
      </c>
      <c r="J329" t="inlineStr">
        <is>
          <t>0</t>
        </is>
      </c>
      <c r="K329" t="inlineStr">
        <is>
          <t>Wells, Amy Stuart, 1961-</t>
        </is>
      </c>
      <c r="L329" t="inlineStr">
        <is>
          <t>New York : Hill and Wang, 1993.</t>
        </is>
      </c>
      <c r="M329" t="inlineStr">
        <is>
          <t>1993</t>
        </is>
      </c>
      <c r="N329" t="inlineStr">
        <is>
          <t>1st ed.</t>
        </is>
      </c>
      <c r="O329" t="inlineStr">
        <is>
          <t>eng</t>
        </is>
      </c>
      <c r="P329" t="inlineStr">
        <is>
          <t>nyu</t>
        </is>
      </c>
      <c r="Q329" t="inlineStr">
        <is>
          <t>New frontiers of education</t>
        </is>
      </c>
      <c r="R329" t="inlineStr">
        <is>
          <t xml:space="preserve">LB </t>
        </is>
      </c>
      <c r="S329" t="n">
        <v>7</v>
      </c>
      <c r="T329" t="n">
        <v>7</v>
      </c>
      <c r="U329" t="inlineStr">
        <is>
          <t>2002-04-08</t>
        </is>
      </c>
      <c r="V329" t="inlineStr">
        <is>
          <t>2002-04-08</t>
        </is>
      </c>
      <c r="W329" t="inlineStr">
        <is>
          <t>1997-02-25</t>
        </is>
      </c>
      <c r="X329" t="inlineStr">
        <is>
          <t>1997-02-25</t>
        </is>
      </c>
      <c r="Y329" t="n">
        <v>452</v>
      </c>
      <c r="Z329" t="n">
        <v>434</v>
      </c>
      <c r="AA329" t="n">
        <v>439</v>
      </c>
      <c r="AB329" t="n">
        <v>3</v>
      </c>
      <c r="AC329" t="n">
        <v>3</v>
      </c>
      <c r="AD329" t="n">
        <v>15</v>
      </c>
      <c r="AE329" t="n">
        <v>15</v>
      </c>
      <c r="AF329" t="n">
        <v>6</v>
      </c>
      <c r="AG329" t="n">
        <v>6</v>
      </c>
      <c r="AH329" t="n">
        <v>6</v>
      </c>
      <c r="AI329" t="n">
        <v>6</v>
      </c>
      <c r="AJ329" t="n">
        <v>9</v>
      </c>
      <c r="AK329" t="n">
        <v>9</v>
      </c>
      <c r="AL329" t="n">
        <v>1</v>
      </c>
      <c r="AM329" t="n">
        <v>1</v>
      </c>
      <c r="AN329" t="n">
        <v>0</v>
      </c>
      <c r="AO329" t="n">
        <v>0</v>
      </c>
      <c r="AP329" t="inlineStr">
        <is>
          <t>No</t>
        </is>
      </c>
      <c r="AQ329" t="inlineStr">
        <is>
          <t>No</t>
        </is>
      </c>
      <c r="AS329">
        <f>HYPERLINK("https://creighton-primo.hosted.exlibrisgroup.com/primo-explore/search?tab=default_tab&amp;search_scope=EVERYTHING&amp;vid=01CRU&amp;lang=en_US&amp;offset=0&amp;query=any,contains,991002159069702656","Catalog Record")</f>
        <v/>
      </c>
      <c r="AT329">
        <f>HYPERLINK("http://www.worldcat.org/oclc/27812123","WorldCat Record")</f>
        <v/>
      </c>
      <c r="AU329" t="inlineStr">
        <is>
          <t>353048:eng</t>
        </is>
      </c>
      <c r="AV329" t="inlineStr">
        <is>
          <t>27812123</t>
        </is>
      </c>
      <c r="AW329" t="inlineStr">
        <is>
          <t>991002159069702656</t>
        </is>
      </c>
      <c r="AX329" t="inlineStr">
        <is>
          <t>991002159069702656</t>
        </is>
      </c>
      <c r="AY329" t="inlineStr">
        <is>
          <t>2256314130002656</t>
        </is>
      </c>
      <c r="AZ329" t="inlineStr">
        <is>
          <t>BOOK</t>
        </is>
      </c>
      <c r="BB329" t="inlineStr">
        <is>
          <t>9780809015634</t>
        </is>
      </c>
      <c r="BC329" t="inlineStr">
        <is>
          <t>32285002433398</t>
        </is>
      </c>
      <c r="BD329" t="inlineStr">
        <is>
          <t>893334996</t>
        </is>
      </c>
    </row>
    <row r="330">
      <c r="A330" t="inlineStr">
        <is>
          <t>No</t>
        </is>
      </c>
      <c r="B330" t="inlineStr">
        <is>
          <t>LB1028 .A7 1985</t>
        </is>
      </c>
      <c r="C330" t="inlineStr">
        <is>
          <t>0                      LB 1028000A  7           1985</t>
        </is>
      </c>
      <c r="D330" t="inlineStr">
        <is>
          <t>Introduction to research in education / Donald Ary, Lucy Cheser Jacobs, Asghar Razavieh.</t>
        </is>
      </c>
      <c r="F330" t="inlineStr">
        <is>
          <t>No</t>
        </is>
      </c>
      <c r="G330" t="inlineStr">
        <is>
          <t>1</t>
        </is>
      </c>
      <c r="H330" t="inlineStr">
        <is>
          <t>No</t>
        </is>
      </c>
      <c r="I330" t="inlineStr">
        <is>
          <t>No</t>
        </is>
      </c>
      <c r="J330" t="inlineStr">
        <is>
          <t>0</t>
        </is>
      </c>
      <c r="K330" t="inlineStr">
        <is>
          <t>Ary, Donald.</t>
        </is>
      </c>
      <c r="L330" t="inlineStr">
        <is>
          <t>New York : Holt, Rinehart, and Winston, c1985.</t>
        </is>
      </c>
      <c r="M330" t="inlineStr">
        <is>
          <t>1985</t>
        </is>
      </c>
      <c r="N330" t="inlineStr">
        <is>
          <t>3rd ed.</t>
        </is>
      </c>
      <c r="O330" t="inlineStr">
        <is>
          <t>eng</t>
        </is>
      </c>
      <c r="P330" t="inlineStr">
        <is>
          <t>nyu</t>
        </is>
      </c>
      <c r="R330" t="inlineStr">
        <is>
          <t xml:space="preserve">LB </t>
        </is>
      </c>
      <c r="S330" t="n">
        <v>3</v>
      </c>
      <c r="T330" t="n">
        <v>3</v>
      </c>
      <c r="U330" t="inlineStr">
        <is>
          <t>2009-06-01</t>
        </is>
      </c>
      <c r="V330" t="inlineStr">
        <is>
          <t>2009-06-01</t>
        </is>
      </c>
      <c r="W330" t="inlineStr">
        <is>
          <t>1990-01-25</t>
        </is>
      </c>
      <c r="X330" t="inlineStr">
        <is>
          <t>1990-01-25</t>
        </is>
      </c>
      <c r="Y330" t="n">
        <v>240</v>
      </c>
      <c r="Z330" t="n">
        <v>167</v>
      </c>
      <c r="AA330" t="n">
        <v>647</v>
      </c>
      <c r="AB330" t="n">
        <v>1</v>
      </c>
      <c r="AC330" t="n">
        <v>6</v>
      </c>
      <c r="AD330" t="n">
        <v>6</v>
      </c>
      <c r="AE330" t="n">
        <v>23</v>
      </c>
      <c r="AF330" t="n">
        <v>2</v>
      </c>
      <c r="AG330" t="n">
        <v>9</v>
      </c>
      <c r="AH330" t="n">
        <v>1</v>
      </c>
      <c r="AI330" t="n">
        <v>3</v>
      </c>
      <c r="AJ330" t="n">
        <v>3</v>
      </c>
      <c r="AK330" t="n">
        <v>11</v>
      </c>
      <c r="AL330" t="n">
        <v>0</v>
      </c>
      <c r="AM330" t="n">
        <v>5</v>
      </c>
      <c r="AN330" t="n">
        <v>0</v>
      </c>
      <c r="AO330" t="n">
        <v>0</v>
      </c>
      <c r="AP330" t="inlineStr">
        <is>
          <t>No</t>
        </is>
      </c>
      <c r="AQ330" t="inlineStr">
        <is>
          <t>No</t>
        </is>
      </c>
      <c r="AS330">
        <f>HYPERLINK("https://creighton-primo.hosted.exlibrisgroup.com/primo-explore/search?tab=default_tab&amp;search_scope=EVERYTHING&amp;vid=01CRU&amp;lang=en_US&amp;offset=0&amp;query=any,contains,991000383099702656","Catalog Record")</f>
        <v/>
      </c>
      <c r="AT330">
        <f>HYPERLINK("http://www.worldcat.org/oclc/10506156","WorldCat Record")</f>
        <v/>
      </c>
      <c r="AU330" t="inlineStr">
        <is>
          <t>888398:eng</t>
        </is>
      </c>
      <c r="AV330" t="inlineStr">
        <is>
          <t>10506156</t>
        </is>
      </c>
      <c r="AW330" t="inlineStr">
        <is>
          <t>991000383099702656</t>
        </is>
      </c>
      <c r="AX330" t="inlineStr">
        <is>
          <t>991000383099702656</t>
        </is>
      </c>
      <c r="AY330" t="inlineStr">
        <is>
          <t>2255738280002656</t>
        </is>
      </c>
      <c r="AZ330" t="inlineStr">
        <is>
          <t>BOOK</t>
        </is>
      </c>
      <c r="BB330" t="inlineStr">
        <is>
          <t>9780030636790</t>
        </is>
      </c>
      <c r="BC330" t="inlineStr">
        <is>
          <t>32285000035310</t>
        </is>
      </c>
      <c r="BD330" t="inlineStr">
        <is>
          <t>893327248</t>
        </is>
      </c>
    </row>
    <row r="331">
      <c r="A331" t="inlineStr">
        <is>
          <t>No</t>
        </is>
      </c>
      <c r="B331" t="inlineStr">
        <is>
          <t>LB1028 .B59</t>
        </is>
      </c>
      <c r="C331" t="inlineStr">
        <is>
          <t>0                      LB 1028000B  59</t>
        </is>
      </c>
      <c r="D331" t="inlineStr">
        <is>
          <t>Applying educational research : a practical guide for teachers / by Walter R. Borg.</t>
        </is>
      </c>
      <c r="F331" t="inlineStr">
        <is>
          <t>No</t>
        </is>
      </c>
      <c r="G331" t="inlineStr">
        <is>
          <t>1</t>
        </is>
      </c>
      <c r="H331" t="inlineStr">
        <is>
          <t>No</t>
        </is>
      </c>
      <c r="I331" t="inlineStr">
        <is>
          <t>No</t>
        </is>
      </c>
      <c r="J331" t="inlineStr">
        <is>
          <t>0</t>
        </is>
      </c>
      <c r="K331" t="inlineStr">
        <is>
          <t>Borg, Walter R.</t>
        </is>
      </c>
      <c r="L331" t="inlineStr">
        <is>
          <t>New York : Longman, 1981.</t>
        </is>
      </c>
      <c r="M331" t="inlineStr">
        <is>
          <t>1981</t>
        </is>
      </c>
      <c r="O331" t="inlineStr">
        <is>
          <t>eng</t>
        </is>
      </c>
      <c r="P331" t="inlineStr">
        <is>
          <t>nyu</t>
        </is>
      </c>
      <c r="R331" t="inlineStr">
        <is>
          <t xml:space="preserve">LB </t>
        </is>
      </c>
      <c r="S331" t="n">
        <v>5</v>
      </c>
      <c r="T331" t="n">
        <v>5</v>
      </c>
      <c r="U331" t="inlineStr">
        <is>
          <t>2003-10-07</t>
        </is>
      </c>
      <c r="V331" t="inlineStr">
        <is>
          <t>2003-10-07</t>
        </is>
      </c>
      <c r="W331" t="inlineStr">
        <is>
          <t>1992-10-21</t>
        </is>
      </c>
      <c r="X331" t="inlineStr">
        <is>
          <t>1992-10-21</t>
        </is>
      </c>
      <c r="Y331" t="n">
        <v>412</v>
      </c>
      <c r="Z331" t="n">
        <v>303</v>
      </c>
      <c r="AA331" t="n">
        <v>705</v>
      </c>
      <c r="AB331" t="n">
        <v>4</v>
      </c>
      <c r="AC331" t="n">
        <v>9</v>
      </c>
      <c r="AD331" t="n">
        <v>12</v>
      </c>
      <c r="AE331" t="n">
        <v>34</v>
      </c>
      <c r="AF331" t="n">
        <v>5</v>
      </c>
      <c r="AG331" t="n">
        <v>12</v>
      </c>
      <c r="AH331" t="n">
        <v>1</v>
      </c>
      <c r="AI331" t="n">
        <v>5</v>
      </c>
      <c r="AJ331" t="n">
        <v>5</v>
      </c>
      <c r="AK331" t="n">
        <v>16</v>
      </c>
      <c r="AL331" t="n">
        <v>3</v>
      </c>
      <c r="AM331" t="n">
        <v>7</v>
      </c>
      <c r="AN331" t="n">
        <v>0</v>
      </c>
      <c r="AO331" t="n">
        <v>0</v>
      </c>
      <c r="AP331" t="inlineStr">
        <is>
          <t>No</t>
        </is>
      </c>
      <c r="AQ331" t="inlineStr">
        <is>
          <t>No</t>
        </is>
      </c>
      <c r="AS331">
        <f>HYPERLINK("https://creighton-primo.hosted.exlibrisgroup.com/primo-explore/search?tab=default_tab&amp;search_scope=EVERYTHING&amp;vid=01CRU&amp;lang=en_US&amp;offset=0&amp;query=any,contains,991005049439702656","Catalog Record")</f>
        <v/>
      </c>
      <c r="AT331">
        <f>HYPERLINK("http://www.worldcat.org/oclc/6863456","WorldCat Record")</f>
        <v/>
      </c>
      <c r="AU331" t="inlineStr">
        <is>
          <t>3855475916:eng</t>
        </is>
      </c>
      <c r="AV331" t="inlineStr">
        <is>
          <t>6863456</t>
        </is>
      </c>
      <c r="AW331" t="inlineStr">
        <is>
          <t>991005049439702656</t>
        </is>
      </c>
      <c r="AX331" t="inlineStr">
        <is>
          <t>991005049439702656</t>
        </is>
      </c>
      <c r="AY331" t="inlineStr">
        <is>
          <t>2271964810002656</t>
        </is>
      </c>
      <c r="AZ331" t="inlineStr">
        <is>
          <t>BOOK</t>
        </is>
      </c>
      <c r="BB331" t="inlineStr">
        <is>
          <t>9780582281455</t>
        </is>
      </c>
      <c r="BC331" t="inlineStr">
        <is>
          <t>32285001353621</t>
        </is>
      </c>
      <c r="BD331" t="inlineStr">
        <is>
          <t>893236195</t>
        </is>
      </c>
    </row>
    <row r="332">
      <c r="A332" t="inlineStr">
        <is>
          <t>No</t>
        </is>
      </c>
      <c r="B332" t="inlineStr">
        <is>
          <t>LB1028 .M645 1985</t>
        </is>
      </c>
      <c r="C332" t="inlineStr">
        <is>
          <t>0                      LB 1028000M  645         1985</t>
        </is>
      </c>
      <c r="D332" t="inlineStr">
        <is>
          <t>Talking, listening, and learning in elementary classrooms / Greta Morine-Dershimer.</t>
        </is>
      </c>
      <c r="F332" t="inlineStr">
        <is>
          <t>No</t>
        </is>
      </c>
      <c r="G332" t="inlineStr">
        <is>
          <t>1</t>
        </is>
      </c>
      <c r="H332" t="inlineStr">
        <is>
          <t>No</t>
        </is>
      </c>
      <c r="I332" t="inlineStr">
        <is>
          <t>No</t>
        </is>
      </c>
      <c r="J332" t="inlineStr">
        <is>
          <t>0</t>
        </is>
      </c>
      <c r="K332" t="inlineStr">
        <is>
          <t>Morine-Dershimer, Greta.</t>
        </is>
      </c>
      <c r="L332" t="inlineStr">
        <is>
          <t>New York : Longman, c1985.</t>
        </is>
      </c>
      <c r="M332" t="inlineStr">
        <is>
          <t>1985</t>
        </is>
      </c>
      <c r="O332" t="inlineStr">
        <is>
          <t>eng</t>
        </is>
      </c>
      <c r="P332" t="inlineStr">
        <is>
          <t>nyu</t>
        </is>
      </c>
      <c r="Q332" t="inlineStr">
        <is>
          <t>Research on teaching monograph series</t>
        </is>
      </c>
      <c r="R332" t="inlineStr">
        <is>
          <t xml:space="preserve">LB </t>
        </is>
      </c>
      <c r="S332" t="n">
        <v>2</v>
      </c>
      <c r="T332" t="n">
        <v>2</v>
      </c>
      <c r="U332" t="inlineStr">
        <is>
          <t>2004-03-22</t>
        </is>
      </c>
      <c r="V332" t="inlineStr">
        <is>
          <t>2004-03-22</t>
        </is>
      </c>
      <c r="W332" t="inlineStr">
        <is>
          <t>1992-10-21</t>
        </is>
      </c>
      <c r="X332" t="inlineStr">
        <is>
          <t>1992-10-21</t>
        </is>
      </c>
      <c r="Y332" t="n">
        <v>307</v>
      </c>
      <c r="Z332" t="n">
        <v>279</v>
      </c>
      <c r="AA332" t="n">
        <v>283</v>
      </c>
      <c r="AB332" t="n">
        <v>1</v>
      </c>
      <c r="AC332" t="n">
        <v>1</v>
      </c>
      <c r="AD332" t="n">
        <v>9</v>
      </c>
      <c r="AE332" t="n">
        <v>9</v>
      </c>
      <c r="AF332" t="n">
        <v>2</v>
      </c>
      <c r="AG332" t="n">
        <v>2</v>
      </c>
      <c r="AH332" t="n">
        <v>3</v>
      </c>
      <c r="AI332" t="n">
        <v>3</v>
      </c>
      <c r="AJ332" t="n">
        <v>6</v>
      </c>
      <c r="AK332" t="n">
        <v>6</v>
      </c>
      <c r="AL332" t="n">
        <v>0</v>
      </c>
      <c r="AM332" t="n">
        <v>0</v>
      </c>
      <c r="AN332" t="n">
        <v>0</v>
      </c>
      <c r="AO332" t="n">
        <v>0</v>
      </c>
      <c r="AP332" t="inlineStr">
        <is>
          <t>No</t>
        </is>
      </c>
      <c r="AQ332" t="inlineStr">
        <is>
          <t>Yes</t>
        </is>
      </c>
      <c r="AR332">
        <f>HYPERLINK("http://catalog.hathitrust.org/Record/000352454","HathiTrust Record")</f>
        <v/>
      </c>
      <c r="AS332">
        <f>HYPERLINK("https://creighton-primo.hosted.exlibrisgroup.com/primo-explore/search?tab=default_tab&amp;search_scope=EVERYTHING&amp;vid=01CRU&amp;lang=en_US&amp;offset=0&amp;query=any,contains,991000520109702656","Catalog Record")</f>
        <v/>
      </c>
      <c r="AT332">
        <f>HYPERLINK("http://www.worldcat.org/oclc/11318130","WorldCat Record")</f>
        <v/>
      </c>
      <c r="AU332" t="inlineStr">
        <is>
          <t>3910499:eng</t>
        </is>
      </c>
      <c r="AV332" t="inlineStr">
        <is>
          <t>11318130</t>
        </is>
      </c>
      <c r="AW332" t="inlineStr">
        <is>
          <t>991000520109702656</t>
        </is>
      </c>
      <c r="AX332" t="inlineStr">
        <is>
          <t>991000520109702656</t>
        </is>
      </c>
      <c r="AY332" t="inlineStr">
        <is>
          <t>2255991090002656</t>
        </is>
      </c>
      <c r="AZ332" t="inlineStr">
        <is>
          <t>BOOK</t>
        </is>
      </c>
      <c r="BB332" t="inlineStr">
        <is>
          <t>9780582284791</t>
        </is>
      </c>
      <c r="BC332" t="inlineStr">
        <is>
          <t>32285001353779</t>
        </is>
      </c>
      <c r="BD332" t="inlineStr">
        <is>
          <t>893614250</t>
        </is>
      </c>
    </row>
    <row r="333">
      <c r="A333" t="inlineStr">
        <is>
          <t>No</t>
        </is>
      </c>
      <c r="B333" t="inlineStr">
        <is>
          <t>LB1028 .S233</t>
        </is>
      </c>
      <c r="C333" t="inlineStr">
        <is>
          <t>0                      LB 1028000S  233</t>
        </is>
      </c>
      <c r="D333" t="inlineStr">
        <is>
          <t>Foundations of educational research / Gilbert Sax.</t>
        </is>
      </c>
      <c r="F333" t="inlineStr">
        <is>
          <t>No</t>
        </is>
      </c>
      <c r="G333" t="inlineStr">
        <is>
          <t>1</t>
        </is>
      </c>
      <c r="H333" t="inlineStr">
        <is>
          <t>No</t>
        </is>
      </c>
      <c r="I333" t="inlineStr">
        <is>
          <t>No</t>
        </is>
      </c>
      <c r="J333" t="inlineStr">
        <is>
          <t>0</t>
        </is>
      </c>
      <c r="K333" t="inlineStr">
        <is>
          <t>Sax, Gilbert.</t>
        </is>
      </c>
      <c r="L333" t="inlineStr">
        <is>
          <t>Englewood Cliffs, N.J. : Prentice-Hall, [1979]</t>
        </is>
      </c>
      <c r="M333" t="inlineStr">
        <is>
          <t>1979</t>
        </is>
      </c>
      <c r="O333" t="inlineStr">
        <is>
          <t>eng</t>
        </is>
      </c>
      <c r="P333" t="inlineStr">
        <is>
          <t>nju</t>
        </is>
      </c>
      <c r="R333" t="inlineStr">
        <is>
          <t xml:space="preserve">LB </t>
        </is>
      </c>
      <c r="S333" t="n">
        <v>3</v>
      </c>
      <c r="T333" t="n">
        <v>3</v>
      </c>
      <c r="U333" t="inlineStr">
        <is>
          <t>1997-06-13</t>
        </is>
      </c>
      <c r="V333" t="inlineStr">
        <is>
          <t>1997-06-13</t>
        </is>
      </c>
      <c r="W333" t="inlineStr">
        <is>
          <t>1992-10-21</t>
        </is>
      </c>
      <c r="X333" t="inlineStr">
        <is>
          <t>1992-10-21</t>
        </is>
      </c>
      <c r="Y333" t="n">
        <v>282</v>
      </c>
      <c r="Z333" t="n">
        <v>199</v>
      </c>
      <c r="AA333" t="n">
        <v>205</v>
      </c>
      <c r="AB333" t="n">
        <v>1</v>
      </c>
      <c r="AC333" t="n">
        <v>1</v>
      </c>
      <c r="AD333" t="n">
        <v>2</v>
      </c>
      <c r="AE333" t="n">
        <v>2</v>
      </c>
      <c r="AF333" t="n">
        <v>0</v>
      </c>
      <c r="AG333" t="n">
        <v>0</v>
      </c>
      <c r="AH333" t="n">
        <v>0</v>
      </c>
      <c r="AI333" t="n">
        <v>0</v>
      </c>
      <c r="AJ333" t="n">
        <v>2</v>
      </c>
      <c r="AK333" t="n">
        <v>2</v>
      </c>
      <c r="AL333" t="n">
        <v>0</v>
      </c>
      <c r="AM333" t="n">
        <v>0</v>
      </c>
      <c r="AN333" t="n">
        <v>0</v>
      </c>
      <c r="AO333" t="n">
        <v>0</v>
      </c>
      <c r="AP333" t="inlineStr">
        <is>
          <t>No</t>
        </is>
      </c>
      <c r="AQ333" t="inlineStr">
        <is>
          <t>No</t>
        </is>
      </c>
      <c r="AS333">
        <f>HYPERLINK("https://creighton-primo.hosted.exlibrisgroup.com/primo-explore/search?tab=default_tab&amp;search_scope=EVERYTHING&amp;vid=01CRU&amp;lang=en_US&amp;offset=0&amp;query=any,contains,991004592959702656","Catalog Record")</f>
        <v/>
      </c>
      <c r="AT333">
        <f>HYPERLINK("http://www.worldcat.org/oclc/4135526","WorldCat Record")</f>
        <v/>
      </c>
      <c r="AU333" t="inlineStr">
        <is>
          <t>410913:eng</t>
        </is>
      </c>
      <c r="AV333" t="inlineStr">
        <is>
          <t>4135526</t>
        </is>
      </c>
      <c r="AW333" t="inlineStr">
        <is>
          <t>991004592959702656</t>
        </is>
      </c>
      <c r="AX333" t="inlineStr">
        <is>
          <t>991004592959702656</t>
        </is>
      </c>
      <c r="AY333" t="inlineStr">
        <is>
          <t>2254985330002656</t>
        </is>
      </c>
      <c r="AZ333" t="inlineStr">
        <is>
          <t>BOOK</t>
        </is>
      </c>
      <c r="BB333" t="inlineStr">
        <is>
          <t>9780133293005</t>
        </is>
      </c>
      <c r="BC333" t="inlineStr">
        <is>
          <t>32285001353845</t>
        </is>
      </c>
      <c r="BD333" t="inlineStr">
        <is>
          <t>893253866</t>
        </is>
      </c>
    </row>
    <row r="334">
      <c r="A334" t="inlineStr">
        <is>
          <t>No</t>
        </is>
      </c>
      <c r="B334" t="inlineStr">
        <is>
          <t>LB1028.24 .C54 2008</t>
        </is>
      </c>
      <c r="C334" t="inlineStr">
        <is>
          <t>0                      LB 1028240C  54          2008</t>
        </is>
      </c>
      <c r="D334" t="inlineStr">
        <is>
          <t>Schoolwide action research for professional learning communities : improving student learning through the whole-faculty study groups approach / Karl H. Clauset, Dale W. Lick, Carlene U. Murphy ; foreword by Bert L'Homme.</t>
        </is>
      </c>
      <c r="F334" t="inlineStr">
        <is>
          <t>No</t>
        </is>
      </c>
      <c r="G334" t="inlineStr">
        <is>
          <t>1</t>
        </is>
      </c>
      <c r="H334" t="inlineStr">
        <is>
          <t>No</t>
        </is>
      </c>
      <c r="I334" t="inlineStr">
        <is>
          <t>No</t>
        </is>
      </c>
      <c r="J334" t="inlineStr">
        <is>
          <t>0</t>
        </is>
      </c>
      <c r="K334" t="inlineStr">
        <is>
          <t>Clauset, Karl H.</t>
        </is>
      </c>
      <c r="L334" t="inlineStr">
        <is>
          <t>Thousand Oaks, CA : Corwin Press, c2008.</t>
        </is>
      </c>
      <c r="M334" t="inlineStr">
        <is>
          <t>2008</t>
        </is>
      </c>
      <c r="O334" t="inlineStr">
        <is>
          <t>eng</t>
        </is>
      </c>
      <c r="P334" t="inlineStr">
        <is>
          <t>cau</t>
        </is>
      </c>
      <c r="R334" t="inlineStr">
        <is>
          <t xml:space="preserve">LB </t>
        </is>
      </c>
      <c r="S334" t="n">
        <v>1</v>
      </c>
      <c r="T334" t="n">
        <v>1</v>
      </c>
      <c r="U334" t="inlineStr">
        <is>
          <t>2008-08-12</t>
        </is>
      </c>
      <c r="V334" t="inlineStr">
        <is>
          <t>2008-08-12</t>
        </is>
      </c>
      <c r="W334" t="inlineStr">
        <is>
          <t>2008-08-12</t>
        </is>
      </c>
      <c r="X334" t="inlineStr">
        <is>
          <t>2008-08-12</t>
        </is>
      </c>
      <c r="Y334" t="n">
        <v>191</v>
      </c>
      <c r="Z334" t="n">
        <v>138</v>
      </c>
      <c r="AA334" t="n">
        <v>151</v>
      </c>
      <c r="AB334" t="n">
        <v>1</v>
      </c>
      <c r="AC334" t="n">
        <v>2</v>
      </c>
      <c r="AD334" t="n">
        <v>7</v>
      </c>
      <c r="AE334" t="n">
        <v>9</v>
      </c>
      <c r="AF334" t="n">
        <v>2</v>
      </c>
      <c r="AG334" t="n">
        <v>3</v>
      </c>
      <c r="AH334" t="n">
        <v>1</v>
      </c>
      <c r="AI334" t="n">
        <v>2</v>
      </c>
      <c r="AJ334" t="n">
        <v>5</v>
      </c>
      <c r="AK334" t="n">
        <v>5</v>
      </c>
      <c r="AL334" t="n">
        <v>0</v>
      </c>
      <c r="AM334" t="n">
        <v>1</v>
      </c>
      <c r="AN334" t="n">
        <v>0</v>
      </c>
      <c r="AO334" t="n">
        <v>0</v>
      </c>
      <c r="AP334" t="inlineStr">
        <is>
          <t>No</t>
        </is>
      </c>
      <c r="AQ334" t="inlineStr">
        <is>
          <t>No</t>
        </is>
      </c>
      <c r="AS334">
        <f>HYPERLINK("https://creighton-primo.hosted.exlibrisgroup.com/primo-explore/search?tab=default_tab&amp;search_scope=EVERYTHING&amp;vid=01CRU&amp;lang=en_US&amp;offset=0&amp;query=any,contains,991005256829702656","Catalog Record")</f>
        <v/>
      </c>
      <c r="AT334">
        <f>HYPERLINK("http://www.worldcat.org/oclc/192048061","WorldCat Record")</f>
        <v/>
      </c>
      <c r="AU334" t="inlineStr">
        <is>
          <t>1372591641:eng</t>
        </is>
      </c>
      <c r="AV334" t="inlineStr">
        <is>
          <t>192048061</t>
        </is>
      </c>
      <c r="AW334" t="inlineStr">
        <is>
          <t>991005256829702656</t>
        </is>
      </c>
      <c r="AX334" t="inlineStr">
        <is>
          <t>991005256829702656</t>
        </is>
      </c>
      <c r="AY334" t="inlineStr">
        <is>
          <t>2268633010002656</t>
        </is>
      </c>
      <c r="AZ334" t="inlineStr">
        <is>
          <t>BOOK</t>
        </is>
      </c>
      <c r="BB334" t="inlineStr">
        <is>
          <t>9781412952071</t>
        </is>
      </c>
      <c r="BC334" t="inlineStr">
        <is>
          <t>32285005453146</t>
        </is>
      </c>
      <c r="BD334" t="inlineStr">
        <is>
          <t>893808080</t>
        </is>
      </c>
    </row>
    <row r="335">
      <c r="A335" t="inlineStr">
        <is>
          <t>No</t>
        </is>
      </c>
      <c r="B335" t="inlineStr">
        <is>
          <t>LB1028.24 .E38 1995</t>
        </is>
      </c>
      <c r="C335" t="inlineStr">
        <is>
          <t>0                      LB 1028240E  38          1995</t>
        </is>
      </c>
      <c r="D335" t="inlineStr">
        <is>
          <t>Educational action research : becoming practically critical / Susan E. Noffke, Robert B. Stevenson, editors ; foreword by Susan Lytle and Marilyn Cochran-Smith.</t>
        </is>
      </c>
      <c r="F335" t="inlineStr">
        <is>
          <t>No</t>
        </is>
      </c>
      <c r="G335" t="inlineStr">
        <is>
          <t>1</t>
        </is>
      </c>
      <c r="H335" t="inlineStr">
        <is>
          <t>No</t>
        </is>
      </c>
      <c r="I335" t="inlineStr">
        <is>
          <t>No</t>
        </is>
      </c>
      <c r="J335" t="inlineStr">
        <is>
          <t>0</t>
        </is>
      </c>
      <c r="L335" t="inlineStr">
        <is>
          <t>New York : Teachers College Press, c1995.</t>
        </is>
      </c>
      <c r="M335" t="inlineStr">
        <is>
          <t>1995</t>
        </is>
      </c>
      <c r="O335" t="inlineStr">
        <is>
          <t>eng</t>
        </is>
      </c>
      <c r="P335" t="inlineStr">
        <is>
          <t>nyu</t>
        </is>
      </c>
      <c r="R335" t="inlineStr">
        <is>
          <t xml:space="preserve">LB </t>
        </is>
      </c>
      <c r="S335" t="n">
        <v>3</v>
      </c>
      <c r="T335" t="n">
        <v>3</v>
      </c>
      <c r="U335" t="inlineStr">
        <is>
          <t>1996-08-31</t>
        </is>
      </c>
      <c r="V335" t="inlineStr">
        <is>
          <t>1996-08-31</t>
        </is>
      </c>
      <c r="W335" t="inlineStr">
        <is>
          <t>1996-03-15</t>
        </is>
      </c>
      <c r="X335" t="inlineStr">
        <is>
          <t>1996-03-15</t>
        </is>
      </c>
      <c r="Y335" t="n">
        <v>463</v>
      </c>
      <c r="Z335" t="n">
        <v>368</v>
      </c>
      <c r="AA335" t="n">
        <v>368</v>
      </c>
      <c r="AB335" t="n">
        <v>5</v>
      </c>
      <c r="AC335" t="n">
        <v>5</v>
      </c>
      <c r="AD335" t="n">
        <v>26</v>
      </c>
      <c r="AE335" t="n">
        <v>26</v>
      </c>
      <c r="AF335" t="n">
        <v>11</v>
      </c>
      <c r="AG335" t="n">
        <v>11</v>
      </c>
      <c r="AH335" t="n">
        <v>4</v>
      </c>
      <c r="AI335" t="n">
        <v>4</v>
      </c>
      <c r="AJ335" t="n">
        <v>13</v>
      </c>
      <c r="AK335" t="n">
        <v>13</v>
      </c>
      <c r="AL335" t="n">
        <v>4</v>
      </c>
      <c r="AM335" t="n">
        <v>4</v>
      </c>
      <c r="AN335" t="n">
        <v>0</v>
      </c>
      <c r="AO335" t="n">
        <v>0</v>
      </c>
      <c r="AP335" t="inlineStr">
        <is>
          <t>No</t>
        </is>
      </c>
      <c r="AQ335" t="inlineStr">
        <is>
          <t>No</t>
        </is>
      </c>
      <c r="AS335">
        <f>HYPERLINK("https://creighton-primo.hosted.exlibrisgroup.com/primo-explore/search?tab=default_tab&amp;search_scope=EVERYTHING&amp;vid=01CRU&amp;lang=en_US&amp;offset=0&amp;query=any,contains,991002434419702656","Catalog Record")</f>
        <v/>
      </c>
      <c r="AT335">
        <f>HYPERLINK("http://www.worldcat.org/oclc/31739703","WorldCat Record")</f>
        <v/>
      </c>
      <c r="AU335" t="inlineStr">
        <is>
          <t>3752814158:eng</t>
        </is>
      </c>
      <c r="AV335" t="inlineStr">
        <is>
          <t>31739703</t>
        </is>
      </c>
      <c r="AW335" t="inlineStr">
        <is>
          <t>991002434419702656</t>
        </is>
      </c>
      <c r="AX335" t="inlineStr">
        <is>
          <t>991002434419702656</t>
        </is>
      </c>
      <c r="AY335" t="inlineStr">
        <is>
          <t>2261976310002656</t>
        </is>
      </c>
      <c r="AZ335" t="inlineStr">
        <is>
          <t>BOOK</t>
        </is>
      </c>
      <c r="BB335" t="inlineStr">
        <is>
          <t>9780807734407</t>
        </is>
      </c>
      <c r="BC335" t="inlineStr">
        <is>
          <t>32285002143120</t>
        </is>
      </c>
      <c r="BD335" t="inlineStr">
        <is>
          <t>893329069</t>
        </is>
      </c>
    </row>
    <row r="336">
      <c r="A336" t="inlineStr">
        <is>
          <t>No</t>
        </is>
      </c>
      <c r="B336" t="inlineStr">
        <is>
          <t>LB1028.25.U6 L33 2000</t>
        </is>
      </c>
      <c r="C336" t="inlineStr">
        <is>
          <t>0                      LB 1028250U  6                  L  33          2000</t>
        </is>
      </c>
      <c r="D336" t="inlineStr">
        <is>
          <t>An elusive science : the troubling history of education research / Ellen Condliffe Lagemann.</t>
        </is>
      </c>
      <c r="F336" t="inlineStr">
        <is>
          <t>No</t>
        </is>
      </c>
      <c r="G336" t="inlineStr">
        <is>
          <t>1</t>
        </is>
      </c>
      <c r="H336" t="inlineStr">
        <is>
          <t>No</t>
        </is>
      </c>
      <c r="I336" t="inlineStr">
        <is>
          <t>No</t>
        </is>
      </c>
      <c r="J336" t="inlineStr">
        <is>
          <t>0</t>
        </is>
      </c>
      <c r="K336" t="inlineStr">
        <is>
          <t>Lagemann, Ellen Condliffe, 1945-</t>
        </is>
      </c>
      <c r="L336" t="inlineStr">
        <is>
          <t>Chicago : University of Chicago Press, 2000.</t>
        </is>
      </c>
      <c r="M336" t="inlineStr">
        <is>
          <t>2000</t>
        </is>
      </c>
      <c r="O336" t="inlineStr">
        <is>
          <t>eng</t>
        </is>
      </c>
      <c r="P336" t="inlineStr">
        <is>
          <t>ilu</t>
        </is>
      </c>
      <c r="R336" t="inlineStr">
        <is>
          <t xml:space="preserve">LB </t>
        </is>
      </c>
      <c r="S336" t="n">
        <v>3</v>
      </c>
      <c r="T336" t="n">
        <v>3</v>
      </c>
      <c r="U336" t="inlineStr">
        <is>
          <t>2001-06-04</t>
        </is>
      </c>
      <c r="V336" t="inlineStr">
        <is>
          <t>2001-06-04</t>
        </is>
      </c>
      <c r="W336" t="inlineStr">
        <is>
          <t>2001-05-03</t>
        </is>
      </c>
      <c r="X336" t="inlineStr">
        <is>
          <t>2001-05-03</t>
        </is>
      </c>
      <c r="Y336" t="n">
        <v>769</v>
      </c>
      <c r="Z336" t="n">
        <v>683</v>
      </c>
      <c r="AA336" t="n">
        <v>685</v>
      </c>
      <c r="AB336" t="n">
        <v>8</v>
      </c>
      <c r="AC336" t="n">
        <v>8</v>
      </c>
      <c r="AD336" t="n">
        <v>38</v>
      </c>
      <c r="AE336" t="n">
        <v>38</v>
      </c>
      <c r="AF336" t="n">
        <v>14</v>
      </c>
      <c r="AG336" t="n">
        <v>14</v>
      </c>
      <c r="AH336" t="n">
        <v>9</v>
      </c>
      <c r="AI336" t="n">
        <v>9</v>
      </c>
      <c r="AJ336" t="n">
        <v>17</v>
      </c>
      <c r="AK336" t="n">
        <v>17</v>
      </c>
      <c r="AL336" t="n">
        <v>7</v>
      </c>
      <c r="AM336" t="n">
        <v>7</v>
      </c>
      <c r="AN336" t="n">
        <v>0</v>
      </c>
      <c r="AO336" t="n">
        <v>0</v>
      </c>
      <c r="AP336" t="inlineStr">
        <is>
          <t>No</t>
        </is>
      </c>
      <c r="AQ336" t="inlineStr">
        <is>
          <t>No</t>
        </is>
      </c>
      <c r="AS336">
        <f>HYPERLINK("https://creighton-primo.hosted.exlibrisgroup.com/primo-explore/search?tab=default_tab&amp;search_scope=EVERYTHING&amp;vid=01CRU&amp;lang=en_US&amp;offset=0&amp;query=any,contains,991003512009702656","Catalog Record")</f>
        <v/>
      </c>
      <c r="AT336">
        <f>HYPERLINK("http://www.worldcat.org/oclc/43095768","WorldCat Record")</f>
        <v/>
      </c>
      <c r="AU336" t="inlineStr">
        <is>
          <t>231175714:eng</t>
        </is>
      </c>
      <c r="AV336" t="inlineStr">
        <is>
          <t>43095768</t>
        </is>
      </c>
      <c r="AW336" t="inlineStr">
        <is>
          <t>991003512009702656</t>
        </is>
      </c>
      <c r="AX336" t="inlineStr">
        <is>
          <t>991003512009702656</t>
        </is>
      </c>
      <c r="AY336" t="inlineStr">
        <is>
          <t>2269346690002656</t>
        </is>
      </c>
      <c r="AZ336" t="inlineStr">
        <is>
          <t>BOOK</t>
        </is>
      </c>
      <c r="BB336" t="inlineStr">
        <is>
          <t>9780226467726</t>
        </is>
      </c>
      <c r="BC336" t="inlineStr">
        <is>
          <t>32285004316088</t>
        </is>
      </c>
      <c r="BD336" t="inlineStr">
        <is>
          <t>893598653</t>
        </is>
      </c>
    </row>
    <row r="337">
      <c r="A337" t="inlineStr">
        <is>
          <t>No</t>
        </is>
      </c>
      <c r="B337" t="inlineStr">
        <is>
          <t>LB1028.3 .G355 2004</t>
        </is>
      </c>
      <c r="C337" t="inlineStr">
        <is>
          <t>0                      LB 1028300G  355         2004</t>
        </is>
      </c>
      <c r="D337" t="inlineStr">
        <is>
          <t>Gains and gaps in education technology : an NEA survey of educational technologies in U.S. schools / National Education Association.</t>
        </is>
      </c>
      <c r="F337" t="inlineStr">
        <is>
          <t>No</t>
        </is>
      </c>
      <c r="G337" t="inlineStr">
        <is>
          <t>1</t>
        </is>
      </c>
      <c r="H337" t="inlineStr">
        <is>
          <t>No</t>
        </is>
      </c>
      <c r="I337" t="inlineStr">
        <is>
          <t>No</t>
        </is>
      </c>
      <c r="J337" t="inlineStr">
        <is>
          <t>0</t>
        </is>
      </c>
      <c r="L337" t="inlineStr">
        <is>
          <t>Annapolis Junction, MD : NEA Professional Library, 2004.</t>
        </is>
      </c>
      <c r="M337" t="inlineStr">
        <is>
          <t>2004</t>
        </is>
      </c>
      <c r="O337" t="inlineStr">
        <is>
          <t>eng</t>
        </is>
      </c>
      <c r="P337" t="inlineStr">
        <is>
          <t>mdu</t>
        </is>
      </c>
      <c r="R337" t="inlineStr">
        <is>
          <t xml:space="preserve">LB </t>
        </is>
      </c>
      <c r="S337" t="n">
        <v>3</v>
      </c>
      <c r="T337" t="n">
        <v>3</v>
      </c>
      <c r="U337" t="inlineStr">
        <is>
          <t>2005-09-23</t>
        </is>
      </c>
      <c r="V337" t="inlineStr">
        <is>
          <t>2005-09-23</t>
        </is>
      </c>
      <c r="W337" t="inlineStr">
        <is>
          <t>2005-04-26</t>
        </is>
      </c>
      <c r="X337" t="inlineStr">
        <is>
          <t>2005-04-26</t>
        </is>
      </c>
      <c r="Y337" t="n">
        <v>144</v>
      </c>
      <c r="Z337" t="n">
        <v>142</v>
      </c>
      <c r="AA337" t="n">
        <v>145</v>
      </c>
      <c r="AB337" t="n">
        <v>2</v>
      </c>
      <c r="AC337" t="n">
        <v>2</v>
      </c>
      <c r="AD337" t="n">
        <v>7</v>
      </c>
      <c r="AE337" t="n">
        <v>7</v>
      </c>
      <c r="AF337" t="n">
        <v>5</v>
      </c>
      <c r="AG337" t="n">
        <v>5</v>
      </c>
      <c r="AH337" t="n">
        <v>1</v>
      </c>
      <c r="AI337" t="n">
        <v>1</v>
      </c>
      <c r="AJ337" t="n">
        <v>3</v>
      </c>
      <c r="AK337" t="n">
        <v>3</v>
      </c>
      <c r="AL337" t="n">
        <v>1</v>
      </c>
      <c r="AM337" t="n">
        <v>1</v>
      </c>
      <c r="AN337" t="n">
        <v>0</v>
      </c>
      <c r="AO337" t="n">
        <v>0</v>
      </c>
      <c r="AP337" t="inlineStr">
        <is>
          <t>No</t>
        </is>
      </c>
      <c r="AQ337" t="inlineStr">
        <is>
          <t>No</t>
        </is>
      </c>
      <c r="AS337">
        <f>HYPERLINK("https://creighton-primo.hosted.exlibrisgroup.com/primo-explore/search?tab=default_tab&amp;search_scope=EVERYTHING&amp;vid=01CRU&amp;lang=en_US&amp;offset=0&amp;query=any,contains,991004518889702656","Catalog Record")</f>
        <v/>
      </c>
      <c r="AT337">
        <f>HYPERLINK("http://www.worldcat.org/oclc/58543913","WorldCat Record")</f>
        <v/>
      </c>
      <c r="AU337" t="inlineStr">
        <is>
          <t>20370891:eng</t>
        </is>
      </c>
      <c r="AV337" t="inlineStr">
        <is>
          <t>58543913</t>
        </is>
      </c>
      <c r="AW337" t="inlineStr">
        <is>
          <t>991004518889702656</t>
        </is>
      </c>
      <c r="AX337" t="inlineStr">
        <is>
          <t>991004518889702656</t>
        </is>
      </c>
      <c r="AY337" t="inlineStr">
        <is>
          <t>2256603110002656</t>
        </is>
      </c>
      <c r="AZ337" t="inlineStr">
        <is>
          <t>BOOK</t>
        </is>
      </c>
      <c r="BC337" t="inlineStr">
        <is>
          <t>32285005033534</t>
        </is>
      </c>
      <c r="BD337" t="inlineStr">
        <is>
          <t>893618758</t>
        </is>
      </c>
    </row>
    <row r="338">
      <c r="A338" t="inlineStr">
        <is>
          <t>No</t>
        </is>
      </c>
      <c r="B338" t="inlineStr">
        <is>
          <t>LB1028.3 .I5663 2000</t>
        </is>
      </c>
      <c r="C338" t="inlineStr">
        <is>
          <t>0                      LB 1028300I  5663        2000</t>
        </is>
      </c>
      <c r="D338" t="inlineStr">
        <is>
          <t>Interactive learning : vignettes from America's most wired campuses / David G. Brown, editor.</t>
        </is>
      </c>
      <c r="F338" t="inlineStr">
        <is>
          <t>No</t>
        </is>
      </c>
      <c r="G338" t="inlineStr">
        <is>
          <t>1</t>
        </is>
      </c>
      <c r="H338" t="inlineStr">
        <is>
          <t>No</t>
        </is>
      </c>
      <c r="I338" t="inlineStr">
        <is>
          <t>No</t>
        </is>
      </c>
      <c r="J338" t="inlineStr">
        <is>
          <t>0</t>
        </is>
      </c>
      <c r="L338" t="inlineStr">
        <is>
          <t>Bolton, MA : Anker Pub. Co., c2000.</t>
        </is>
      </c>
      <c r="M338" t="inlineStr">
        <is>
          <t>2000</t>
        </is>
      </c>
      <c r="O338" t="inlineStr">
        <is>
          <t>eng</t>
        </is>
      </c>
      <c r="P338" t="inlineStr">
        <is>
          <t>mau</t>
        </is>
      </c>
      <c r="R338" t="inlineStr">
        <is>
          <t xml:space="preserve">LB </t>
        </is>
      </c>
      <c r="S338" t="n">
        <v>4</v>
      </c>
      <c r="T338" t="n">
        <v>4</v>
      </c>
      <c r="U338" t="inlineStr">
        <is>
          <t>2008-12-10</t>
        </is>
      </c>
      <c r="V338" t="inlineStr">
        <is>
          <t>2008-12-10</t>
        </is>
      </c>
      <c r="W338" t="inlineStr">
        <is>
          <t>2003-12-01</t>
        </is>
      </c>
      <c r="X338" t="inlineStr">
        <is>
          <t>2003-12-01</t>
        </is>
      </c>
      <c r="Y338" t="n">
        <v>382</v>
      </c>
      <c r="Z338" t="n">
        <v>349</v>
      </c>
      <c r="AA338" t="n">
        <v>352</v>
      </c>
      <c r="AB338" t="n">
        <v>3</v>
      </c>
      <c r="AC338" t="n">
        <v>3</v>
      </c>
      <c r="AD338" t="n">
        <v>15</v>
      </c>
      <c r="AE338" t="n">
        <v>15</v>
      </c>
      <c r="AF338" t="n">
        <v>6</v>
      </c>
      <c r="AG338" t="n">
        <v>6</v>
      </c>
      <c r="AH338" t="n">
        <v>4</v>
      </c>
      <c r="AI338" t="n">
        <v>4</v>
      </c>
      <c r="AJ338" t="n">
        <v>5</v>
      </c>
      <c r="AK338" t="n">
        <v>5</v>
      </c>
      <c r="AL338" t="n">
        <v>2</v>
      </c>
      <c r="AM338" t="n">
        <v>2</v>
      </c>
      <c r="AN338" t="n">
        <v>0</v>
      </c>
      <c r="AO338" t="n">
        <v>0</v>
      </c>
      <c r="AP338" t="inlineStr">
        <is>
          <t>No</t>
        </is>
      </c>
      <c r="AQ338" t="inlineStr">
        <is>
          <t>Yes</t>
        </is>
      </c>
      <c r="AR338">
        <f>HYPERLINK("http://catalog.hathitrust.org/Record/004080083","HathiTrust Record")</f>
        <v/>
      </c>
      <c r="AS338">
        <f>HYPERLINK("https://creighton-primo.hosted.exlibrisgroup.com/primo-explore/search?tab=default_tab&amp;search_scope=EVERYTHING&amp;vid=01CRU&amp;lang=en_US&amp;offset=0&amp;query=any,contains,991004194449702656","Catalog Record")</f>
        <v/>
      </c>
      <c r="AT338">
        <f>HYPERLINK("http://www.worldcat.org/oclc/43001938","WorldCat Record")</f>
        <v/>
      </c>
      <c r="AU338" t="inlineStr">
        <is>
          <t>891760012:eng</t>
        </is>
      </c>
      <c r="AV338" t="inlineStr">
        <is>
          <t>43001938</t>
        </is>
      </c>
      <c r="AW338" t="inlineStr">
        <is>
          <t>991004194449702656</t>
        </is>
      </c>
      <c r="AX338" t="inlineStr">
        <is>
          <t>991004194449702656</t>
        </is>
      </c>
      <c r="AY338" t="inlineStr">
        <is>
          <t>2256310190002656</t>
        </is>
      </c>
      <c r="AZ338" t="inlineStr">
        <is>
          <t>BOOK</t>
        </is>
      </c>
      <c r="BB338" t="inlineStr">
        <is>
          <t>9781882982295</t>
        </is>
      </c>
      <c r="BC338" t="inlineStr">
        <is>
          <t>32285004841499</t>
        </is>
      </c>
      <c r="BD338" t="inlineStr">
        <is>
          <t>893712264</t>
        </is>
      </c>
    </row>
    <row r="339">
      <c r="A339" t="inlineStr">
        <is>
          <t>No</t>
        </is>
      </c>
      <c r="B339" t="inlineStr">
        <is>
          <t>LB1028.35 .G7 1997</t>
        </is>
      </c>
      <c r="C339" t="inlineStr">
        <is>
          <t>0                      LB 1028350G  7           1997</t>
        </is>
      </c>
      <c r="D339" t="inlineStr">
        <is>
          <t>The course syllabus : a learning-centered approach / Judith Grunert ; foreword by Robert M. Diamond.</t>
        </is>
      </c>
      <c r="F339" t="inlineStr">
        <is>
          <t>No</t>
        </is>
      </c>
      <c r="G339" t="inlineStr">
        <is>
          <t>1</t>
        </is>
      </c>
      <c r="H339" t="inlineStr">
        <is>
          <t>No</t>
        </is>
      </c>
      <c r="I339" t="inlineStr">
        <is>
          <t>No</t>
        </is>
      </c>
      <c r="J339" t="inlineStr">
        <is>
          <t>0</t>
        </is>
      </c>
      <c r="K339" t="inlineStr">
        <is>
          <t>O'Brien, Judith Grunert.</t>
        </is>
      </c>
      <c r="L339" t="inlineStr">
        <is>
          <t>Bolton, Mass. : Anker Pub. Co., c1997.</t>
        </is>
      </c>
      <c r="M339" t="inlineStr">
        <is>
          <t>1997</t>
        </is>
      </c>
      <c r="O339" t="inlineStr">
        <is>
          <t>eng</t>
        </is>
      </c>
      <c r="P339" t="inlineStr">
        <is>
          <t>mau</t>
        </is>
      </c>
      <c r="R339" t="inlineStr">
        <is>
          <t xml:space="preserve">LB </t>
        </is>
      </c>
      <c r="S339" t="n">
        <v>8</v>
      </c>
      <c r="T339" t="n">
        <v>8</v>
      </c>
      <c r="U339" t="inlineStr">
        <is>
          <t>2006-09-08</t>
        </is>
      </c>
      <c r="V339" t="inlineStr">
        <is>
          <t>2006-09-08</t>
        </is>
      </c>
      <c r="W339" t="inlineStr">
        <is>
          <t>1999-04-21</t>
        </is>
      </c>
      <c r="X339" t="inlineStr">
        <is>
          <t>1999-04-21</t>
        </is>
      </c>
      <c r="Y339" t="n">
        <v>676</v>
      </c>
      <c r="Z339" t="n">
        <v>611</v>
      </c>
      <c r="AA339" t="n">
        <v>1142</v>
      </c>
      <c r="AB339" t="n">
        <v>8</v>
      </c>
      <c r="AC339" t="n">
        <v>12</v>
      </c>
      <c r="AD339" t="n">
        <v>29</v>
      </c>
      <c r="AE339" t="n">
        <v>49</v>
      </c>
      <c r="AF339" t="n">
        <v>15</v>
      </c>
      <c r="AG339" t="n">
        <v>19</v>
      </c>
      <c r="AH339" t="n">
        <v>4</v>
      </c>
      <c r="AI339" t="n">
        <v>10</v>
      </c>
      <c r="AJ339" t="n">
        <v>10</v>
      </c>
      <c r="AK339" t="n">
        <v>19</v>
      </c>
      <c r="AL339" t="n">
        <v>7</v>
      </c>
      <c r="AM339" t="n">
        <v>10</v>
      </c>
      <c r="AN339" t="n">
        <v>0</v>
      </c>
      <c r="AO339" t="n">
        <v>2</v>
      </c>
      <c r="AP339" t="inlineStr">
        <is>
          <t>No</t>
        </is>
      </c>
      <c r="AQ339" t="inlineStr">
        <is>
          <t>Yes</t>
        </is>
      </c>
      <c r="AR339">
        <f>HYPERLINK("http://catalog.hathitrust.org/Record/004080088","HathiTrust Record")</f>
        <v/>
      </c>
      <c r="AS339">
        <f>HYPERLINK("https://creighton-primo.hosted.exlibrisgroup.com/primo-explore/search?tab=default_tab&amp;search_scope=EVERYTHING&amp;vid=01CRU&amp;lang=en_US&amp;offset=0&amp;query=any,contains,991002826409702656","Catalog Record")</f>
        <v/>
      </c>
      <c r="AT339">
        <f>HYPERLINK("http://www.worldcat.org/oclc/37211772","WorldCat Record")</f>
        <v/>
      </c>
      <c r="AU339" t="inlineStr">
        <is>
          <t>803468350:eng</t>
        </is>
      </c>
      <c r="AV339" t="inlineStr">
        <is>
          <t>37211772</t>
        </is>
      </c>
      <c r="AW339" t="inlineStr">
        <is>
          <t>991002826409702656</t>
        </is>
      </c>
      <c r="AX339" t="inlineStr">
        <is>
          <t>991002826409702656</t>
        </is>
      </c>
      <c r="AY339" t="inlineStr">
        <is>
          <t>2258911620002656</t>
        </is>
      </c>
      <c r="AZ339" t="inlineStr">
        <is>
          <t>BOOK</t>
        </is>
      </c>
      <c r="BB339" t="inlineStr">
        <is>
          <t>9781882982189</t>
        </is>
      </c>
      <c r="BC339" t="inlineStr">
        <is>
          <t>32285003554432</t>
        </is>
      </c>
      <c r="BD339" t="inlineStr">
        <is>
          <t>893530528</t>
        </is>
      </c>
    </row>
    <row r="340">
      <c r="A340" t="inlineStr">
        <is>
          <t>No</t>
        </is>
      </c>
      <c r="B340" t="inlineStr">
        <is>
          <t>LB1028.38 .I587 1996</t>
        </is>
      </c>
      <c r="C340" t="inlineStr">
        <is>
          <t>0                      LB 1028380I  587         1996</t>
        </is>
      </c>
      <c r="D340" t="inlineStr">
        <is>
          <t>Instructional technology for teaching and learning : designing instruction, integrating computers, and using media / Timothy J. Newby ... [et al.].</t>
        </is>
      </c>
      <c r="F340" t="inlineStr">
        <is>
          <t>No</t>
        </is>
      </c>
      <c r="G340" t="inlineStr">
        <is>
          <t>1</t>
        </is>
      </c>
      <c r="H340" t="inlineStr">
        <is>
          <t>No</t>
        </is>
      </c>
      <c r="I340" t="inlineStr">
        <is>
          <t>No</t>
        </is>
      </c>
      <c r="J340" t="inlineStr">
        <is>
          <t>0</t>
        </is>
      </c>
      <c r="L340" t="inlineStr">
        <is>
          <t>Englewood Cliffs, N.J. : Merrill, c1996.</t>
        </is>
      </c>
      <c r="M340" t="inlineStr">
        <is>
          <t>1996</t>
        </is>
      </c>
      <c r="O340" t="inlineStr">
        <is>
          <t>eng</t>
        </is>
      </c>
      <c r="P340" t="inlineStr">
        <is>
          <t>nju</t>
        </is>
      </c>
      <c r="R340" t="inlineStr">
        <is>
          <t xml:space="preserve">LB </t>
        </is>
      </c>
      <c r="S340" t="n">
        <v>4</v>
      </c>
      <c r="T340" t="n">
        <v>4</v>
      </c>
      <c r="U340" t="inlineStr">
        <is>
          <t>2007-03-23</t>
        </is>
      </c>
      <c r="V340" t="inlineStr">
        <is>
          <t>2007-03-23</t>
        </is>
      </c>
      <c r="W340" t="inlineStr">
        <is>
          <t>1997-12-11</t>
        </is>
      </c>
      <c r="X340" t="inlineStr">
        <is>
          <t>1997-12-11</t>
        </is>
      </c>
      <c r="Y340" t="n">
        <v>247</v>
      </c>
      <c r="Z340" t="n">
        <v>183</v>
      </c>
      <c r="AA340" t="n">
        <v>368</v>
      </c>
      <c r="AB340" t="n">
        <v>3</v>
      </c>
      <c r="AC340" t="n">
        <v>4</v>
      </c>
      <c r="AD340" t="n">
        <v>9</v>
      </c>
      <c r="AE340" t="n">
        <v>16</v>
      </c>
      <c r="AF340" t="n">
        <v>3</v>
      </c>
      <c r="AG340" t="n">
        <v>6</v>
      </c>
      <c r="AH340" t="n">
        <v>2</v>
      </c>
      <c r="AI340" t="n">
        <v>4</v>
      </c>
      <c r="AJ340" t="n">
        <v>6</v>
      </c>
      <c r="AK340" t="n">
        <v>9</v>
      </c>
      <c r="AL340" t="n">
        <v>2</v>
      </c>
      <c r="AM340" t="n">
        <v>3</v>
      </c>
      <c r="AN340" t="n">
        <v>0</v>
      </c>
      <c r="AO340" t="n">
        <v>0</v>
      </c>
      <c r="AP340" t="inlineStr">
        <is>
          <t>No</t>
        </is>
      </c>
      <c r="AQ340" t="inlineStr">
        <is>
          <t>Yes</t>
        </is>
      </c>
      <c r="AR340">
        <f>HYPERLINK("http://catalog.hathitrust.org/Record/003049130","HathiTrust Record")</f>
        <v/>
      </c>
      <c r="AS340">
        <f>HYPERLINK("https://creighton-primo.hosted.exlibrisgroup.com/primo-explore/search?tab=default_tab&amp;search_scope=EVERYTHING&amp;vid=01CRU&amp;lang=en_US&amp;offset=0&amp;query=any,contains,991002545089702656","Catalog Record")</f>
        <v/>
      </c>
      <c r="AT340">
        <f>HYPERLINK("http://www.worldcat.org/oclc/33078292","WorldCat Record")</f>
        <v/>
      </c>
      <c r="AU340" t="inlineStr">
        <is>
          <t>836992101:eng</t>
        </is>
      </c>
      <c r="AV340" t="inlineStr">
        <is>
          <t>33078292</t>
        </is>
      </c>
      <c r="AW340" t="inlineStr">
        <is>
          <t>991002545089702656</t>
        </is>
      </c>
      <c r="AX340" t="inlineStr">
        <is>
          <t>991002545089702656</t>
        </is>
      </c>
      <c r="AY340" t="inlineStr">
        <is>
          <t>2255297970002656</t>
        </is>
      </c>
      <c r="AZ340" t="inlineStr">
        <is>
          <t>BOOK</t>
        </is>
      </c>
      <c r="BB340" t="inlineStr">
        <is>
          <t>9780023866951</t>
        </is>
      </c>
      <c r="BC340" t="inlineStr">
        <is>
          <t>32285003282901</t>
        </is>
      </c>
      <c r="BD340" t="inlineStr">
        <is>
          <t>893792588</t>
        </is>
      </c>
    </row>
    <row r="341">
      <c r="A341" t="inlineStr">
        <is>
          <t>No</t>
        </is>
      </c>
      <c r="B341" t="inlineStr">
        <is>
          <t>LB1028.4 .F35 1995</t>
        </is>
      </c>
      <c r="C341" t="inlineStr">
        <is>
          <t>0                      LB 1028400F  35          1995</t>
        </is>
      </c>
      <c r="D341" t="inlineStr">
        <is>
          <t>Multimedia in higher education : a practical guide to new tools for interactive teaching and learning / Dennis R. Falk and Helen L. Carlson.</t>
        </is>
      </c>
      <c r="F341" t="inlineStr">
        <is>
          <t>No</t>
        </is>
      </c>
      <c r="G341" t="inlineStr">
        <is>
          <t>1</t>
        </is>
      </c>
      <c r="H341" t="inlineStr">
        <is>
          <t>No</t>
        </is>
      </c>
      <c r="I341" t="inlineStr">
        <is>
          <t>No</t>
        </is>
      </c>
      <c r="J341" t="inlineStr">
        <is>
          <t>0</t>
        </is>
      </c>
      <c r="K341" t="inlineStr">
        <is>
          <t>Falk, Dennis R.</t>
        </is>
      </c>
      <c r="L341" t="inlineStr">
        <is>
          <t>Medford, N.J. : Learned Information, 1995.</t>
        </is>
      </c>
      <c r="M341" t="inlineStr">
        <is>
          <t>1995</t>
        </is>
      </c>
      <c r="O341" t="inlineStr">
        <is>
          <t>eng</t>
        </is>
      </c>
      <c r="P341" t="inlineStr">
        <is>
          <t>nju</t>
        </is>
      </c>
      <c r="R341" t="inlineStr">
        <is>
          <t xml:space="preserve">LB </t>
        </is>
      </c>
      <c r="S341" t="n">
        <v>5</v>
      </c>
      <c r="T341" t="n">
        <v>5</v>
      </c>
      <c r="U341" t="inlineStr">
        <is>
          <t>2007-03-23</t>
        </is>
      </c>
      <c r="V341" t="inlineStr">
        <is>
          <t>2007-03-23</t>
        </is>
      </c>
      <c r="W341" t="inlineStr">
        <is>
          <t>1996-01-02</t>
        </is>
      </c>
      <c r="X341" t="inlineStr">
        <is>
          <t>1996-01-02</t>
        </is>
      </c>
      <c r="Y341" t="n">
        <v>286</v>
      </c>
      <c r="Z341" t="n">
        <v>236</v>
      </c>
      <c r="AA341" t="n">
        <v>243</v>
      </c>
      <c r="AB341" t="n">
        <v>3</v>
      </c>
      <c r="AC341" t="n">
        <v>3</v>
      </c>
      <c r="AD341" t="n">
        <v>6</v>
      </c>
      <c r="AE341" t="n">
        <v>6</v>
      </c>
      <c r="AF341" t="n">
        <v>0</v>
      </c>
      <c r="AG341" t="n">
        <v>0</v>
      </c>
      <c r="AH341" t="n">
        <v>1</v>
      </c>
      <c r="AI341" t="n">
        <v>1</v>
      </c>
      <c r="AJ341" t="n">
        <v>3</v>
      </c>
      <c r="AK341" t="n">
        <v>3</v>
      </c>
      <c r="AL341" t="n">
        <v>2</v>
      </c>
      <c r="AM341" t="n">
        <v>2</v>
      </c>
      <c r="AN341" t="n">
        <v>0</v>
      </c>
      <c r="AO341" t="n">
        <v>0</v>
      </c>
      <c r="AP341" t="inlineStr">
        <is>
          <t>No</t>
        </is>
      </c>
      <c r="AQ341" t="inlineStr">
        <is>
          <t>No</t>
        </is>
      </c>
      <c r="AS341">
        <f>HYPERLINK("https://creighton-primo.hosted.exlibrisgroup.com/primo-explore/search?tab=default_tab&amp;search_scope=EVERYTHING&amp;vid=01CRU&amp;lang=en_US&amp;offset=0&amp;query=any,contains,991002510459702656","Catalog Record")</f>
        <v/>
      </c>
      <c r="AT341">
        <f>HYPERLINK("http://www.worldcat.org/oclc/32655003","WorldCat Record")</f>
        <v/>
      </c>
      <c r="AU341" t="inlineStr">
        <is>
          <t>289711472:eng</t>
        </is>
      </c>
      <c r="AV341" t="inlineStr">
        <is>
          <t>32655003</t>
        </is>
      </c>
      <c r="AW341" t="inlineStr">
        <is>
          <t>991002510459702656</t>
        </is>
      </c>
      <c r="AX341" t="inlineStr">
        <is>
          <t>991002510459702656</t>
        </is>
      </c>
      <c r="AY341" t="inlineStr">
        <is>
          <t>2263374180002656</t>
        </is>
      </c>
      <c r="AZ341" t="inlineStr">
        <is>
          <t>BOOK</t>
        </is>
      </c>
      <c r="BB341" t="inlineStr">
        <is>
          <t>9781573870023</t>
        </is>
      </c>
      <c r="BC341" t="inlineStr">
        <is>
          <t>32285002114642</t>
        </is>
      </c>
      <c r="BD341" t="inlineStr">
        <is>
          <t>893409178</t>
        </is>
      </c>
    </row>
    <row r="342">
      <c r="A342" t="inlineStr">
        <is>
          <t>No</t>
        </is>
      </c>
      <c r="B342" t="inlineStr">
        <is>
          <t>LB1028.4 .T69 2004</t>
        </is>
      </c>
      <c r="C342" t="inlineStr">
        <is>
          <t>0                      LB 1028400T  69          2004</t>
        </is>
      </c>
      <c r="D342" t="inlineStr">
        <is>
          <t>Toys, games, and media / edited by Jeffrey Goldstein, David Buckingham, Gilles Brougere.</t>
        </is>
      </c>
      <c r="F342" t="inlineStr">
        <is>
          <t>No</t>
        </is>
      </c>
      <c r="G342" t="inlineStr">
        <is>
          <t>1</t>
        </is>
      </c>
      <c r="H342" t="inlineStr">
        <is>
          <t>No</t>
        </is>
      </c>
      <c r="I342" t="inlineStr">
        <is>
          <t>No</t>
        </is>
      </c>
      <c r="J342" t="inlineStr">
        <is>
          <t>0</t>
        </is>
      </c>
      <c r="L342" t="inlineStr">
        <is>
          <t>Mahwah, N.J. : L. Erlbaum Associates, 2004.</t>
        </is>
      </c>
      <c r="M342" t="inlineStr">
        <is>
          <t>2004</t>
        </is>
      </c>
      <c r="O342" t="inlineStr">
        <is>
          <t>eng</t>
        </is>
      </c>
      <c r="P342" t="inlineStr">
        <is>
          <t>nju</t>
        </is>
      </c>
      <c r="R342" t="inlineStr">
        <is>
          <t xml:space="preserve">LB </t>
        </is>
      </c>
      <c r="S342" t="n">
        <v>1</v>
      </c>
      <c r="T342" t="n">
        <v>1</v>
      </c>
      <c r="U342" t="inlineStr">
        <is>
          <t>2007-10-30</t>
        </is>
      </c>
      <c r="V342" t="inlineStr">
        <is>
          <t>2007-10-30</t>
        </is>
      </c>
      <c r="W342" t="inlineStr">
        <is>
          <t>2005-03-01</t>
        </is>
      </c>
      <c r="X342" t="inlineStr">
        <is>
          <t>2005-03-01</t>
        </is>
      </c>
      <c r="Y342" t="n">
        <v>497</v>
      </c>
      <c r="Z342" t="n">
        <v>418</v>
      </c>
      <c r="AA342" t="n">
        <v>928</v>
      </c>
      <c r="AB342" t="n">
        <v>2</v>
      </c>
      <c r="AC342" t="n">
        <v>28</v>
      </c>
      <c r="AD342" t="n">
        <v>19</v>
      </c>
      <c r="AE342" t="n">
        <v>31</v>
      </c>
      <c r="AF342" t="n">
        <v>10</v>
      </c>
      <c r="AG342" t="n">
        <v>13</v>
      </c>
      <c r="AH342" t="n">
        <v>7</v>
      </c>
      <c r="AI342" t="n">
        <v>7</v>
      </c>
      <c r="AJ342" t="n">
        <v>9</v>
      </c>
      <c r="AK342" t="n">
        <v>10</v>
      </c>
      <c r="AL342" t="n">
        <v>1</v>
      </c>
      <c r="AM342" t="n">
        <v>9</v>
      </c>
      <c r="AN342" t="n">
        <v>0</v>
      </c>
      <c r="AO342" t="n">
        <v>0</v>
      </c>
      <c r="AP342" t="inlineStr">
        <is>
          <t>No</t>
        </is>
      </c>
      <c r="AQ342" t="inlineStr">
        <is>
          <t>No</t>
        </is>
      </c>
      <c r="AS342">
        <f>HYPERLINK("https://creighton-primo.hosted.exlibrisgroup.com/primo-explore/search?tab=default_tab&amp;search_scope=EVERYTHING&amp;vid=01CRU&amp;lang=en_US&amp;offset=0&amp;query=any,contains,991004462609702656","Catalog Record")</f>
        <v/>
      </c>
      <c r="AT342">
        <f>HYPERLINK("http://www.worldcat.org/oclc/54844189","WorldCat Record")</f>
        <v/>
      </c>
      <c r="AU342" t="inlineStr">
        <is>
          <t>766011165:eng</t>
        </is>
      </c>
      <c r="AV342" t="inlineStr">
        <is>
          <t>54844189</t>
        </is>
      </c>
      <c r="AW342" t="inlineStr">
        <is>
          <t>991004462609702656</t>
        </is>
      </c>
      <c r="AX342" t="inlineStr">
        <is>
          <t>991004462609702656</t>
        </is>
      </c>
      <c r="AY342" t="inlineStr">
        <is>
          <t>2270670810002656</t>
        </is>
      </c>
      <c r="AZ342" t="inlineStr">
        <is>
          <t>BOOK</t>
        </is>
      </c>
      <c r="BB342" t="inlineStr">
        <is>
          <t>9780805849035</t>
        </is>
      </c>
      <c r="BC342" t="inlineStr">
        <is>
          <t>32285005028237</t>
        </is>
      </c>
      <c r="BD342" t="inlineStr">
        <is>
          <t>893800989</t>
        </is>
      </c>
    </row>
    <row r="343">
      <c r="A343" t="inlineStr">
        <is>
          <t>No</t>
        </is>
      </c>
      <c r="B343" t="inlineStr">
        <is>
          <t>LB1028.43 .S34 1995</t>
        </is>
      </c>
      <c r="C343" t="inlineStr">
        <is>
          <t>0                      LB 1028430S  34          1995</t>
        </is>
      </c>
      <c r="D343" t="inlineStr">
        <is>
          <t>Computers and classroom culture / Janet Ward Schofield.</t>
        </is>
      </c>
      <c r="F343" t="inlineStr">
        <is>
          <t>No</t>
        </is>
      </c>
      <c r="G343" t="inlineStr">
        <is>
          <t>1</t>
        </is>
      </c>
      <c r="H343" t="inlineStr">
        <is>
          <t>No</t>
        </is>
      </c>
      <c r="I343" t="inlineStr">
        <is>
          <t>No</t>
        </is>
      </c>
      <c r="J343" t="inlineStr">
        <is>
          <t>0</t>
        </is>
      </c>
      <c r="K343" t="inlineStr">
        <is>
          <t>Schofield, Janet Ward.</t>
        </is>
      </c>
      <c r="L343" t="inlineStr">
        <is>
          <t>Cambridge ; New York : Cambridge University Press, 1995.</t>
        </is>
      </c>
      <c r="M343" t="inlineStr">
        <is>
          <t>1995</t>
        </is>
      </c>
      <c r="O343" t="inlineStr">
        <is>
          <t>eng</t>
        </is>
      </c>
      <c r="P343" t="inlineStr">
        <is>
          <t>enk</t>
        </is>
      </c>
      <c r="R343" t="inlineStr">
        <is>
          <t xml:space="preserve">LB </t>
        </is>
      </c>
      <c r="S343" t="n">
        <v>10</v>
      </c>
      <c r="T343" t="n">
        <v>10</v>
      </c>
      <c r="U343" t="inlineStr">
        <is>
          <t>2004-10-03</t>
        </is>
      </c>
      <c r="V343" t="inlineStr">
        <is>
          <t>2004-10-03</t>
        </is>
      </c>
      <c r="W343" t="inlineStr">
        <is>
          <t>1996-09-26</t>
        </is>
      </c>
      <c r="X343" t="inlineStr">
        <is>
          <t>1996-09-26</t>
        </is>
      </c>
      <c r="Y343" t="n">
        <v>620</v>
      </c>
      <c r="Z343" t="n">
        <v>485</v>
      </c>
      <c r="AA343" t="n">
        <v>505</v>
      </c>
      <c r="AB343" t="n">
        <v>3</v>
      </c>
      <c r="AC343" t="n">
        <v>3</v>
      </c>
      <c r="AD343" t="n">
        <v>24</v>
      </c>
      <c r="AE343" t="n">
        <v>24</v>
      </c>
      <c r="AF343" t="n">
        <v>10</v>
      </c>
      <c r="AG343" t="n">
        <v>10</v>
      </c>
      <c r="AH343" t="n">
        <v>5</v>
      </c>
      <c r="AI343" t="n">
        <v>5</v>
      </c>
      <c r="AJ343" t="n">
        <v>10</v>
      </c>
      <c r="AK343" t="n">
        <v>10</v>
      </c>
      <c r="AL343" t="n">
        <v>2</v>
      </c>
      <c r="AM343" t="n">
        <v>2</v>
      </c>
      <c r="AN343" t="n">
        <v>0</v>
      </c>
      <c r="AO343" t="n">
        <v>0</v>
      </c>
      <c r="AP343" t="inlineStr">
        <is>
          <t>No</t>
        </is>
      </c>
      <c r="AQ343" t="inlineStr">
        <is>
          <t>No</t>
        </is>
      </c>
      <c r="AS343">
        <f>HYPERLINK("https://creighton-primo.hosted.exlibrisgroup.com/primo-explore/search?tab=default_tab&amp;search_scope=EVERYTHING&amp;vid=01CRU&amp;lang=en_US&amp;offset=0&amp;query=any,contains,991002450469702656","Catalog Record")</f>
        <v/>
      </c>
      <c r="AT343">
        <f>HYPERLINK("http://www.worldcat.org/oclc/31969075","WorldCat Record")</f>
        <v/>
      </c>
      <c r="AU343" t="inlineStr">
        <is>
          <t>33994425:eng</t>
        </is>
      </c>
      <c r="AV343" t="inlineStr">
        <is>
          <t>31969075</t>
        </is>
      </c>
      <c r="AW343" t="inlineStr">
        <is>
          <t>991002450469702656</t>
        </is>
      </c>
      <c r="AX343" t="inlineStr">
        <is>
          <t>991002450469702656</t>
        </is>
      </c>
      <c r="AY343" t="inlineStr">
        <is>
          <t>2263149610002656</t>
        </is>
      </c>
      <c r="AZ343" t="inlineStr">
        <is>
          <t>BOOK</t>
        </is>
      </c>
      <c r="BB343" t="inlineStr">
        <is>
          <t>9780521473682</t>
        </is>
      </c>
      <c r="BC343" t="inlineStr">
        <is>
          <t>32285002320470</t>
        </is>
      </c>
      <c r="BD343" t="inlineStr">
        <is>
          <t>893716471</t>
        </is>
      </c>
    </row>
    <row r="344">
      <c r="A344" t="inlineStr">
        <is>
          <t>No</t>
        </is>
      </c>
      <c r="B344" t="inlineStr">
        <is>
          <t>LB1028.5 .M6373 1999</t>
        </is>
      </c>
      <c r="C344" t="inlineStr">
        <is>
          <t>0                      LB 1028500M  6373        1999</t>
        </is>
      </c>
      <c r="D344" t="inlineStr">
        <is>
          <t>Integrating computer technology into the classroom / Gary R. Morrison, Deborah L. Lowther, Lisa DeMeulle ; [editor, Debra A. Stollenwerk].</t>
        </is>
      </c>
      <c r="F344" t="inlineStr">
        <is>
          <t>No</t>
        </is>
      </c>
      <c r="G344" t="inlineStr">
        <is>
          <t>1</t>
        </is>
      </c>
      <c r="H344" t="inlineStr">
        <is>
          <t>No</t>
        </is>
      </c>
      <c r="I344" t="inlineStr">
        <is>
          <t>No</t>
        </is>
      </c>
      <c r="J344" t="inlineStr">
        <is>
          <t>0</t>
        </is>
      </c>
      <c r="K344" t="inlineStr">
        <is>
          <t>Morrison, Gary R.</t>
        </is>
      </c>
      <c r="L344" t="inlineStr">
        <is>
          <t>Upper Saddle River, N.J. : Merrill, c1999.</t>
        </is>
      </c>
      <c r="M344" t="inlineStr">
        <is>
          <t>1999</t>
        </is>
      </c>
      <c r="O344" t="inlineStr">
        <is>
          <t>eng</t>
        </is>
      </c>
      <c r="P344" t="inlineStr">
        <is>
          <t>nju</t>
        </is>
      </c>
      <c r="R344" t="inlineStr">
        <is>
          <t xml:space="preserve">LB </t>
        </is>
      </c>
      <c r="S344" t="n">
        <v>1</v>
      </c>
      <c r="T344" t="n">
        <v>1</v>
      </c>
      <c r="U344" t="inlineStr">
        <is>
          <t>2000-12-05</t>
        </is>
      </c>
      <c r="V344" t="inlineStr">
        <is>
          <t>2000-12-05</t>
        </is>
      </c>
      <c r="W344" t="inlineStr">
        <is>
          <t>2000-12-05</t>
        </is>
      </c>
      <c r="X344" t="inlineStr">
        <is>
          <t>2000-12-05</t>
        </is>
      </c>
      <c r="Y344" t="n">
        <v>227</v>
      </c>
      <c r="Z344" t="n">
        <v>169</v>
      </c>
      <c r="AA344" t="n">
        <v>369</v>
      </c>
      <c r="AB344" t="n">
        <v>1</v>
      </c>
      <c r="AC344" t="n">
        <v>5</v>
      </c>
      <c r="AD344" t="n">
        <v>10</v>
      </c>
      <c r="AE344" t="n">
        <v>23</v>
      </c>
      <c r="AF344" t="n">
        <v>6</v>
      </c>
      <c r="AG344" t="n">
        <v>9</v>
      </c>
      <c r="AH344" t="n">
        <v>2</v>
      </c>
      <c r="AI344" t="n">
        <v>4</v>
      </c>
      <c r="AJ344" t="n">
        <v>4</v>
      </c>
      <c r="AK344" t="n">
        <v>12</v>
      </c>
      <c r="AL344" t="n">
        <v>0</v>
      </c>
      <c r="AM344" t="n">
        <v>4</v>
      </c>
      <c r="AN344" t="n">
        <v>0</v>
      </c>
      <c r="AO344" t="n">
        <v>0</v>
      </c>
      <c r="AP344" t="inlineStr">
        <is>
          <t>No</t>
        </is>
      </c>
      <c r="AQ344" t="inlineStr">
        <is>
          <t>Yes</t>
        </is>
      </c>
      <c r="AR344">
        <f>HYPERLINK("http://catalog.hathitrust.org/Record/004048424","HathiTrust Record")</f>
        <v/>
      </c>
      <c r="AS344">
        <f>HYPERLINK("https://creighton-primo.hosted.exlibrisgroup.com/primo-explore/search?tab=default_tab&amp;search_scope=EVERYTHING&amp;vid=01CRU&amp;lang=en_US&amp;offset=0&amp;query=any,contains,991003321289702656","Catalog Record")</f>
        <v/>
      </c>
      <c r="AT344">
        <f>HYPERLINK("http://www.worldcat.org/oclc/38992975","WorldCat Record")</f>
        <v/>
      </c>
      <c r="AU344" t="inlineStr">
        <is>
          <t>143274651:eng</t>
        </is>
      </c>
      <c r="AV344" t="inlineStr">
        <is>
          <t>38992975</t>
        </is>
      </c>
      <c r="AW344" t="inlineStr">
        <is>
          <t>991003321289702656</t>
        </is>
      </c>
      <c r="AX344" t="inlineStr">
        <is>
          <t>991003321289702656</t>
        </is>
      </c>
      <c r="AY344" t="inlineStr">
        <is>
          <t>2264416750002656</t>
        </is>
      </c>
      <c r="AZ344" t="inlineStr">
        <is>
          <t>BOOK</t>
        </is>
      </c>
      <c r="BB344" t="inlineStr">
        <is>
          <t>9780132700009</t>
        </is>
      </c>
      <c r="BC344" t="inlineStr">
        <is>
          <t>32285004275110</t>
        </is>
      </c>
      <c r="BD344" t="inlineStr">
        <is>
          <t>893441165</t>
        </is>
      </c>
    </row>
    <row r="345">
      <c r="A345" t="inlineStr">
        <is>
          <t>No</t>
        </is>
      </c>
      <c r="B345" t="inlineStr">
        <is>
          <t>LB1028.73 .F33 1998</t>
        </is>
      </c>
      <c r="C345" t="inlineStr">
        <is>
          <t>0                      LB 1028730F  33          1998</t>
        </is>
      </c>
      <c r="D345" t="inlineStr">
        <is>
          <t>Facilitating the development and use of interactive learning environments / edited by Charles P. Bloom, R. Bowen Loftin.</t>
        </is>
      </c>
      <c r="F345" t="inlineStr">
        <is>
          <t>No</t>
        </is>
      </c>
      <c r="G345" t="inlineStr">
        <is>
          <t>1</t>
        </is>
      </c>
      <c r="H345" t="inlineStr">
        <is>
          <t>No</t>
        </is>
      </c>
      <c r="I345" t="inlineStr">
        <is>
          <t>No</t>
        </is>
      </c>
      <c r="J345" t="inlineStr">
        <is>
          <t>0</t>
        </is>
      </c>
      <c r="L345" t="inlineStr">
        <is>
          <t>Mahwah, N.J. : L. Erlbaum Associates, 1998.</t>
        </is>
      </c>
      <c r="M345" t="inlineStr">
        <is>
          <t>1998</t>
        </is>
      </c>
      <c r="O345" t="inlineStr">
        <is>
          <t>eng</t>
        </is>
      </c>
      <c r="P345" t="inlineStr">
        <is>
          <t>cau</t>
        </is>
      </c>
      <c r="Q345" t="inlineStr">
        <is>
          <t>Computers, cognition, and work</t>
        </is>
      </c>
      <c r="R345" t="inlineStr">
        <is>
          <t xml:space="preserve">LB </t>
        </is>
      </c>
      <c r="S345" t="n">
        <v>2</v>
      </c>
      <c r="T345" t="n">
        <v>2</v>
      </c>
      <c r="U345" t="inlineStr">
        <is>
          <t>2007-10-08</t>
        </is>
      </c>
      <c r="V345" t="inlineStr">
        <is>
          <t>2007-10-08</t>
        </is>
      </c>
      <c r="W345" t="inlineStr">
        <is>
          <t>1999-12-07</t>
        </is>
      </c>
      <c r="X345" t="inlineStr">
        <is>
          <t>1999-12-07</t>
        </is>
      </c>
      <c r="Y345" t="n">
        <v>226</v>
      </c>
      <c r="Z345" t="n">
        <v>184</v>
      </c>
      <c r="AA345" t="n">
        <v>201</v>
      </c>
      <c r="AB345" t="n">
        <v>1</v>
      </c>
      <c r="AC345" t="n">
        <v>1</v>
      </c>
      <c r="AD345" t="n">
        <v>7</v>
      </c>
      <c r="AE345" t="n">
        <v>7</v>
      </c>
      <c r="AF345" t="n">
        <v>4</v>
      </c>
      <c r="AG345" t="n">
        <v>4</v>
      </c>
      <c r="AH345" t="n">
        <v>2</v>
      </c>
      <c r="AI345" t="n">
        <v>2</v>
      </c>
      <c r="AJ345" t="n">
        <v>4</v>
      </c>
      <c r="AK345" t="n">
        <v>4</v>
      </c>
      <c r="AL345" t="n">
        <v>0</v>
      </c>
      <c r="AM345" t="n">
        <v>0</v>
      </c>
      <c r="AN345" t="n">
        <v>0</v>
      </c>
      <c r="AO345" t="n">
        <v>0</v>
      </c>
      <c r="AP345" t="inlineStr">
        <is>
          <t>No</t>
        </is>
      </c>
      <c r="AQ345" t="inlineStr">
        <is>
          <t>No</t>
        </is>
      </c>
      <c r="AS345">
        <f>HYPERLINK("https://creighton-primo.hosted.exlibrisgroup.com/primo-explore/search?tab=default_tab&amp;search_scope=EVERYTHING&amp;vid=01CRU&amp;lang=en_US&amp;offset=0&amp;query=any,contains,991002873659702656","Catalog Record")</f>
        <v/>
      </c>
      <c r="AT345">
        <f>HYPERLINK("http://www.worldcat.org/oclc/37870721","WorldCat Record")</f>
        <v/>
      </c>
      <c r="AU345" t="inlineStr">
        <is>
          <t>354254809:eng</t>
        </is>
      </c>
      <c r="AV345" t="inlineStr">
        <is>
          <t>37870721</t>
        </is>
      </c>
      <c r="AW345" t="inlineStr">
        <is>
          <t>991002873659702656</t>
        </is>
      </c>
      <c r="AX345" t="inlineStr">
        <is>
          <t>991002873659702656</t>
        </is>
      </c>
      <c r="AY345" t="inlineStr">
        <is>
          <t>2270656600002656</t>
        </is>
      </c>
      <c r="AZ345" t="inlineStr">
        <is>
          <t>BOOK</t>
        </is>
      </c>
      <c r="BB345" t="inlineStr">
        <is>
          <t>9780805818505</t>
        </is>
      </c>
      <c r="BC345" t="inlineStr">
        <is>
          <t>32285003628798</t>
        </is>
      </c>
      <c r="BD345" t="inlineStr">
        <is>
          <t>893591900</t>
        </is>
      </c>
    </row>
    <row r="346">
      <c r="A346" t="inlineStr">
        <is>
          <t>No</t>
        </is>
      </c>
      <c r="B346" t="inlineStr">
        <is>
          <t>LB1029.C37 J64 2002</t>
        </is>
      </c>
      <c r="C346" t="inlineStr">
        <is>
          <t>0                      LB 1029000C  37                 J  64          2002</t>
        </is>
      </c>
      <c r="D346" t="inlineStr">
        <is>
          <t>In case you teach English : an interactive casebook for prospective and practicing teachers / Larry R. Johannessen, Thomas M. McCann.</t>
        </is>
      </c>
      <c r="F346" t="inlineStr">
        <is>
          <t>No</t>
        </is>
      </c>
      <c r="G346" t="inlineStr">
        <is>
          <t>1</t>
        </is>
      </c>
      <c r="H346" t="inlineStr">
        <is>
          <t>No</t>
        </is>
      </c>
      <c r="I346" t="inlineStr">
        <is>
          <t>No</t>
        </is>
      </c>
      <c r="J346" t="inlineStr">
        <is>
          <t>0</t>
        </is>
      </c>
      <c r="K346" t="inlineStr">
        <is>
          <t>Johannessen, Larry R.</t>
        </is>
      </c>
      <c r="L346" t="inlineStr">
        <is>
          <t>Upper Saddle River, N.J. : Merrill Prentice Hall, c2002.</t>
        </is>
      </c>
      <c r="M346" t="inlineStr">
        <is>
          <t>2002</t>
        </is>
      </c>
      <c r="O346" t="inlineStr">
        <is>
          <t>eng</t>
        </is>
      </c>
      <c r="P346" t="inlineStr">
        <is>
          <t>nju</t>
        </is>
      </c>
      <c r="R346" t="inlineStr">
        <is>
          <t xml:space="preserve">LB </t>
        </is>
      </c>
      <c r="S346" t="n">
        <v>2</v>
      </c>
      <c r="T346" t="n">
        <v>2</v>
      </c>
      <c r="U346" t="inlineStr">
        <is>
          <t>2002-04-22</t>
        </is>
      </c>
      <c r="V346" t="inlineStr">
        <is>
          <t>2002-04-22</t>
        </is>
      </c>
      <c r="W346" t="inlineStr">
        <is>
          <t>2002-04-10</t>
        </is>
      </c>
      <c r="X346" t="inlineStr">
        <is>
          <t>2002-04-10</t>
        </is>
      </c>
      <c r="Y346" t="n">
        <v>140</v>
      </c>
      <c r="Z346" t="n">
        <v>124</v>
      </c>
      <c r="AA346" t="n">
        <v>125</v>
      </c>
      <c r="AB346" t="n">
        <v>2</v>
      </c>
      <c r="AC346" t="n">
        <v>2</v>
      </c>
      <c r="AD346" t="n">
        <v>3</v>
      </c>
      <c r="AE346" t="n">
        <v>3</v>
      </c>
      <c r="AF346" t="n">
        <v>0</v>
      </c>
      <c r="AG346" t="n">
        <v>0</v>
      </c>
      <c r="AH346" t="n">
        <v>0</v>
      </c>
      <c r="AI346" t="n">
        <v>0</v>
      </c>
      <c r="AJ346" t="n">
        <v>2</v>
      </c>
      <c r="AK346" t="n">
        <v>2</v>
      </c>
      <c r="AL346" t="n">
        <v>1</v>
      </c>
      <c r="AM346" t="n">
        <v>1</v>
      </c>
      <c r="AN346" t="n">
        <v>0</v>
      </c>
      <c r="AO346" t="n">
        <v>0</v>
      </c>
      <c r="AP346" t="inlineStr">
        <is>
          <t>No</t>
        </is>
      </c>
      <c r="AQ346" t="inlineStr">
        <is>
          <t>Yes</t>
        </is>
      </c>
      <c r="AR346">
        <f>HYPERLINK("http://catalog.hathitrust.org/Record/008307268","HathiTrust Record")</f>
        <v/>
      </c>
      <c r="AS346">
        <f>HYPERLINK("https://creighton-primo.hosted.exlibrisgroup.com/primo-explore/search?tab=default_tab&amp;search_scope=EVERYTHING&amp;vid=01CRU&amp;lang=en_US&amp;offset=0&amp;query=any,contains,991003757249702656","Catalog Record")</f>
        <v/>
      </c>
      <c r="AT346">
        <f>HYPERLINK("http://www.worldcat.org/oclc/46936004","WorldCat Record")</f>
        <v/>
      </c>
      <c r="AU346" t="inlineStr">
        <is>
          <t>984117:eng</t>
        </is>
      </c>
      <c r="AV346" t="inlineStr">
        <is>
          <t>46936004</t>
        </is>
      </c>
      <c r="AW346" t="inlineStr">
        <is>
          <t>991003757249702656</t>
        </is>
      </c>
      <c r="AX346" t="inlineStr">
        <is>
          <t>991003757249702656</t>
        </is>
      </c>
      <c r="AY346" t="inlineStr">
        <is>
          <t>2262612130002656</t>
        </is>
      </c>
      <c r="AZ346" t="inlineStr">
        <is>
          <t>BOOK</t>
        </is>
      </c>
      <c r="BB346" t="inlineStr">
        <is>
          <t>9780130623102</t>
        </is>
      </c>
      <c r="BC346" t="inlineStr">
        <is>
          <t>32285004478524</t>
        </is>
      </c>
      <c r="BD346" t="inlineStr">
        <is>
          <t>893887853</t>
        </is>
      </c>
    </row>
    <row r="347">
      <c r="A347" t="inlineStr">
        <is>
          <t>No</t>
        </is>
      </c>
      <c r="B347" t="inlineStr">
        <is>
          <t>LB1029.C37 L96 1999</t>
        </is>
      </c>
      <c r="C347" t="inlineStr">
        <is>
          <t>0                      LB 1029000C  37                 L  96          1999</t>
        </is>
      </c>
      <c r="D347" t="inlineStr">
        <is>
          <t>Teaching and learning with cases : a guidebook / Laurence E. Lynn, Jr.</t>
        </is>
      </c>
      <c r="F347" t="inlineStr">
        <is>
          <t>No</t>
        </is>
      </c>
      <c r="G347" t="inlineStr">
        <is>
          <t>1</t>
        </is>
      </c>
      <c r="H347" t="inlineStr">
        <is>
          <t>No</t>
        </is>
      </c>
      <c r="I347" t="inlineStr">
        <is>
          <t>No</t>
        </is>
      </c>
      <c r="J347" t="inlineStr">
        <is>
          <t>0</t>
        </is>
      </c>
      <c r="K347" t="inlineStr">
        <is>
          <t>Lynn, Laurence E., 1937-</t>
        </is>
      </c>
      <c r="L347" t="inlineStr">
        <is>
          <t>New York : Chatham House Publishers, c1999.</t>
        </is>
      </c>
      <c r="M347" t="inlineStr">
        <is>
          <t>1999</t>
        </is>
      </c>
      <c r="O347" t="inlineStr">
        <is>
          <t>eng</t>
        </is>
      </c>
      <c r="P347" t="inlineStr">
        <is>
          <t>nyu</t>
        </is>
      </c>
      <c r="R347" t="inlineStr">
        <is>
          <t xml:space="preserve">LB </t>
        </is>
      </c>
      <c r="S347" t="n">
        <v>2</v>
      </c>
      <c r="T347" t="n">
        <v>2</v>
      </c>
      <c r="U347" t="inlineStr">
        <is>
          <t>2004-07-11</t>
        </is>
      </c>
      <c r="V347" t="inlineStr">
        <is>
          <t>2004-07-11</t>
        </is>
      </c>
      <c r="W347" t="inlineStr">
        <is>
          <t>1999-02-09</t>
        </is>
      </c>
      <c r="X347" t="inlineStr">
        <is>
          <t>1999-02-09</t>
        </is>
      </c>
      <c r="Y347" t="n">
        <v>403</v>
      </c>
      <c r="Z347" t="n">
        <v>347</v>
      </c>
      <c r="AA347" t="n">
        <v>1254</v>
      </c>
      <c r="AB347" t="n">
        <v>3</v>
      </c>
      <c r="AC347" t="n">
        <v>5</v>
      </c>
      <c r="AD347" t="n">
        <v>17</v>
      </c>
      <c r="AE347" t="n">
        <v>39</v>
      </c>
      <c r="AF347" t="n">
        <v>5</v>
      </c>
      <c r="AG347" t="n">
        <v>20</v>
      </c>
      <c r="AH347" t="n">
        <v>3</v>
      </c>
      <c r="AI347" t="n">
        <v>7</v>
      </c>
      <c r="AJ347" t="n">
        <v>10</v>
      </c>
      <c r="AK347" t="n">
        <v>18</v>
      </c>
      <c r="AL347" t="n">
        <v>2</v>
      </c>
      <c r="AM347" t="n">
        <v>3</v>
      </c>
      <c r="AN347" t="n">
        <v>0</v>
      </c>
      <c r="AO347" t="n">
        <v>0</v>
      </c>
      <c r="AP347" t="inlineStr">
        <is>
          <t>No</t>
        </is>
      </c>
      <c r="AQ347" t="inlineStr">
        <is>
          <t>Yes</t>
        </is>
      </c>
      <c r="AR347">
        <f>HYPERLINK("http://catalog.hathitrust.org/Record/004216357","HathiTrust Record")</f>
        <v/>
      </c>
      <c r="AS347">
        <f>HYPERLINK("https://creighton-primo.hosted.exlibrisgroup.com/primo-explore/search?tab=default_tab&amp;search_scope=EVERYTHING&amp;vid=01CRU&amp;lang=en_US&amp;offset=0&amp;query=any,contains,991002950419702656","Catalog Record")</f>
        <v/>
      </c>
      <c r="AT347">
        <f>HYPERLINK("http://www.worldcat.org/oclc/39313455","WorldCat Record")</f>
        <v/>
      </c>
      <c r="AU347" t="inlineStr">
        <is>
          <t>836953244:eng</t>
        </is>
      </c>
      <c r="AV347" t="inlineStr">
        <is>
          <t>39313455</t>
        </is>
      </c>
      <c r="AW347" t="inlineStr">
        <is>
          <t>991002950419702656</t>
        </is>
      </c>
      <c r="AX347" t="inlineStr">
        <is>
          <t>991002950419702656</t>
        </is>
      </c>
      <c r="AY347" t="inlineStr">
        <is>
          <t>2269316790002656</t>
        </is>
      </c>
      <c r="AZ347" t="inlineStr">
        <is>
          <t>BOOK</t>
        </is>
      </c>
      <c r="BB347" t="inlineStr">
        <is>
          <t>9781566430661</t>
        </is>
      </c>
      <c r="BC347" t="inlineStr">
        <is>
          <t>32285003518239</t>
        </is>
      </c>
      <c r="BD347" t="inlineStr">
        <is>
          <t>893899444</t>
        </is>
      </c>
    </row>
    <row r="348">
      <c r="A348" t="inlineStr">
        <is>
          <t>No</t>
        </is>
      </c>
      <c r="B348" t="inlineStr">
        <is>
          <t>LB1029.C53 M84 1995</t>
        </is>
      </c>
      <c r="C348" t="inlineStr">
        <is>
          <t>0                      LB 1029000C  53                 M  84          1995</t>
        </is>
      </c>
      <c r="D348" t="inlineStr">
        <is>
          <t>Multi-age classrooms.</t>
        </is>
      </c>
      <c r="F348" t="inlineStr">
        <is>
          <t>No</t>
        </is>
      </c>
      <c r="G348" t="inlineStr">
        <is>
          <t>1</t>
        </is>
      </c>
      <c r="H348" t="inlineStr">
        <is>
          <t>No</t>
        </is>
      </c>
      <c r="I348" t="inlineStr">
        <is>
          <t>No</t>
        </is>
      </c>
      <c r="J348" t="inlineStr">
        <is>
          <t>0</t>
        </is>
      </c>
      <c r="L348" t="inlineStr">
        <is>
          <t>West Haven, Conn. : NEA Professional Library, c1995.</t>
        </is>
      </c>
      <c r="M348" t="inlineStr">
        <is>
          <t>1995</t>
        </is>
      </c>
      <c r="O348" t="inlineStr">
        <is>
          <t>eng</t>
        </is>
      </c>
      <c r="P348" t="inlineStr">
        <is>
          <t>ctu</t>
        </is>
      </c>
      <c r="Q348" t="inlineStr">
        <is>
          <t>Teacher to teacher series</t>
        </is>
      </c>
      <c r="R348" t="inlineStr">
        <is>
          <t xml:space="preserve">LB </t>
        </is>
      </c>
      <c r="S348" t="n">
        <v>1</v>
      </c>
      <c r="T348" t="n">
        <v>1</v>
      </c>
      <c r="U348" t="inlineStr">
        <is>
          <t>1998-02-08</t>
        </is>
      </c>
      <c r="V348" t="inlineStr">
        <is>
          <t>1998-02-08</t>
        </is>
      </c>
      <c r="W348" t="inlineStr">
        <is>
          <t>1995-08-14</t>
        </is>
      </c>
      <c r="X348" t="inlineStr">
        <is>
          <t>1995-08-14</t>
        </is>
      </c>
      <c r="Y348" t="n">
        <v>257</v>
      </c>
      <c r="Z348" t="n">
        <v>250</v>
      </c>
      <c r="AA348" t="n">
        <v>260</v>
      </c>
      <c r="AB348" t="n">
        <v>5</v>
      </c>
      <c r="AC348" t="n">
        <v>5</v>
      </c>
      <c r="AD348" t="n">
        <v>9</v>
      </c>
      <c r="AE348" t="n">
        <v>10</v>
      </c>
      <c r="AF348" t="n">
        <v>3</v>
      </c>
      <c r="AG348" t="n">
        <v>4</v>
      </c>
      <c r="AH348" t="n">
        <v>1</v>
      </c>
      <c r="AI348" t="n">
        <v>1</v>
      </c>
      <c r="AJ348" t="n">
        <v>4</v>
      </c>
      <c r="AK348" t="n">
        <v>5</v>
      </c>
      <c r="AL348" t="n">
        <v>3</v>
      </c>
      <c r="AM348" t="n">
        <v>3</v>
      </c>
      <c r="AN348" t="n">
        <v>0</v>
      </c>
      <c r="AO348" t="n">
        <v>0</v>
      </c>
      <c r="AP348" t="inlineStr">
        <is>
          <t>No</t>
        </is>
      </c>
      <c r="AQ348" t="inlineStr">
        <is>
          <t>No</t>
        </is>
      </c>
      <c r="AS348">
        <f>HYPERLINK("https://creighton-primo.hosted.exlibrisgroup.com/primo-explore/search?tab=default_tab&amp;search_scope=EVERYTHING&amp;vid=01CRU&amp;lang=en_US&amp;offset=0&amp;query=any,contains,991002522059702656","Catalog Record")</f>
        <v/>
      </c>
      <c r="AT348">
        <f>HYPERLINK("http://www.worldcat.org/oclc/32794977","WorldCat Record")</f>
        <v/>
      </c>
      <c r="AU348" t="inlineStr">
        <is>
          <t>55947796:eng</t>
        </is>
      </c>
      <c r="AV348" t="inlineStr">
        <is>
          <t>32794977</t>
        </is>
      </c>
      <c r="AW348" t="inlineStr">
        <is>
          <t>991002522059702656</t>
        </is>
      </c>
      <c r="AX348" t="inlineStr">
        <is>
          <t>991002522059702656</t>
        </is>
      </c>
      <c r="AY348" t="inlineStr">
        <is>
          <t>2258416930002656</t>
        </is>
      </c>
      <c r="AZ348" t="inlineStr">
        <is>
          <t>BOOK</t>
        </is>
      </c>
      <c r="BC348" t="inlineStr">
        <is>
          <t>32285002058906</t>
        </is>
      </c>
      <c r="BD348" t="inlineStr">
        <is>
          <t>893530111</t>
        </is>
      </c>
    </row>
    <row r="349">
      <c r="A349" t="inlineStr">
        <is>
          <t>No</t>
        </is>
      </c>
      <c r="B349" t="inlineStr">
        <is>
          <t>LB1029.F7 K6</t>
        </is>
      </c>
      <c r="C349" t="inlineStr">
        <is>
          <t>0                      LB 1029000F  7                  K  6</t>
        </is>
      </c>
      <c r="D349" t="inlineStr">
        <is>
          <t>Free schools.</t>
        </is>
      </c>
      <c r="F349" t="inlineStr">
        <is>
          <t>No</t>
        </is>
      </c>
      <c r="G349" t="inlineStr">
        <is>
          <t>1</t>
        </is>
      </c>
      <c r="H349" t="inlineStr">
        <is>
          <t>No</t>
        </is>
      </c>
      <c r="I349" t="inlineStr">
        <is>
          <t>No</t>
        </is>
      </c>
      <c r="J349" t="inlineStr">
        <is>
          <t>0</t>
        </is>
      </c>
      <c r="K349" t="inlineStr">
        <is>
          <t>Kozol, Jonathan.</t>
        </is>
      </c>
      <c r="L349" t="inlineStr">
        <is>
          <t>Boston : Houghton Mifflin, 1972.</t>
        </is>
      </c>
      <c r="M349" t="inlineStr">
        <is>
          <t>1972</t>
        </is>
      </c>
      <c r="O349" t="inlineStr">
        <is>
          <t>eng</t>
        </is>
      </c>
      <c r="P349" t="inlineStr">
        <is>
          <t>mau</t>
        </is>
      </c>
      <c r="R349" t="inlineStr">
        <is>
          <t xml:space="preserve">LB </t>
        </is>
      </c>
      <c r="S349" t="n">
        <v>11</v>
      </c>
      <c r="T349" t="n">
        <v>11</v>
      </c>
      <c r="U349" t="inlineStr">
        <is>
          <t>2005-03-22</t>
        </is>
      </c>
      <c r="V349" t="inlineStr">
        <is>
          <t>2005-03-22</t>
        </is>
      </c>
      <c r="W349" t="inlineStr">
        <is>
          <t>1991-04-19</t>
        </is>
      </c>
      <c r="X349" t="inlineStr">
        <is>
          <t>1991-04-19</t>
        </is>
      </c>
      <c r="Y349" t="n">
        <v>1223</v>
      </c>
      <c r="Z349" t="n">
        <v>1129</v>
      </c>
      <c r="AA349" t="n">
        <v>1177</v>
      </c>
      <c r="AB349" t="n">
        <v>9</v>
      </c>
      <c r="AC349" t="n">
        <v>9</v>
      </c>
      <c r="AD349" t="n">
        <v>44</v>
      </c>
      <c r="AE349" t="n">
        <v>45</v>
      </c>
      <c r="AF349" t="n">
        <v>19</v>
      </c>
      <c r="AG349" t="n">
        <v>20</v>
      </c>
      <c r="AH349" t="n">
        <v>9</v>
      </c>
      <c r="AI349" t="n">
        <v>9</v>
      </c>
      <c r="AJ349" t="n">
        <v>20</v>
      </c>
      <c r="AK349" t="n">
        <v>20</v>
      </c>
      <c r="AL349" t="n">
        <v>7</v>
      </c>
      <c r="AM349" t="n">
        <v>7</v>
      </c>
      <c r="AN349" t="n">
        <v>0</v>
      </c>
      <c r="AO349" t="n">
        <v>0</v>
      </c>
      <c r="AP349" t="inlineStr">
        <is>
          <t>No</t>
        </is>
      </c>
      <c r="AQ349" t="inlineStr">
        <is>
          <t>Yes</t>
        </is>
      </c>
      <c r="AR349">
        <f>HYPERLINK("http://catalog.hathitrust.org/Record/001279522","HathiTrust Record")</f>
        <v/>
      </c>
      <c r="AS349">
        <f>HYPERLINK("https://creighton-primo.hosted.exlibrisgroup.com/primo-explore/search?tab=default_tab&amp;search_scope=EVERYTHING&amp;vid=01CRU&amp;lang=en_US&amp;offset=0&amp;query=any,contains,991002206159702656","Catalog Record")</f>
        <v/>
      </c>
      <c r="AT349">
        <f>HYPERLINK("http://www.worldcat.org/oclc/285858","WorldCat Record")</f>
        <v/>
      </c>
      <c r="AU349" t="inlineStr">
        <is>
          <t>1450329:eng</t>
        </is>
      </c>
      <c r="AV349" t="inlineStr">
        <is>
          <t>285858</t>
        </is>
      </c>
      <c r="AW349" t="inlineStr">
        <is>
          <t>991002206159702656</t>
        </is>
      </c>
      <c r="AX349" t="inlineStr">
        <is>
          <t>991002206159702656</t>
        </is>
      </c>
      <c r="AY349" t="inlineStr">
        <is>
          <t>2263133760002656</t>
        </is>
      </c>
      <c r="AZ349" t="inlineStr">
        <is>
          <t>BOOK</t>
        </is>
      </c>
      <c r="BB349" t="inlineStr">
        <is>
          <t>9780395136065</t>
        </is>
      </c>
      <c r="BC349" t="inlineStr">
        <is>
          <t>32285000583475</t>
        </is>
      </c>
      <c r="BD349" t="inlineStr">
        <is>
          <t>893529673</t>
        </is>
      </c>
    </row>
    <row r="350">
      <c r="A350" t="inlineStr">
        <is>
          <t>No</t>
        </is>
      </c>
      <c r="B350" t="inlineStr">
        <is>
          <t>LB1029.G3 K35 1985</t>
        </is>
      </c>
      <c r="C350" t="inlineStr">
        <is>
          <t>0                      LB 1029000G  3                  K  35          1985</t>
        </is>
      </c>
      <c r="D350" t="inlineStr">
        <is>
          <t>Elementary teacher's handbook of indoor and outdoor games / Art Kamiya.</t>
        </is>
      </c>
      <c r="F350" t="inlineStr">
        <is>
          <t>No</t>
        </is>
      </c>
      <c r="G350" t="inlineStr">
        <is>
          <t>1</t>
        </is>
      </c>
      <c r="H350" t="inlineStr">
        <is>
          <t>No</t>
        </is>
      </c>
      <c r="I350" t="inlineStr">
        <is>
          <t>No</t>
        </is>
      </c>
      <c r="J350" t="inlineStr">
        <is>
          <t>0</t>
        </is>
      </c>
      <c r="K350" t="inlineStr">
        <is>
          <t>Kamiya, Art.</t>
        </is>
      </c>
      <c r="L350" t="inlineStr">
        <is>
          <t>West Nyack, N.Y. : Parker Pub. Co., c1985, 1988 printing.</t>
        </is>
      </c>
      <c r="M350" t="inlineStr">
        <is>
          <t>1985</t>
        </is>
      </c>
      <c r="O350" t="inlineStr">
        <is>
          <t>eng</t>
        </is>
      </c>
      <c r="P350" t="inlineStr">
        <is>
          <t>nyu</t>
        </is>
      </c>
      <c r="R350" t="inlineStr">
        <is>
          <t xml:space="preserve">LB </t>
        </is>
      </c>
      <c r="S350" t="n">
        <v>11</v>
      </c>
      <c r="T350" t="n">
        <v>11</v>
      </c>
      <c r="U350" t="inlineStr">
        <is>
          <t>2002-10-18</t>
        </is>
      </c>
      <c r="V350" t="inlineStr">
        <is>
          <t>2002-10-18</t>
        </is>
      </c>
      <c r="W350" t="inlineStr">
        <is>
          <t>1992-10-22</t>
        </is>
      </c>
      <c r="X350" t="inlineStr">
        <is>
          <t>1992-10-22</t>
        </is>
      </c>
      <c r="Y350" t="n">
        <v>467</v>
      </c>
      <c r="Z350" t="n">
        <v>430</v>
      </c>
      <c r="AA350" t="n">
        <v>436</v>
      </c>
      <c r="AB350" t="n">
        <v>6</v>
      </c>
      <c r="AC350" t="n">
        <v>6</v>
      </c>
      <c r="AD350" t="n">
        <v>12</v>
      </c>
      <c r="AE350" t="n">
        <v>12</v>
      </c>
      <c r="AF350" t="n">
        <v>7</v>
      </c>
      <c r="AG350" t="n">
        <v>7</v>
      </c>
      <c r="AH350" t="n">
        <v>0</v>
      </c>
      <c r="AI350" t="n">
        <v>0</v>
      </c>
      <c r="AJ350" t="n">
        <v>3</v>
      </c>
      <c r="AK350" t="n">
        <v>3</v>
      </c>
      <c r="AL350" t="n">
        <v>4</v>
      </c>
      <c r="AM350" t="n">
        <v>4</v>
      </c>
      <c r="AN350" t="n">
        <v>0</v>
      </c>
      <c r="AO350" t="n">
        <v>0</v>
      </c>
      <c r="AP350" t="inlineStr">
        <is>
          <t>No</t>
        </is>
      </c>
      <c r="AQ350" t="inlineStr">
        <is>
          <t>No</t>
        </is>
      </c>
      <c r="AS350">
        <f>HYPERLINK("https://creighton-primo.hosted.exlibrisgroup.com/primo-explore/search?tab=default_tab&amp;search_scope=EVERYTHING&amp;vid=01CRU&amp;lang=en_US&amp;offset=0&amp;query=any,contains,991000630019702656","Catalog Record")</f>
        <v/>
      </c>
      <c r="AT350">
        <f>HYPERLINK("http://www.worldcat.org/oclc/12051818","WorldCat Record")</f>
        <v/>
      </c>
      <c r="AU350" t="inlineStr">
        <is>
          <t>41720690:eng</t>
        </is>
      </c>
      <c r="AV350" t="inlineStr">
        <is>
          <t>12051818</t>
        </is>
      </c>
      <c r="AW350" t="inlineStr">
        <is>
          <t>991000630019702656</t>
        </is>
      </c>
      <c r="AX350" t="inlineStr">
        <is>
          <t>991000630019702656</t>
        </is>
      </c>
      <c r="AY350" t="inlineStr">
        <is>
          <t>2268677270002656</t>
        </is>
      </c>
      <c r="AZ350" t="inlineStr">
        <is>
          <t>BOOK</t>
        </is>
      </c>
      <c r="BB350" t="inlineStr">
        <is>
          <t>9780132608459</t>
        </is>
      </c>
      <c r="BC350" t="inlineStr">
        <is>
          <t>32285001375038</t>
        </is>
      </c>
      <c r="BD350" t="inlineStr">
        <is>
          <t>893702287</t>
        </is>
      </c>
    </row>
    <row r="351">
      <c r="A351" t="inlineStr">
        <is>
          <t>No</t>
        </is>
      </c>
      <c r="B351" t="inlineStr">
        <is>
          <t>LB1029.M75 B64 2000</t>
        </is>
      </c>
      <c r="C351" t="inlineStr">
        <is>
          <t>0                      LB 1029000M  75                 B  64          2000</t>
        </is>
      </c>
      <c r="D351" t="inlineStr">
        <is>
          <t>M©Łs all©Ł de Mar©Ưa Montessori? / Winfried B©œhm ; [traducci©đn del alem©Łn, Ver©đnica Klepper].</t>
        </is>
      </c>
      <c r="F351" t="inlineStr">
        <is>
          <t>No</t>
        </is>
      </c>
      <c r="G351" t="inlineStr">
        <is>
          <t>1</t>
        </is>
      </c>
      <c r="H351" t="inlineStr">
        <is>
          <t>No</t>
        </is>
      </c>
      <c r="I351" t="inlineStr">
        <is>
          <t>No</t>
        </is>
      </c>
      <c r="J351" t="inlineStr">
        <is>
          <t>0</t>
        </is>
      </c>
      <c r="K351" t="inlineStr">
        <is>
          <t>Böhm, Winfried, 1939-</t>
        </is>
      </c>
      <c r="L351" t="inlineStr">
        <is>
          <t>Santo Domingo, Rep©ðblica Dominicana : Fundaci©đn Pro-Educaci©đn, 2000.</t>
        </is>
      </c>
      <c r="M351" t="inlineStr">
        <is>
          <t>2000</t>
        </is>
      </c>
      <c r="N351" t="inlineStr">
        <is>
          <t>1. ed.</t>
        </is>
      </c>
      <c r="O351" t="inlineStr">
        <is>
          <t>spa</t>
        </is>
      </c>
      <c r="P351" t="inlineStr">
        <is>
          <t xml:space="preserve">dr </t>
        </is>
      </c>
      <c r="R351" t="inlineStr">
        <is>
          <t xml:space="preserve">LB </t>
        </is>
      </c>
      <c r="S351" t="n">
        <v>1</v>
      </c>
      <c r="T351" t="n">
        <v>1</v>
      </c>
      <c r="U351" t="inlineStr">
        <is>
          <t>2006-02-10</t>
        </is>
      </c>
      <c r="V351" t="inlineStr">
        <is>
          <t>2006-02-10</t>
        </is>
      </c>
      <c r="W351" t="inlineStr">
        <is>
          <t>2006-01-23</t>
        </is>
      </c>
      <c r="X351" t="inlineStr">
        <is>
          <t>2006-01-23</t>
        </is>
      </c>
      <c r="Y351" t="n">
        <v>1</v>
      </c>
      <c r="Z351" t="n">
        <v>1</v>
      </c>
      <c r="AA351" t="n">
        <v>1</v>
      </c>
      <c r="AB351" t="n">
        <v>1</v>
      </c>
      <c r="AC351" t="n">
        <v>1</v>
      </c>
      <c r="AD351" t="n">
        <v>0</v>
      </c>
      <c r="AE351" t="n">
        <v>0</v>
      </c>
      <c r="AF351" t="n">
        <v>0</v>
      </c>
      <c r="AG351" t="n">
        <v>0</v>
      </c>
      <c r="AH351" t="n">
        <v>0</v>
      </c>
      <c r="AI351" t="n">
        <v>0</v>
      </c>
      <c r="AJ351" t="n">
        <v>0</v>
      </c>
      <c r="AK351" t="n">
        <v>0</v>
      </c>
      <c r="AL351" t="n">
        <v>0</v>
      </c>
      <c r="AM351" t="n">
        <v>0</v>
      </c>
      <c r="AN351" t="n">
        <v>0</v>
      </c>
      <c r="AO351" t="n">
        <v>0</v>
      </c>
      <c r="AP351" t="inlineStr">
        <is>
          <t>No</t>
        </is>
      </c>
      <c r="AQ351" t="inlineStr">
        <is>
          <t>No</t>
        </is>
      </c>
      <c r="AS351">
        <f>HYPERLINK("https://creighton-primo.hosted.exlibrisgroup.com/primo-explore/search?tab=default_tab&amp;search_scope=EVERYTHING&amp;vid=01CRU&amp;lang=en_US&amp;offset=0&amp;query=any,contains,991004720179702656","Catalog Record")</f>
        <v/>
      </c>
      <c r="AT351">
        <f>HYPERLINK("http://www.worldcat.org/oclc/62740105","WorldCat Record")</f>
        <v/>
      </c>
      <c r="AU351" t="inlineStr">
        <is>
          <t>4714451866:spa</t>
        </is>
      </c>
      <c r="AV351" t="inlineStr">
        <is>
          <t>62740105</t>
        </is>
      </c>
      <c r="AW351" t="inlineStr">
        <is>
          <t>991004720179702656</t>
        </is>
      </c>
      <c r="AX351" t="inlineStr">
        <is>
          <t>991004720179702656</t>
        </is>
      </c>
      <c r="AY351" t="inlineStr">
        <is>
          <t>2255665180002656</t>
        </is>
      </c>
      <c r="AZ351" t="inlineStr">
        <is>
          <t>BOOK</t>
        </is>
      </c>
      <c r="BC351" t="inlineStr">
        <is>
          <t>32285005100630</t>
        </is>
      </c>
      <c r="BD351" t="inlineStr">
        <is>
          <t>893606385</t>
        </is>
      </c>
    </row>
    <row r="352">
      <c r="A352" t="inlineStr">
        <is>
          <t>No</t>
        </is>
      </c>
      <c r="B352" t="inlineStr">
        <is>
          <t>LB1029.O6 D38 1994</t>
        </is>
      </c>
      <c r="C352" t="inlineStr">
        <is>
          <t>0                      LB 1029000O  6                  D  38          1994</t>
        </is>
      </c>
      <c r="D352" t="inlineStr">
        <is>
          <t>Early childhood education : developmental/experiential teaching and learning / Barbara Day.</t>
        </is>
      </c>
      <c r="F352" t="inlineStr">
        <is>
          <t>No</t>
        </is>
      </c>
      <c r="G352" t="inlineStr">
        <is>
          <t>1</t>
        </is>
      </c>
      <c r="H352" t="inlineStr">
        <is>
          <t>No</t>
        </is>
      </c>
      <c r="I352" t="inlineStr">
        <is>
          <t>No</t>
        </is>
      </c>
      <c r="J352" t="inlineStr">
        <is>
          <t>0</t>
        </is>
      </c>
      <c r="K352" t="inlineStr">
        <is>
          <t>Day, Barbara, 1938-</t>
        </is>
      </c>
      <c r="L352" t="inlineStr">
        <is>
          <t>New York : Merrill ; Toronto : Maxwell Macmillan Canada ; New York : Maxwell Macmillan International, c1994.</t>
        </is>
      </c>
      <c r="M352" t="inlineStr">
        <is>
          <t>1994</t>
        </is>
      </c>
      <c r="N352" t="inlineStr">
        <is>
          <t>4th ed.</t>
        </is>
      </c>
      <c r="O352" t="inlineStr">
        <is>
          <t>eng</t>
        </is>
      </c>
      <c r="P352" t="inlineStr">
        <is>
          <t>nyu</t>
        </is>
      </c>
      <c r="R352" t="inlineStr">
        <is>
          <t xml:space="preserve">LB </t>
        </is>
      </c>
      <c r="S352" t="n">
        <v>2</v>
      </c>
      <c r="T352" t="n">
        <v>2</v>
      </c>
      <c r="U352" t="inlineStr">
        <is>
          <t>2002-12-08</t>
        </is>
      </c>
      <c r="V352" t="inlineStr">
        <is>
          <t>2002-12-08</t>
        </is>
      </c>
      <c r="W352" t="inlineStr">
        <is>
          <t>2002-01-16</t>
        </is>
      </c>
      <c r="X352" t="inlineStr">
        <is>
          <t>2002-01-16</t>
        </is>
      </c>
      <c r="Y352" t="n">
        <v>183</v>
      </c>
      <c r="Z352" t="n">
        <v>142</v>
      </c>
      <c r="AA352" t="n">
        <v>142</v>
      </c>
      <c r="AB352" t="n">
        <v>1</v>
      </c>
      <c r="AC352" t="n">
        <v>1</v>
      </c>
      <c r="AD352" t="n">
        <v>4</v>
      </c>
      <c r="AE352" t="n">
        <v>4</v>
      </c>
      <c r="AF352" t="n">
        <v>1</v>
      </c>
      <c r="AG352" t="n">
        <v>1</v>
      </c>
      <c r="AH352" t="n">
        <v>0</v>
      </c>
      <c r="AI352" t="n">
        <v>0</v>
      </c>
      <c r="AJ352" t="n">
        <v>4</v>
      </c>
      <c r="AK352" t="n">
        <v>4</v>
      </c>
      <c r="AL352" t="n">
        <v>0</v>
      </c>
      <c r="AM352" t="n">
        <v>0</v>
      </c>
      <c r="AN352" t="n">
        <v>0</v>
      </c>
      <c r="AO352" t="n">
        <v>0</v>
      </c>
      <c r="AP352" t="inlineStr">
        <is>
          <t>No</t>
        </is>
      </c>
      <c r="AQ352" t="inlineStr">
        <is>
          <t>No</t>
        </is>
      </c>
      <c r="AS352">
        <f>HYPERLINK("https://creighton-primo.hosted.exlibrisgroup.com/primo-explore/search?tab=default_tab&amp;search_scope=EVERYTHING&amp;vid=01CRU&amp;lang=en_US&amp;offset=0&amp;query=any,contains,991003707139702656","Catalog Record")</f>
        <v/>
      </c>
      <c r="AT352">
        <f>HYPERLINK("http://www.worldcat.org/oclc/29031432","WorldCat Record")</f>
        <v/>
      </c>
      <c r="AU352" t="inlineStr">
        <is>
          <t>2533292787:eng</t>
        </is>
      </c>
      <c r="AV352" t="inlineStr">
        <is>
          <t>29031432</t>
        </is>
      </c>
      <c r="AW352" t="inlineStr">
        <is>
          <t>991003707139702656</t>
        </is>
      </c>
      <c r="AX352" t="inlineStr">
        <is>
          <t>991003707139702656</t>
        </is>
      </c>
      <c r="AY352" t="inlineStr">
        <is>
          <t>2263692670002656</t>
        </is>
      </c>
      <c r="AZ352" t="inlineStr">
        <is>
          <t>BOOK</t>
        </is>
      </c>
      <c r="BB352" t="inlineStr">
        <is>
          <t>9780023279232</t>
        </is>
      </c>
      <c r="BC352" t="inlineStr">
        <is>
          <t>32285004449137</t>
        </is>
      </c>
      <c r="BD352" t="inlineStr">
        <is>
          <t>893445791</t>
        </is>
      </c>
    </row>
    <row r="353">
      <c r="A353" t="inlineStr">
        <is>
          <t>No</t>
        </is>
      </c>
      <c r="B353" t="inlineStr">
        <is>
          <t>LB1029.P67 H43 2001</t>
        </is>
      </c>
      <c r="C353" t="inlineStr">
        <is>
          <t>0                      LB 1029000P  67                 H  43          2001</t>
        </is>
      </c>
      <c r="D353" t="inlineStr">
        <is>
          <t>The power of portfolios : what children can teach us about learning and assessment / Elizabeth A. Hebert.</t>
        </is>
      </c>
      <c r="F353" t="inlineStr">
        <is>
          <t>No</t>
        </is>
      </c>
      <c r="G353" t="inlineStr">
        <is>
          <t>1</t>
        </is>
      </c>
      <c r="H353" t="inlineStr">
        <is>
          <t>No</t>
        </is>
      </c>
      <c r="I353" t="inlineStr">
        <is>
          <t>No</t>
        </is>
      </c>
      <c r="J353" t="inlineStr">
        <is>
          <t>0</t>
        </is>
      </c>
      <c r="K353" t="inlineStr">
        <is>
          <t>Hebert, Elizabeth A. (Elizabeth Ann), 1950-</t>
        </is>
      </c>
      <c r="L353" t="inlineStr">
        <is>
          <t>San Francisco : Jossey-Bass, c2001.</t>
        </is>
      </c>
      <c r="M353" t="inlineStr">
        <is>
          <t>2001</t>
        </is>
      </c>
      <c r="O353" t="inlineStr">
        <is>
          <t>eng</t>
        </is>
      </c>
      <c r="P353" t="inlineStr">
        <is>
          <t>cau</t>
        </is>
      </c>
      <c r="Q353" t="inlineStr">
        <is>
          <t>The Jossey-Bass education series</t>
        </is>
      </c>
      <c r="R353" t="inlineStr">
        <is>
          <t xml:space="preserve">LB </t>
        </is>
      </c>
      <c r="S353" t="n">
        <v>2</v>
      </c>
      <c r="T353" t="n">
        <v>2</v>
      </c>
      <c r="U353" t="inlineStr">
        <is>
          <t>2010-06-02</t>
        </is>
      </c>
      <c r="V353" t="inlineStr">
        <is>
          <t>2010-06-02</t>
        </is>
      </c>
      <c r="W353" t="inlineStr">
        <is>
          <t>2003-06-11</t>
        </is>
      </c>
      <c r="X353" t="inlineStr">
        <is>
          <t>2003-06-11</t>
        </is>
      </c>
      <c r="Y353" t="n">
        <v>906</v>
      </c>
      <c r="Z353" t="n">
        <v>815</v>
      </c>
      <c r="AA353" t="n">
        <v>822</v>
      </c>
      <c r="AB353" t="n">
        <v>4</v>
      </c>
      <c r="AC353" t="n">
        <v>4</v>
      </c>
      <c r="AD353" t="n">
        <v>38</v>
      </c>
      <c r="AE353" t="n">
        <v>38</v>
      </c>
      <c r="AF353" t="n">
        <v>22</v>
      </c>
      <c r="AG353" t="n">
        <v>22</v>
      </c>
      <c r="AH353" t="n">
        <v>6</v>
      </c>
      <c r="AI353" t="n">
        <v>6</v>
      </c>
      <c r="AJ353" t="n">
        <v>17</v>
      </c>
      <c r="AK353" t="n">
        <v>17</v>
      </c>
      <c r="AL353" t="n">
        <v>3</v>
      </c>
      <c r="AM353" t="n">
        <v>3</v>
      </c>
      <c r="AN353" t="n">
        <v>0</v>
      </c>
      <c r="AO353" t="n">
        <v>0</v>
      </c>
      <c r="AP353" t="inlineStr">
        <is>
          <t>No</t>
        </is>
      </c>
      <c r="AQ353" t="inlineStr">
        <is>
          <t>Yes</t>
        </is>
      </c>
      <c r="AR353">
        <f>HYPERLINK("http://catalog.hathitrust.org/Record/004198260","HathiTrust Record")</f>
        <v/>
      </c>
      <c r="AS353">
        <f>HYPERLINK("https://creighton-primo.hosted.exlibrisgroup.com/primo-explore/search?tab=default_tab&amp;search_scope=EVERYTHING&amp;vid=01CRU&amp;lang=en_US&amp;offset=0&amp;query=any,contains,991004053229702656","Catalog Record")</f>
        <v/>
      </c>
      <c r="AT353">
        <f>HYPERLINK("http://www.worldcat.org/oclc/47183571","WorldCat Record")</f>
        <v/>
      </c>
      <c r="AU353" t="inlineStr">
        <is>
          <t>837013107:eng</t>
        </is>
      </c>
      <c r="AV353" t="inlineStr">
        <is>
          <t>47183571</t>
        </is>
      </c>
      <c r="AW353" t="inlineStr">
        <is>
          <t>991004053229702656</t>
        </is>
      </c>
      <c r="AX353" t="inlineStr">
        <is>
          <t>991004053229702656</t>
        </is>
      </c>
      <c r="AY353" t="inlineStr">
        <is>
          <t>2269657020002656</t>
        </is>
      </c>
      <c r="AZ353" t="inlineStr">
        <is>
          <t>BOOK</t>
        </is>
      </c>
      <c r="BB353" t="inlineStr">
        <is>
          <t>9780787958718</t>
        </is>
      </c>
      <c r="BC353" t="inlineStr">
        <is>
          <t>32285004752050</t>
        </is>
      </c>
      <c r="BD353" t="inlineStr">
        <is>
          <t>893349557</t>
        </is>
      </c>
    </row>
    <row r="354">
      <c r="A354" t="inlineStr">
        <is>
          <t>No</t>
        </is>
      </c>
      <c r="B354" t="inlineStr">
        <is>
          <t>LB1029.P67 L47 1995</t>
        </is>
      </c>
      <c r="C354" t="inlineStr">
        <is>
          <t>0                      LB 1029000P  67                 L  47          1995</t>
        </is>
      </c>
      <c r="D354" t="inlineStr">
        <is>
          <t>Portfolios : assessing learning in the primary grades / by Marianne Lucas Lescher.</t>
        </is>
      </c>
      <c r="F354" t="inlineStr">
        <is>
          <t>No</t>
        </is>
      </c>
      <c r="G354" t="inlineStr">
        <is>
          <t>1</t>
        </is>
      </c>
      <c r="H354" t="inlineStr">
        <is>
          <t>No</t>
        </is>
      </c>
      <c r="I354" t="inlineStr">
        <is>
          <t>No</t>
        </is>
      </c>
      <c r="J354" t="inlineStr">
        <is>
          <t>0</t>
        </is>
      </c>
      <c r="K354" t="inlineStr">
        <is>
          <t>Lescher, Marianne Lucas.</t>
        </is>
      </c>
      <c r="L354" t="inlineStr">
        <is>
          <t>Washington, D.C. : NEA Professional Library, National Education Association, c1995.</t>
        </is>
      </c>
      <c r="M354" t="inlineStr">
        <is>
          <t>1995</t>
        </is>
      </c>
      <c r="O354" t="inlineStr">
        <is>
          <t>eng</t>
        </is>
      </c>
      <c r="P354" t="inlineStr">
        <is>
          <t>dcu</t>
        </is>
      </c>
      <c r="Q354" t="inlineStr">
        <is>
          <t>What research says to the teacher</t>
        </is>
      </c>
      <c r="R354" t="inlineStr">
        <is>
          <t xml:space="preserve">LB </t>
        </is>
      </c>
      <c r="S354" t="n">
        <v>3</v>
      </c>
      <c r="T354" t="n">
        <v>3</v>
      </c>
      <c r="U354" t="inlineStr">
        <is>
          <t>1999-11-10</t>
        </is>
      </c>
      <c r="V354" t="inlineStr">
        <is>
          <t>1999-11-10</t>
        </is>
      </c>
      <c r="W354" t="inlineStr">
        <is>
          <t>1995-05-24</t>
        </is>
      </c>
      <c r="X354" t="inlineStr">
        <is>
          <t>1995-05-24</t>
        </is>
      </c>
      <c r="Y354" t="n">
        <v>249</v>
      </c>
      <c r="Z354" t="n">
        <v>243</v>
      </c>
      <c r="AA354" t="n">
        <v>248</v>
      </c>
      <c r="AB354" t="n">
        <v>4</v>
      </c>
      <c r="AC354" t="n">
        <v>4</v>
      </c>
      <c r="AD354" t="n">
        <v>8</v>
      </c>
      <c r="AE354" t="n">
        <v>8</v>
      </c>
      <c r="AF354" t="n">
        <v>4</v>
      </c>
      <c r="AG354" t="n">
        <v>4</v>
      </c>
      <c r="AH354" t="n">
        <v>1</v>
      </c>
      <c r="AI354" t="n">
        <v>1</v>
      </c>
      <c r="AJ354" t="n">
        <v>2</v>
      </c>
      <c r="AK354" t="n">
        <v>2</v>
      </c>
      <c r="AL354" t="n">
        <v>3</v>
      </c>
      <c r="AM354" t="n">
        <v>3</v>
      </c>
      <c r="AN354" t="n">
        <v>0</v>
      </c>
      <c r="AO354" t="n">
        <v>0</v>
      </c>
      <c r="AP354" t="inlineStr">
        <is>
          <t>No</t>
        </is>
      </c>
      <c r="AQ354" t="inlineStr">
        <is>
          <t>No</t>
        </is>
      </c>
      <c r="AS354">
        <f>HYPERLINK("https://creighton-primo.hosted.exlibrisgroup.com/primo-explore/search?tab=default_tab&amp;search_scope=EVERYTHING&amp;vid=01CRU&amp;lang=en_US&amp;offset=0&amp;query=any,contains,991002460179702656","Catalog Record")</f>
        <v/>
      </c>
      <c r="AT354">
        <f>HYPERLINK("http://www.worldcat.org/oclc/32051668","WorldCat Record")</f>
        <v/>
      </c>
      <c r="AU354" t="inlineStr">
        <is>
          <t>1102885647:eng</t>
        </is>
      </c>
      <c r="AV354" t="inlineStr">
        <is>
          <t>32051668</t>
        </is>
      </c>
      <c r="AW354" t="inlineStr">
        <is>
          <t>991002460179702656</t>
        </is>
      </c>
      <c r="AX354" t="inlineStr">
        <is>
          <t>991002460179702656</t>
        </is>
      </c>
      <c r="AY354" t="inlineStr">
        <is>
          <t>2270169890002656</t>
        </is>
      </c>
      <c r="AZ354" t="inlineStr">
        <is>
          <t>BOOK</t>
        </is>
      </c>
      <c r="BB354" t="inlineStr">
        <is>
          <t>9780810610941</t>
        </is>
      </c>
      <c r="BC354" t="inlineStr">
        <is>
          <t>32285002055761</t>
        </is>
      </c>
      <c r="BD354" t="inlineStr">
        <is>
          <t>893257318</t>
        </is>
      </c>
    </row>
    <row r="355">
      <c r="A355" t="inlineStr">
        <is>
          <t>No</t>
        </is>
      </c>
      <c r="B355" t="inlineStr">
        <is>
          <t>LB1029.P67 P685 1997</t>
        </is>
      </c>
      <c r="C355" t="inlineStr">
        <is>
          <t>0                      LB 1029000P  67                 P  685         1997</t>
        </is>
      </c>
      <c r="D355" t="inlineStr">
        <is>
          <t>Portfolio practices : thinking through the assessment of children's work / Steve Seidel ... [et al.].</t>
        </is>
      </c>
      <c r="F355" t="inlineStr">
        <is>
          <t>No</t>
        </is>
      </c>
      <c r="G355" t="inlineStr">
        <is>
          <t>1</t>
        </is>
      </c>
      <c r="H355" t="inlineStr">
        <is>
          <t>No</t>
        </is>
      </c>
      <c r="I355" t="inlineStr">
        <is>
          <t>No</t>
        </is>
      </c>
      <c r="J355" t="inlineStr">
        <is>
          <t>0</t>
        </is>
      </c>
      <c r="L355" t="inlineStr">
        <is>
          <t>Washington, D.C. : National Education Association, 1997.</t>
        </is>
      </c>
      <c r="M355" t="inlineStr">
        <is>
          <t>1997</t>
        </is>
      </c>
      <c r="O355" t="inlineStr">
        <is>
          <t>eng</t>
        </is>
      </c>
      <c r="P355" t="inlineStr">
        <is>
          <t>dcu</t>
        </is>
      </c>
      <c r="Q355" t="inlineStr">
        <is>
          <t>NEA school restructuring series</t>
        </is>
      </c>
      <c r="R355" t="inlineStr">
        <is>
          <t xml:space="preserve">LB </t>
        </is>
      </c>
      <c r="S355" t="n">
        <v>5</v>
      </c>
      <c r="T355" t="n">
        <v>5</v>
      </c>
      <c r="U355" t="inlineStr">
        <is>
          <t>2003-09-15</t>
        </is>
      </c>
      <c r="V355" t="inlineStr">
        <is>
          <t>2003-09-15</t>
        </is>
      </c>
      <c r="W355" t="inlineStr">
        <is>
          <t>1997-08-21</t>
        </is>
      </c>
      <c r="X355" t="inlineStr">
        <is>
          <t>1997-08-21</t>
        </is>
      </c>
      <c r="Y355" t="n">
        <v>345</v>
      </c>
      <c r="Z355" t="n">
        <v>329</v>
      </c>
      <c r="AA355" t="n">
        <v>333</v>
      </c>
      <c r="AB355" t="n">
        <v>4</v>
      </c>
      <c r="AC355" t="n">
        <v>5</v>
      </c>
      <c r="AD355" t="n">
        <v>11</v>
      </c>
      <c r="AE355" t="n">
        <v>11</v>
      </c>
      <c r="AF355" t="n">
        <v>6</v>
      </c>
      <c r="AG355" t="n">
        <v>6</v>
      </c>
      <c r="AH355" t="n">
        <v>1</v>
      </c>
      <c r="AI355" t="n">
        <v>1</v>
      </c>
      <c r="AJ355" t="n">
        <v>5</v>
      </c>
      <c r="AK355" t="n">
        <v>5</v>
      </c>
      <c r="AL355" t="n">
        <v>3</v>
      </c>
      <c r="AM355" t="n">
        <v>3</v>
      </c>
      <c r="AN355" t="n">
        <v>0</v>
      </c>
      <c r="AO355" t="n">
        <v>0</v>
      </c>
      <c r="AP355" t="inlineStr">
        <is>
          <t>No</t>
        </is>
      </c>
      <c r="AQ355" t="inlineStr">
        <is>
          <t>No</t>
        </is>
      </c>
      <c r="AS355">
        <f>HYPERLINK("https://creighton-primo.hosted.exlibrisgroup.com/primo-explore/search?tab=default_tab&amp;search_scope=EVERYTHING&amp;vid=01CRU&amp;lang=en_US&amp;offset=0&amp;query=any,contains,991002832989702656","Catalog Record")</f>
        <v/>
      </c>
      <c r="AT355">
        <f>HYPERLINK("http://www.worldcat.org/oclc/37313680","WorldCat Record")</f>
        <v/>
      </c>
      <c r="AU355" t="inlineStr">
        <is>
          <t>1750002068:eng</t>
        </is>
      </c>
      <c r="AV355" t="inlineStr">
        <is>
          <t>37313680</t>
        </is>
      </c>
      <c r="AW355" t="inlineStr">
        <is>
          <t>991002832989702656</t>
        </is>
      </c>
      <c r="AX355" t="inlineStr">
        <is>
          <t>991002832989702656</t>
        </is>
      </c>
      <c r="AY355" t="inlineStr">
        <is>
          <t>2257386950002656</t>
        </is>
      </c>
      <c r="AZ355" t="inlineStr">
        <is>
          <t>BOOK</t>
        </is>
      </c>
      <c r="BC355" t="inlineStr">
        <is>
          <t>32285003001236</t>
        </is>
      </c>
      <c r="BD355" t="inlineStr">
        <is>
          <t>893524104</t>
        </is>
      </c>
    </row>
    <row r="356">
      <c r="A356" t="inlineStr">
        <is>
          <t>No</t>
        </is>
      </c>
      <c r="B356" t="inlineStr">
        <is>
          <t>LB1029.P67 P69 2000</t>
        </is>
      </c>
      <c r="C356" t="inlineStr">
        <is>
          <t>0                      LB 1029000P  67                 P  69          2000</t>
        </is>
      </c>
      <c r="D356" t="inlineStr">
        <is>
          <t>The portfolio standard : how students can show us what they know and are able to do / edited by Bonnie S. Sunstein and Jonathan H. Lovell ; foreword by Donald Graves.</t>
        </is>
      </c>
      <c r="F356" t="inlineStr">
        <is>
          <t>No</t>
        </is>
      </c>
      <c r="G356" t="inlineStr">
        <is>
          <t>1</t>
        </is>
      </c>
      <c r="H356" t="inlineStr">
        <is>
          <t>No</t>
        </is>
      </c>
      <c r="I356" t="inlineStr">
        <is>
          <t>No</t>
        </is>
      </c>
      <c r="J356" t="inlineStr">
        <is>
          <t>0</t>
        </is>
      </c>
      <c r="L356" t="inlineStr">
        <is>
          <t>Portsmouth, NH : Heinemann, c2000.</t>
        </is>
      </c>
      <c r="M356" t="inlineStr">
        <is>
          <t>2000</t>
        </is>
      </c>
      <c r="O356" t="inlineStr">
        <is>
          <t>eng</t>
        </is>
      </c>
      <c r="P356" t="inlineStr">
        <is>
          <t>nhu</t>
        </is>
      </c>
      <c r="R356" t="inlineStr">
        <is>
          <t xml:space="preserve">LB </t>
        </is>
      </c>
      <c r="S356" t="n">
        <v>2</v>
      </c>
      <c r="T356" t="n">
        <v>2</v>
      </c>
      <c r="U356" t="inlineStr">
        <is>
          <t>2003-09-15</t>
        </is>
      </c>
      <c r="V356" t="inlineStr">
        <is>
          <t>2003-09-15</t>
        </is>
      </c>
      <c r="W356" t="inlineStr">
        <is>
          <t>2000-09-28</t>
        </is>
      </c>
      <c r="X356" t="inlineStr">
        <is>
          <t>2000-09-28</t>
        </is>
      </c>
      <c r="Y356" t="n">
        <v>328</v>
      </c>
      <c r="Z356" t="n">
        <v>294</v>
      </c>
      <c r="AA356" t="n">
        <v>297</v>
      </c>
      <c r="AB356" t="n">
        <v>5</v>
      </c>
      <c r="AC356" t="n">
        <v>5</v>
      </c>
      <c r="AD356" t="n">
        <v>18</v>
      </c>
      <c r="AE356" t="n">
        <v>18</v>
      </c>
      <c r="AF356" t="n">
        <v>7</v>
      </c>
      <c r="AG356" t="n">
        <v>7</v>
      </c>
      <c r="AH356" t="n">
        <v>4</v>
      </c>
      <c r="AI356" t="n">
        <v>4</v>
      </c>
      <c r="AJ356" t="n">
        <v>8</v>
      </c>
      <c r="AK356" t="n">
        <v>8</v>
      </c>
      <c r="AL356" t="n">
        <v>4</v>
      </c>
      <c r="AM356" t="n">
        <v>4</v>
      </c>
      <c r="AN356" t="n">
        <v>0</v>
      </c>
      <c r="AO356" t="n">
        <v>0</v>
      </c>
      <c r="AP356" t="inlineStr">
        <is>
          <t>No</t>
        </is>
      </c>
      <c r="AQ356" t="inlineStr">
        <is>
          <t>Yes</t>
        </is>
      </c>
      <c r="AR356">
        <f>HYPERLINK("http://catalog.hathitrust.org/Record/003574832","HathiTrust Record")</f>
        <v/>
      </c>
      <c r="AS356">
        <f>HYPERLINK("https://creighton-primo.hosted.exlibrisgroup.com/primo-explore/search?tab=default_tab&amp;search_scope=EVERYTHING&amp;vid=01CRU&amp;lang=en_US&amp;offset=0&amp;query=any,contains,991003255799702656","Catalog Record")</f>
        <v/>
      </c>
      <c r="AT356">
        <f>HYPERLINK("http://www.worldcat.org/oclc/42842467","WorldCat Record")</f>
        <v/>
      </c>
      <c r="AU356" t="inlineStr">
        <is>
          <t>837008737:eng</t>
        </is>
      </c>
      <c r="AV356" t="inlineStr">
        <is>
          <t>42842467</t>
        </is>
      </c>
      <c r="AW356" t="inlineStr">
        <is>
          <t>991003255799702656</t>
        </is>
      </c>
      <c r="AX356" t="inlineStr">
        <is>
          <t>991003255799702656</t>
        </is>
      </c>
      <c r="AY356" t="inlineStr">
        <is>
          <t>2269975450002656</t>
        </is>
      </c>
      <c r="AZ356" t="inlineStr">
        <is>
          <t>BOOK</t>
        </is>
      </c>
      <c r="BB356" t="inlineStr">
        <is>
          <t>9780325002347</t>
        </is>
      </c>
      <c r="BC356" t="inlineStr">
        <is>
          <t>32285003765822</t>
        </is>
      </c>
      <c r="BD356" t="inlineStr">
        <is>
          <t>893893540</t>
        </is>
      </c>
    </row>
    <row r="357">
      <c r="A357" t="inlineStr">
        <is>
          <t>No</t>
        </is>
      </c>
      <c r="B357" t="inlineStr">
        <is>
          <t>LB1029.P67 W58 1998</t>
        </is>
      </c>
      <c r="C357" t="inlineStr">
        <is>
          <t>0                      LB 1029000P  67                 W  58          1998</t>
        </is>
      </c>
      <c r="D357" t="inlineStr">
        <is>
          <t>With portfolio in hand : validating the new teacher professionalism / Nona Lyons, editor.</t>
        </is>
      </c>
      <c r="F357" t="inlineStr">
        <is>
          <t>No</t>
        </is>
      </c>
      <c r="G357" t="inlineStr">
        <is>
          <t>1</t>
        </is>
      </c>
      <c r="H357" t="inlineStr">
        <is>
          <t>No</t>
        </is>
      </c>
      <c r="I357" t="inlineStr">
        <is>
          <t>No</t>
        </is>
      </c>
      <c r="J357" t="inlineStr">
        <is>
          <t>0</t>
        </is>
      </c>
      <c r="L357" t="inlineStr">
        <is>
          <t>New York : Teachers College Press, c1998.</t>
        </is>
      </c>
      <c r="M357" t="inlineStr">
        <is>
          <t>1998</t>
        </is>
      </c>
      <c r="O357" t="inlineStr">
        <is>
          <t>eng</t>
        </is>
      </c>
      <c r="P357" t="inlineStr">
        <is>
          <t>nyu</t>
        </is>
      </c>
      <c r="R357" t="inlineStr">
        <is>
          <t xml:space="preserve">LB </t>
        </is>
      </c>
      <c r="S357" t="n">
        <v>1</v>
      </c>
      <c r="T357" t="n">
        <v>1</v>
      </c>
      <c r="U357" t="inlineStr">
        <is>
          <t>2003-11-25</t>
        </is>
      </c>
      <c r="V357" t="inlineStr">
        <is>
          <t>2003-11-25</t>
        </is>
      </c>
      <c r="W357" t="inlineStr">
        <is>
          <t>2003-11-25</t>
        </is>
      </c>
      <c r="X357" t="inlineStr">
        <is>
          <t>2003-11-25</t>
        </is>
      </c>
      <c r="Y357" t="n">
        <v>576</v>
      </c>
      <c r="Z357" t="n">
        <v>513</v>
      </c>
      <c r="AA357" t="n">
        <v>515</v>
      </c>
      <c r="AB357" t="n">
        <v>5</v>
      </c>
      <c r="AC357" t="n">
        <v>5</v>
      </c>
      <c r="AD357" t="n">
        <v>25</v>
      </c>
      <c r="AE357" t="n">
        <v>26</v>
      </c>
      <c r="AF357" t="n">
        <v>12</v>
      </c>
      <c r="AG357" t="n">
        <v>12</v>
      </c>
      <c r="AH357" t="n">
        <v>4</v>
      </c>
      <c r="AI357" t="n">
        <v>4</v>
      </c>
      <c r="AJ357" t="n">
        <v>10</v>
      </c>
      <c r="AK357" t="n">
        <v>11</v>
      </c>
      <c r="AL357" t="n">
        <v>4</v>
      </c>
      <c r="AM357" t="n">
        <v>4</v>
      </c>
      <c r="AN357" t="n">
        <v>0</v>
      </c>
      <c r="AO357" t="n">
        <v>0</v>
      </c>
      <c r="AP357" t="inlineStr">
        <is>
          <t>No</t>
        </is>
      </c>
      <c r="AQ357" t="inlineStr">
        <is>
          <t>No</t>
        </is>
      </c>
      <c r="AS357">
        <f>HYPERLINK("https://creighton-primo.hosted.exlibrisgroup.com/primo-explore/search?tab=default_tab&amp;search_scope=EVERYTHING&amp;vid=01CRU&amp;lang=en_US&amp;offset=0&amp;query=any,contains,991004191899702656","Catalog Record")</f>
        <v/>
      </c>
      <c r="AT357">
        <f>HYPERLINK("http://www.worldcat.org/oclc/38014042","WorldCat Record")</f>
        <v/>
      </c>
      <c r="AU357" t="inlineStr">
        <is>
          <t>616626:eng</t>
        </is>
      </c>
      <c r="AV357" t="inlineStr">
        <is>
          <t>38014042</t>
        </is>
      </c>
      <c r="AW357" t="inlineStr">
        <is>
          <t>991004191899702656</t>
        </is>
      </c>
      <c r="AX357" t="inlineStr">
        <is>
          <t>991004191899702656</t>
        </is>
      </c>
      <c r="AY357" t="inlineStr">
        <is>
          <t>2268165870002656</t>
        </is>
      </c>
      <c r="AZ357" t="inlineStr">
        <is>
          <t>BOOK</t>
        </is>
      </c>
      <c r="BB357" t="inlineStr">
        <is>
          <t>9780807737163</t>
        </is>
      </c>
      <c r="BC357" t="inlineStr">
        <is>
          <t>32285004842240</t>
        </is>
      </c>
      <c r="BD357" t="inlineStr">
        <is>
          <t>893875794</t>
        </is>
      </c>
    </row>
    <row r="358">
      <c r="A358" t="inlineStr">
        <is>
          <t>No</t>
        </is>
      </c>
      <c r="B358" t="inlineStr">
        <is>
          <t>LB1029.R4 A84 1990</t>
        </is>
      </c>
      <c r="C358" t="inlineStr">
        <is>
          <t>0                      LB 1029000R  4                  A  84          1990</t>
        </is>
      </c>
      <c r="D358" t="inlineStr">
        <is>
          <t>Assessing students with special needs : a sourcebook for analyzing and correcting errors in academics / edited by Robert A. Gable, Jo M. Hendrickson.</t>
        </is>
      </c>
      <c r="F358" t="inlineStr">
        <is>
          <t>No</t>
        </is>
      </c>
      <c r="G358" t="inlineStr">
        <is>
          <t>1</t>
        </is>
      </c>
      <c r="H358" t="inlineStr">
        <is>
          <t>No</t>
        </is>
      </c>
      <c r="I358" t="inlineStr">
        <is>
          <t>No</t>
        </is>
      </c>
      <c r="J358" t="inlineStr">
        <is>
          <t>0</t>
        </is>
      </c>
      <c r="L358" t="inlineStr">
        <is>
          <t>New York : Longman, c1990.</t>
        </is>
      </c>
      <c r="M358" t="inlineStr">
        <is>
          <t>1990</t>
        </is>
      </c>
      <c r="O358" t="inlineStr">
        <is>
          <t>eng</t>
        </is>
      </c>
      <c r="P358" t="inlineStr">
        <is>
          <t>nyu</t>
        </is>
      </c>
      <c r="R358" t="inlineStr">
        <is>
          <t xml:space="preserve">LB </t>
        </is>
      </c>
      <c r="S358" t="n">
        <v>4</v>
      </c>
      <c r="T358" t="n">
        <v>4</v>
      </c>
      <c r="U358" t="inlineStr">
        <is>
          <t>1993-12-04</t>
        </is>
      </c>
      <c r="V358" t="inlineStr">
        <is>
          <t>1993-12-04</t>
        </is>
      </c>
      <c r="W358" t="inlineStr">
        <is>
          <t>1990-06-18</t>
        </is>
      </c>
      <c r="X358" t="inlineStr">
        <is>
          <t>1990-06-18</t>
        </is>
      </c>
      <c r="Y358" t="n">
        <v>295</v>
      </c>
      <c r="Z358" t="n">
        <v>262</v>
      </c>
      <c r="AA358" t="n">
        <v>263</v>
      </c>
      <c r="AB358" t="n">
        <v>2</v>
      </c>
      <c r="AC358" t="n">
        <v>2</v>
      </c>
      <c r="AD358" t="n">
        <v>11</v>
      </c>
      <c r="AE358" t="n">
        <v>11</v>
      </c>
      <c r="AF358" t="n">
        <v>6</v>
      </c>
      <c r="AG358" t="n">
        <v>6</v>
      </c>
      <c r="AH358" t="n">
        <v>1</v>
      </c>
      <c r="AI358" t="n">
        <v>1</v>
      </c>
      <c r="AJ358" t="n">
        <v>5</v>
      </c>
      <c r="AK358" t="n">
        <v>5</v>
      </c>
      <c r="AL358" t="n">
        <v>1</v>
      </c>
      <c r="AM358" t="n">
        <v>1</v>
      </c>
      <c r="AN358" t="n">
        <v>0</v>
      </c>
      <c r="AO358" t="n">
        <v>0</v>
      </c>
      <c r="AP358" t="inlineStr">
        <is>
          <t>No</t>
        </is>
      </c>
      <c r="AQ358" t="inlineStr">
        <is>
          <t>No</t>
        </is>
      </c>
      <c r="AS358">
        <f>HYPERLINK("https://creighton-primo.hosted.exlibrisgroup.com/primo-explore/search?tab=default_tab&amp;search_scope=EVERYTHING&amp;vid=01CRU&amp;lang=en_US&amp;offset=0&amp;query=any,contains,991001520869702656","Catalog Record")</f>
        <v/>
      </c>
      <c r="AT358">
        <f>HYPERLINK("http://www.worldcat.org/oclc/19975831","WorldCat Record")</f>
        <v/>
      </c>
      <c r="AU358" t="inlineStr">
        <is>
          <t>1149287722:eng</t>
        </is>
      </c>
      <c r="AV358" t="inlineStr">
        <is>
          <t>19975831</t>
        </is>
      </c>
      <c r="AW358" t="inlineStr">
        <is>
          <t>991001520869702656</t>
        </is>
      </c>
      <c r="AX358" t="inlineStr">
        <is>
          <t>991001520869702656</t>
        </is>
      </c>
      <c r="AY358" t="inlineStr">
        <is>
          <t>2254738740002656</t>
        </is>
      </c>
      <c r="AZ358" t="inlineStr">
        <is>
          <t>BOOK</t>
        </is>
      </c>
      <c r="BB358" t="inlineStr">
        <is>
          <t>9780801301773</t>
        </is>
      </c>
      <c r="BC358" t="inlineStr">
        <is>
          <t>32285000177740</t>
        </is>
      </c>
      <c r="BD358" t="inlineStr">
        <is>
          <t>893232042</t>
        </is>
      </c>
    </row>
    <row r="359">
      <c r="A359" t="inlineStr">
        <is>
          <t>No</t>
        </is>
      </c>
      <c r="B359" t="inlineStr">
        <is>
          <t>LB1029.R4 I65 1982</t>
        </is>
      </c>
      <c r="C359" t="inlineStr">
        <is>
          <t>0                      LB 1029000R  4                  I  65          1982</t>
        </is>
      </c>
      <c r="D359" t="inlineStr">
        <is>
          <t>Improving children's competence / edited by Paul Karoly, John J. Steffen.</t>
        </is>
      </c>
      <c r="F359" t="inlineStr">
        <is>
          <t>No</t>
        </is>
      </c>
      <c r="G359" t="inlineStr">
        <is>
          <t>1</t>
        </is>
      </c>
      <c r="H359" t="inlineStr">
        <is>
          <t>No</t>
        </is>
      </c>
      <c r="I359" t="inlineStr">
        <is>
          <t>No</t>
        </is>
      </c>
      <c r="J359" t="inlineStr">
        <is>
          <t>0</t>
        </is>
      </c>
      <c r="L359" t="inlineStr">
        <is>
          <t>Lexington, Mass. : LexingtonBooks, c1982.</t>
        </is>
      </c>
      <c r="M359" t="inlineStr">
        <is>
          <t>1982</t>
        </is>
      </c>
      <c r="O359" t="inlineStr">
        <is>
          <t>eng</t>
        </is>
      </c>
      <c r="P359" t="inlineStr">
        <is>
          <t>mau</t>
        </is>
      </c>
      <c r="Q359" t="inlineStr">
        <is>
          <t>Advances in child behavioral analysis and therapy ; v. 1</t>
        </is>
      </c>
      <c r="R359" t="inlineStr">
        <is>
          <t xml:space="preserve">LB </t>
        </is>
      </c>
      <c r="S359" t="n">
        <v>3</v>
      </c>
      <c r="T359" t="n">
        <v>3</v>
      </c>
      <c r="U359" t="inlineStr">
        <is>
          <t>2003-04-13</t>
        </is>
      </c>
      <c r="V359" t="inlineStr">
        <is>
          <t>2003-04-13</t>
        </is>
      </c>
      <c r="W359" t="inlineStr">
        <is>
          <t>1992-10-22</t>
        </is>
      </c>
      <c r="X359" t="inlineStr">
        <is>
          <t>1992-10-22</t>
        </is>
      </c>
      <c r="Y359" t="n">
        <v>269</v>
      </c>
      <c r="Z359" t="n">
        <v>211</v>
      </c>
      <c r="AA359" t="n">
        <v>213</v>
      </c>
      <c r="AB359" t="n">
        <v>2</v>
      </c>
      <c r="AC359" t="n">
        <v>2</v>
      </c>
      <c r="AD359" t="n">
        <v>7</v>
      </c>
      <c r="AE359" t="n">
        <v>7</v>
      </c>
      <c r="AF359" t="n">
        <v>4</v>
      </c>
      <c r="AG359" t="n">
        <v>4</v>
      </c>
      <c r="AH359" t="n">
        <v>1</v>
      </c>
      <c r="AI359" t="n">
        <v>1</v>
      </c>
      <c r="AJ359" t="n">
        <v>4</v>
      </c>
      <c r="AK359" t="n">
        <v>4</v>
      </c>
      <c r="AL359" t="n">
        <v>1</v>
      </c>
      <c r="AM359" t="n">
        <v>1</v>
      </c>
      <c r="AN359" t="n">
        <v>0</v>
      </c>
      <c r="AO359" t="n">
        <v>0</v>
      </c>
      <c r="AP359" t="inlineStr">
        <is>
          <t>No</t>
        </is>
      </c>
      <c r="AQ359" t="inlineStr">
        <is>
          <t>Yes</t>
        </is>
      </c>
      <c r="AR359">
        <f>HYPERLINK("http://catalog.hathitrust.org/Record/000189086","HathiTrust Record")</f>
        <v/>
      </c>
      <c r="AS359">
        <f>HYPERLINK("https://creighton-primo.hosted.exlibrisgroup.com/primo-explore/search?tab=default_tab&amp;search_scope=EVERYTHING&amp;vid=01CRU&amp;lang=en_US&amp;offset=0&amp;query=any,contains,991005245239702656","Catalog Record")</f>
        <v/>
      </c>
      <c r="AT359">
        <f>HYPERLINK("http://www.worldcat.org/oclc/8451932","WorldCat Record")</f>
        <v/>
      </c>
      <c r="AU359" t="inlineStr">
        <is>
          <t>427814656:eng</t>
        </is>
      </c>
      <c r="AV359" t="inlineStr">
        <is>
          <t>8451932</t>
        </is>
      </c>
      <c r="AW359" t="inlineStr">
        <is>
          <t>991005245239702656</t>
        </is>
      </c>
      <c r="AX359" t="inlineStr">
        <is>
          <t>991005245239702656</t>
        </is>
      </c>
      <c r="AY359" t="inlineStr">
        <is>
          <t>2262717660002656</t>
        </is>
      </c>
      <c r="AZ359" t="inlineStr">
        <is>
          <t>BOOK</t>
        </is>
      </c>
      <c r="BB359" t="inlineStr">
        <is>
          <t>9780669056402</t>
        </is>
      </c>
      <c r="BC359" t="inlineStr">
        <is>
          <t>32285001375186</t>
        </is>
      </c>
      <c r="BD359" t="inlineStr">
        <is>
          <t>893338800</t>
        </is>
      </c>
    </row>
    <row r="360">
      <c r="A360" t="inlineStr">
        <is>
          <t>No</t>
        </is>
      </c>
      <c r="B360" t="inlineStr">
        <is>
          <t>LB1029.S53 A32</t>
        </is>
      </c>
      <c r="C360" t="inlineStr">
        <is>
          <t>0                      LB 1029000S  53                 A  32</t>
        </is>
      </c>
      <c r="D360" t="inlineStr">
        <is>
          <t>Simulation games: an approach to learning [by] Dennis M. Adams.</t>
        </is>
      </c>
      <c r="F360" t="inlineStr">
        <is>
          <t>No</t>
        </is>
      </c>
      <c r="G360" t="inlineStr">
        <is>
          <t>1</t>
        </is>
      </c>
      <c r="H360" t="inlineStr">
        <is>
          <t>No</t>
        </is>
      </c>
      <c r="I360" t="inlineStr">
        <is>
          <t>No</t>
        </is>
      </c>
      <c r="J360" t="inlineStr">
        <is>
          <t>0</t>
        </is>
      </c>
      <c r="K360" t="inlineStr">
        <is>
          <t>Adams, Dennis, 1947-</t>
        </is>
      </c>
      <c r="L360" t="inlineStr">
        <is>
          <t>Worthington, Ohio, C. A. Jones Pub. Co. [1973]</t>
        </is>
      </c>
      <c r="M360" t="inlineStr">
        <is>
          <t>1973</t>
        </is>
      </c>
      <c r="O360" t="inlineStr">
        <is>
          <t>eng</t>
        </is>
      </c>
      <c r="P360" t="inlineStr">
        <is>
          <t>ohu</t>
        </is>
      </c>
      <c r="Q360" t="inlineStr">
        <is>
          <t>The Charles A. Jones Pub. Co. international series in education</t>
        </is>
      </c>
      <c r="R360" t="inlineStr">
        <is>
          <t xml:space="preserve">LB </t>
        </is>
      </c>
      <c r="S360" t="n">
        <v>2</v>
      </c>
      <c r="T360" t="n">
        <v>2</v>
      </c>
      <c r="U360" t="inlineStr">
        <is>
          <t>1997-05-07</t>
        </is>
      </c>
      <c r="V360" t="inlineStr">
        <is>
          <t>1997-05-07</t>
        </is>
      </c>
      <c r="W360" t="inlineStr">
        <is>
          <t>1997-05-02</t>
        </is>
      </c>
      <c r="X360" t="inlineStr">
        <is>
          <t>1997-05-02</t>
        </is>
      </c>
      <c r="Y360" t="n">
        <v>327</v>
      </c>
      <c r="Z360" t="n">
        <v>256</v>
      </c>
      <c r="AA360" t="n">
        <v>262</v>
      </c>
      <c r="AB360" t="n">
        <v>3</v>
      </c>
      <c r="AC360" t="n">
        <v>3</v>
      </c>
      <c r="AD360" t="n">
        <v>12</v>
      </c>
      <c r="AE360" t="n">
        <v>12</v>
      </c>
      <c r="AF360" t="n">
        <v>3</v>
      </c>
      <c r="AG360" t="n">
        <v>3</v>
      </c>
      <c r="AH360" t="n">
        <v>3</v>
      </c>
      <c r="AI360" t="n">
        <v>3</v>
      </c>
      <c r="AJ360" t="n">
        <v>8</v>
      </c>
      <c r="AK360" t="n">
        <v>8</v>
      </c>
      <c r="AL360" t="n">
        <v>2</v>
      </c>
      <c r="AM360" t="n">
        <v>2</v>
      </c>
      <c r="AN360" t="n">
        <v>0</v>
      </c>
      <c r="AO360" t="n">
        <v>0</v>
      </c>
      <c r="AP360" t="inlineStr">
        <is>
          <t>No</t>
        </is>
      </c>
      <c r="AQ360" t="inlineStr">
        <is>
          <t>Yes</t>
        </is>
      </c>
      <c r="AR360">
        <f>HYPERLINK("http://catalog.hathitrust.org/Record/009914773","HathiTrust Record")</f>
        <v/>
      </c>
      <c r="AS360">
        <f>HYPERLINK("https://creighton-primo.hosted.exlibrisgroup.com/primo-explore/search?tab=default_tab&amp;search_scope=EVERYTHING&amp;vid=01CRU&amp;lang=en_US&amp;offset=0&amp;query=any,contains,991005356529702656","Catalog Record")</f>
        <v/>
      </c>
      <c r="AT360">
        <f>HYPERLINK("http://www.worldcat.org/oclc/703961","WorldCat Record")</f>
        <v/>
      </c>
      <c r="AU360" t="inlineStr">
        <is>
          <t>889747841:eng</t>
        </is>
      </c>
      <c r="AV360" t="inlineStr">
        <is>
          <t>703961</t>
        </is>
      </c>
      <c r="AW360" t="inlineStr">
        <is>
          <t>991005356529702656</t>
        </is>
      </c>
      <c r="AX360" t="inlineStr">
        <is>
          <t>991005356529702656</t>
        </is>
      </c>
      <c r="AY360" t="inlineStr">
        <is>
          <t>2257568810002656</t>
        </is>
      </c>
      <c r="AZ360" t="inlineStr">
        <is>
          <t>BOOK</t>
        </is>
      </c>
      <c r="BB360" t="inlineStr">
        <is>
          <t>9780839600190</t>
        </is>
      </c>
      <c r="BC360" t="inlineStr">
        <is>
          <t>32285002631314</t>
        </is>
      </c>
      <c r="BD360" t="inlineStr">
        <is>
          <t>893877343</t>
        </is>
      </c>
    </row>
    <row r="361">
      <c r="A361" t="inlineStr">
        <is>
          <t>No</t>
        </is>
      </c>
      <c r="B361" t="inlineStr">
        <is>
          <t>LB1029.S53 A77</t>
        </is>
      </c>
      <c r="C361" t="inlineStr">
        <is>
          <t>0                      LB 1029000S  53                 A  77</t>
        </is>
      </c>
      <c r="D361" t="inlineStr">
        <is>
          <t>Aspects of simulation &amp; gaming : an anthology of SAGSET journal, volumes 1-4 / edited by Jacquetta Megarry.</t>
        </is>
      </c>
      <c r="F361" t="inlineStr">
        <is>
          <t>No</t>
        </is>
      </c>
      <c r="G361" t="inlineStr">
        <is>
          <t>1</t>
        </is>
      </c>
      <c r="H361" t="inlineStr">
        <is>
          <t>No</t>
        </is>
      </c>
      <c r="I361" t="inlineStr">
        <is>
          <t>No</t>
        </is>
      </c>
      <c r="J361" t="inlineStr">
        <is>
          <t>0</t>
        </is>
      </c>
      <c r="L361" t="inlineStr">
        <is>
          <t>London : Kogan Page Ltd. ; New York : Nichols Pub. Co., 1977.</t>
        </is>
      </c>
      <c r="M361" t="inlineStr">
        <is>
          <t>1977</t>
        </is>
      </c>
      <c r="O361" t="inlineStr">
        <is>
          <t>eng</t>
        </is>
      </c>
      <c r="P361" t="inlineStr">
        <is>
          <t>enk</t>
        </is>
      </c>
      <c r="R361" t="inlineStr">
        <is>
          <t xml:space="preserve">LB </t>
        </is>
      </c>
      <c r="S361" t="n">
        <v>2</v>
      </c>
      <c r="T361" t="n">
        <v>2</v>
      </c>
      <c r="U361" t="inlineStr">
        <is>
          <t>2002-01-25</t>
        </is>
      </c>
      <c r="V361" t="inlineStr">
        <is>
          <t>2002-01-25</t>
        </is>
      </c>
      <c r="W361" t="inlineStr">
        <is>
          <t>1997-05-02</t>
        </is>
      </c>
      <c r="X361" t="inlineStr">
        <is>
          <t>1997-05-02</t>
        </is>
      </c>
      <c r="Y361" t="n">
        <v>120</v>
      </c>
      <c r="Z361" t="n">
        <v>73</v>
      </c>
      <c r="AA361" t="n">
        <v>113</v>
      </c>
      <c r="AB361" t="n">
        <v>2</v>
      </c>
      <c r="AC361" t="n">
        <v>2</v>
      </c>
      <c r="AD361" t="n">
        <v>3</v>
      </c>
      <c r="AE361" t="n">
        <v>3</v>
      </c>
      <c r="AF361" t="n">
        <v>1</v>
      </c>
      <c r="AG361" t="n">
        <v>1</v>
      </c>
      <c r="AH361" t="n">
        <v>1</v>
      </c>
      <c r="AI361" t="n">
        <v>1</v>
      </c>
      <c r="AJ361" t="n">
        <v>0</v>
      </c>
      <c r="AK361" t="n">
        <v>0</v>
      </c>
      <c r="AL361" t="n">
        <v>1</v>
      </c>
      <c r="AM361" t="n">
        <v>1</v>
      </c>
      <c r="AN361" t="n">
        <v>0</v>
      </c>
      <c r="AO361" t="n">
        <v>0</v>
      </c>
      <c r="AP361" t="inlineStr">
        <is>
          <t>No</t>
        </is>
      </c>
      <c r="AQ361" t="inlineStr">
        <is>
          <t>Yes</t>
        </is>
      </c>
      <c r="AR361">
        <f>HYPERLINK("http://catalog.hathitrust.org/Record/101999658","HathiTrust Record")</f>
        <v/>
      </c>
      <c r="AS361">
        <f>HYPERLINK("https://creighton-primo.hosted.exlibrisgroup.com/primo-explore/search?tab=default_tab&amp;search_scope=EVERYTHING&amp;vid=01CRU&amp;lang=en_US&amp;offset=0&amp;query=any,contains,991004382489702656","Catalog Record")</f>
        <v/>
      </c>
      <c r="AT361">
        <f>HYPERLINK("http://www.worldcat.org/oclc/3224175","WorldCat Record")</f>
        <v/>
      </c>
      <c r="AU361" t="inlineStr">
        <is>
          <t>907078630:eng</t>
        </is>
      </c>
      <c r="AV361" t="inlineStr">
        <is>
          <t>3224175</t>
        </is>
      </c>
      <c r="AW361" t="inlineStr">
        <is>
          <t>991004382489702656</t>
        </is>
      </c>
      <c r="AX361" t="inlineStr">
        <is>
          <t>991004382489702656</t>
        </is>
      </c>
      <c r="AY361" t="inlineStr">
        <is>
          <t>2258577340002656</t>
        </is>
      </c>
      <c r="AZ361" t="inlineStr">
        <is>
          <t>BOOK</t>
        </is>
      </c>
      <c r="BB361" t="inlineStr">
        <is>
          <t>9780893970291</t>
        </is>
      </c>
      <c r="BC361" t="inlineStr">
        <is>
          <t>32285002631322</t>
        </is>
      </c>
      <c r="BD361" t="inlineStr">
        <is>
          <t>893500485</t>
        </is>
      </c>
    </row>
    <row r="362">
      <c r="A362" t="inlineStr">
        <is>
          <t>No</t>
        </is>
      </c>
      <c r="B362" t="inlineStr">
        <is>
          <t>LB1029.S53 H44 1983</t>
        </is>
      </c>
      <c r="C362" t="inlineStr">
        <is>
          <t>0                      LB 1029000S  53                 H  44          1983</t>
        </is>
      </c>
      <c r="D362" t="inlineStr">
        <is>
          <t>Educational games and simulations / by Wm. Ray Heitzmann.</t>
        </is>
      </c>
      <c r="F362" t="inlineStr">
        <is>
          <t>No</t>
        </is>
      </c>
      <c r="G362" t="inlineStr">
        <is>
          <t>1</t>
        </is>
      </c>
      <c r="H362" t="inlineStr">
        <is>
          <t>No</t>
        </is>
      </c>
      <c r="I362" t="inlineStr">
        <is>
          <t>No</t>
        </is>
      </c>
      <c r="J362" t="inlineStr">
        <is>
          <t>0</t>
        </is>
      </c>
      <c r="K362" t="inlineStr">
        <is>
          <t>Heitzmann, William Ray.</t>
        </is>
      </c>
      <c r="L362" t="inlineStr">
        <is>
          <t>Washington, D.C. : National Education Association, c1983.</t>
        </is>
      </c>
      <c r="M362" t="inlineStr">
        <is>
          <t>1983</t>
        </is>
      </c>
      <c r="N362" t="inlineStr">
        <is>
          <t>Rev. ed.</t>
        </is>
      </c>
      <c r="O362" t="inlineStr">
        <is>
          <t>eng</t>
        </is>
      </c>
      <c r="P362" t="inlineStr">
        <is>
          <t>dcu</t>
        </is>
      </c>
      <c r="Q362" t="inlineStr">
        <is>
          <t>What research says to the teacher</t>
        </is>
      </c>
      <c r="R362" t="inlineStr">
        <is>
          <t xml:space="preserve">LB </t>
        </is>
      </c>
      <c r="S362" t="n">
        <v>4</v>
      </c>
      <c r="T362" t="n">
        <v>4</v>
      </c>
      <c r="U362" t="inlineStr">
        <is>
          <t>1997-04-30</t>
        </is>
      </c>
      <c r="V362" t="inlineStr">
        <is>
          <t>1997-04-30</t>
        </is>
      </c>
      <c r="W362" t="inlineStr">
        <is>
          <t>1992-10-22</t>
        </is>
      </c>
      <c r="X362" t="inlineStr">
        <is>
          <t>1992-10-22</t>
        </is>
      </c>
      <c r="Y362" t="n">
        <v>256</v>
      </c>
      <c r="Z362" t="n">
        <v>252</v>
      </c>
      <c r="AA362" t="n">
        <v>396</v>
      </c>
      <c r="AB362" t="n">
        <v>3</v>
      </c>
      <c r="AC362" t="n">
        <v>8</v>
      </c>
      <c r="AD362" t="n">
        <v>9</v>
      </c>
      <c r="AE362" t="n">
        <v>17</v>
      </c>
      <c r="AF362" t="n">
        <v>3</v>
      </c>
      <c r="AG362" t="n">
        <v>3</v>
      </c>
      <c r="AH362" t="n">
        <v>2</v>
      </c>
      <c r="AI362" t="n">
        <v>2</v>
      </c>
      <c r="AJ362" t="n">
        <v>5</v>
      </c>
      <c r="AK362" t="n">
        <v>8</v>
      </c>
      <c r="AL362" t="n">
        <v>2</v>
      </c>
      <c r="AM362" t="n">
        <v>7</v>
      </c>
      <c r="AN362" t="n">
        <v>0</v>
      </c>
      <c r="AO362" t="n">
        <v>0</v>
      </c>
      <c r="AP362" t="inlineStr">
        <is>
          <t>No</t>
        </is>
      </c>
      <c r="AQ362" t="inlineStr">
        <is>
          <t>No</t>
        </is>
      </c>
      <c r="AS362">
        <f>HYPERLINK("https://creighton-primo.hosted.exlibrisgroup.com/primo-explore/search?tab=default_tab&amp;search_scope=EVERYTHING&amp;vid=01CRU&amp;lang=en_US&amp;offset=0&amp;query=any,contains,991005403229702656","Catalog Record")</f>
        <v/>
      </c>
      <c r="AT362">
        <f>HYPERLINK("http://www.worldcat.org/oclc/9756825","WorldCat Record")</f>
        <v/>
      </c>
      <c r="AU362" t="inlineStr">
        <is>
          <t>468631:eng</t>
        </is>
      </c>
      <c r="AV362" t="inlineStr">
        <is>
          <t>9756825</t>
        </is>
      </c>
      <c r="AW362" t="inlineStr">
        <is>
          <t>991005403229702656</t>
        </is>
      </c>
      <c r="AX362" t="inlineStr">
        <is>
          <t>991005403229702656</t>
        </is>
      </c>
      <c r="AY362" t="inlineStr">
        <is>
          <t>2256621780002656</t>
        </is>
      </c>
      <c r="AZ362" t="inlineStr">
        <is>
          <t>BOOK</t>
        </is>
      </c>
      <c r="BB362" t="inlineStr">
        <is>
          <t>9780810610309</t>
        </is>
      </c>
      <c r="BC362" t="inlineStr">
        <is>
          <t>32285001375277</t>
        </is>
      </c>
      <c r="BD362" t="inlineStr">
        <is>
          <t>893351223</t>
        </is>
      </c>
    </row>
    <row r="363">
      <c r="A363" t="inlineStr">
        <is>
          <t>No</t>
        </is>
      </c>
      <c r="B363" t="inlineStr">
        <is>
          <t>LB1029.S53 P3 1973</t>
        </is>
      </c>
      <c r="C363" t="inlineStr">
        <is>
          <t>0                      LB 1029000S  53                 P  3           1973</t>
        </is>
      </c>
      <c r="D363" t="inlineStr">
        <is>
          <t>Designing classroom simulations / Glenn S. Pate, Hugh A. Parker.</t>
        </is>
      </c>
      <c r="F363" t="inlineStr">
        <is>
          <t>No</t>
        </is>
      </c>
      <c r="G363" t="inlineStr">
        <is>
          <t>1</t>
        </is>
      </c>
      <c r="H363" t="inlineStr">
        <is>
          <t>No</t>
        </is>
      </c>
      <c r="I363" t="inlineStr">
        <is>
          <t>No</t>
        </is>
      </c>
      <c r="J363" t="inlineStr">
        <is>
          <t>0</t>
        </is>
      </c>
      <c r="K363" t="inlineStr">
        <is>
          <t>Pate, Glenn S.</t>
        </is>
      </c>
      <c r="L363" t="inlineStr">
        <is>
          <t>Belmont, CA. : Lear Siegler/Fearon, [1973]</t>
        </is>
      </c>
      <c r="M363" t="inlineStr">
        <is>
          <t>1973</t>
        </is>
      </c>
      <c r="O363" t="inlineStr">
        <is>
          <t>eng</t>
        </is>
      </c>
      <c r="P363" t="inlineStr">
        <is>
          <t xml:space="preserve">xx </t>
        </is>
      </c>
      <c r="R363" t="inlineStr">
        <is>
          <t xml:space="preserve">LB </t>
        </is>
      </c>
      <c r="S363" t="n">
        <v>4</v>
      </c>
      <c r="T363" t="n">
        <v>4</v>
      </c>
      <c r="U363" t="inlineStr">
        <is>
          <t>2002-01-25</t>
        </is>
      </c>
      <c r="V363" t="inlineStr">
        <is>
          <t>2002-01-25</t>
        </is>
      </c>
      <c r="W363" t="inlineStr">
        <is>
          <t>1992-07-23</t>
        </is>
      </c>
      <c r="X363" t="inlineStr">
        <is>
          <t>1992-07-23</t>
        </is>
      </c>
      <c r="Y363" t="n">
        <v>75</v>
      </c>
      <c r="Z363" t="n">
        <v>60</v>
      </c>
      <c r="AA363" t="n">
        <v>61</v>
      </c>
      <c r="AB363" t="n">
        <v>1</v>
      </c>
      <c r="AC363" t="n">
        <v>1</v>
      </c>
      <c r="AD363" t="n">
        <v>1</v>
      </c>
      <c r="AE363" t="n">
        <v>1</v>
      </c>
      <c r="AF363" t="n">
        <v>1</v>
      </c>
      <c r="AG363" t="n">
        <v>1</v>
      </c>
      <c r="AH363" t="n">
        <v>0</v>
      </c>
      <c r="AI363" t="n">
        <v>0</v>
      </c>
      <c r="AJ363" t="n">
        <v>0</v>
      </c>
      <c r="AK363" t="n">
        <v>0</v>
      </c>
      <c r="AL363" t="n">
        <v>0</v>
      </c>
      <c r="AM363" t="n">
        <v>0</v>
      </c>
      <c r="AN363" t="n">
        <v>0</v>
      </c>
      <c r="AO363" t="n">
        <v>0</v>
      </c>
      <c r="AP363" t="inlineStr">
        <is>
          <t>No</t>
        </is>
      </c>
      <c r="AQ363" t="inlineStr">
        <is>
          <t>No</t>
        </is>
      </c>
      <c r="AS363">
        <f>HYPERLINK("https://creighton-primo.hosted.exlibrisgroup.com/primo-explore/search?tab=default_tab&amp;search_scope=EVERYTHING&amp;vid=01CRU&amp;lang=en_US&amp;offset=0&amp;query=any,contains,991003464509702656","Catalog Record")</f>
        <v/>
      </c>
      <c r="AT363">
        <f>HYPERLINK("http://www.worldcat.org/oclc/1006225","WorldCat Record")</f>
        <v/>
      </c>
      <c r="AU363" t="inlineStr">
        <is>
          <t>1923373:eng</t>
        </is>
      </c>
      <c r="AV363" t="inlineStr">
        <is>
          <t>1006225</t>
        </is>
      </c>
      <c r="AW363" t="inlineStr">
        <is>
          <t>991003464509702656</t>
        </is>
      </c>
      <c r="AX363" t="inlineStr">
        <is>
          <t>991003464509702656</t>
        </is>
      </c>
      <c r="AY363" t="inlineStr">
        <is>
          <t>2262047000002656</t>
        </is>
      </c>
      <c r="AZ363" t="inlineStr">
        <is>
          <t>BOOK</t>
        </is>
      </c>
      <c r="BB363" t="inlineStr">
        <is>
          <t>9780822419006</t>
        </is>
      </c>
      <c r="BC363" t="inlineStr">
        <is>
          <t>32285001211183</t>
        </is>
      </c>
      <c r="BD363" t="inlineStr">
        <is>
          <t>893787340</t>
        </is>
      </c>
    </row>
    <row r="364">
      <c r="A364" t="inlineStr">
        <is>
          <t>No</t>
        </is>
      </c>
      <c r="B364" t="inlineStr">
        <is>
          <t>LB1029.T4 A43 2001</t>
        </is>
      </c>
      <c r="C364" t="inlineStr">
        <is>
          <t>0                      LB 1029000T  4                  A  43          2001</t>
        </is>
      </c>
      <c r="D364" t="inlineStr">
        <is>
          <t>Teacher peer assistance and review : a practical guide for teachers and administrators / Lorin W. Anderson and Leonard O. Pellicer.</t>
        </is>
      </c>
      <c r="F364" t="inlineStr">
        <is>
          <t>No</t>
        </is>
      </c>
      <c r="G364" t="inlineStr">
        <is>
          <t>1</t>
        </is>
      </c>
      <c r="H364" t="inlineStr">
        <is>
          <t>No</t>
        </is>
      </c>
      <c r="I364" t="inlineStr">
        <is>
          <t>No</t>
        </is>
      </c>
      <c r="J364" t="inlineStr">
        <is>
          <t>0</t>
        </is>
      </c>
      <c r="K364" t="inlineStr">
        <is>
          <t>Anderson, Lorin W.</t>
        </is>
      </c>
      <c r="L364" t="inlineStr">
        <is>
          <t>Thousand Oaks, Calif. : Corwin Press, c2001.</t>
        </is>
      </c>
      <c r="M364" t="inlineStr">
        <is>
          <t>2001</t>
        </is>
      </c>
      <c r="O364" t="inlineStr">
        <is>
          <t>eng</t>
        </is>
      </c>
      <c r="P364" t="inlineStr">
        <is>
          <t>cau</t>
        </is>
      </c>
      <c r="R364" t="inlineStr">
        <is>
          <t xml:space="preserve">LB </t>
        </is>
      </c>
      <c r="S364" t="n">
        <v>2</v>
      </c>
      <c r="T364" t="n">
        <v>2</v>
      </c>
      <c r="U364" t="inlineStr">
        <is>
          <t>2002-10-02</t>
        </is>
      </c>
      <c r="V364" t="inlineStr">
        <is>
          <t>2002-10-02</t>
        </is>
      </c>
      <c r="W364" t="inlineStr">
        <is>
          <t>2001-10-01</t>
        </is>
      </c>
      <c r="X364" t="inlineStr">
        <is>
          <t>2001-10-01</t>
        </is>
      </c>
      <c r="Y364" t="n">
        <v>240</v>
      </c>
      <c r="Z364" t="n">
        <v>195</v>
      </c>
      <c r="AA364" t="n">
        <v>199</v>
      </c>
      <c r="AB364" t="n">
        <v>2</v>
      </c>
      <c r="AC364" t="n">
        <v>2</v>
      </c>
      <c r="AD364" t="n">
        <v>10</v>
      </c>
      <c r="AE364" t="n">
        <v>10</v>
      </c>
      <c r="AF364" t="n">
        <v>1</v>
      </c>
      <c r="AG364" t="n">
        <v>1</v>
      </c>
      <c r="AH364" t="n">
        <v>1</v>
      </c>
      <c r="AI364" t="n">
        <v>1</v>
      </c>
      <c r="AJ364" t="n">
        <v>9</v>
      </c>
      <c r="AK364" t="n">
        <v>9</v>
      </c>
      <c r="AL364" t="n">
        <v>1</v>
      </c>
      <c r="AM364" t="n">
        <v>1</v>
      </c>
      <c r="AN364" t="n">
        <v>0</v>
      </c>
      <c r="AO364" t="n">
        <v>0</v>
      </c>
      <c r="AP364" t="inlineStr">
        <is>
          <t>No</t>
        </is>
      </c>
      <c r="AQ364" t="inlineStr">
        <is>
          <t>Yes</t>
        </is>
      </c>
      <c r="AR364">
        <f>HYPERLINK("http://catalog.hathitrust.org/Record/004146214","HathiTrust Record")</f>
        <v/>
      </c>
      <c r="AS364">
        <f>HYPERLINK("https://creighton-primo.hosted.exlibrisgroup.com/primo-explore/search?tab=default_tab&amp;search_scope=EVERYTHING&amp;vid=01CRU&amp;lang=en_US&amp;offset=0&amp;query=any,contains,991003609379702656","Catalog Record")</f>
        <v/>
      </c>
      <c r="AT364">
        <f>HYPERLINK("http://www.worldcat.org/oclc/45094032","WorldCat Record")</f>
        <v/>
      </c>
      <c r="AU364" t="inlineStr">
        <is>
          <t>837079815:eng</t>
        </is>
      </c>
      <c r="AV364" t="inlineStr">
        <is>
          <t>45094032</t>
        </is>
      </c>
      <c r="AW364" t="inlineStr">
        <is>
          <t>991003609379702656</t>
        </is>
      </c>
      <c r="AX364" t="inlineStr">
        <is>
          <t>991003609379702656</t>
        </is>
      </c>
      <c r="AY364" t="inlineStr">
        <is>
          <t>2263768550002656</t>
        </is>
      </c>
      <c r="AZ364" t="inlineStr">
        <is>
          <t>BOOK</t>
        </is>
      </c>
      <c r="BB364" t="inlineStr">
        <is>
          <t>9780761976936</t>
        </is>
      </c>
      <c r="BC364" t="inlineStr">
        <is>
          <t>32285004393137</t>
        </is>
      </c>
      <c r="BD364" t="inlineStr">
        <is>
          <t>893793808</t>
        </is>
      </c>
    </row>
    <row r="365">
      <c r="A365" t="inlineStr">
        <is>
          <t>No</t>
        </is>
      </c>
      <c r="B365" t="inlineStr">
        <is>
          <t>LB1029.T4 E73 1989</t>
        </is>
      </c>
      <c r="C365" t="inlineStr">
        <is>
          <t>0                      LB 1029000T  4                  E  73          1989</t>
        </is>
      </c>
      <c r="D365" t="inlineStr">
        <is>
          <t>Team organization : promise, practices, and possibilities / Thomas O. Erb, Nancy M. Doda.</t>
        </is>
      </c>
      <c r="F365" t="inlineStr">
        <is>
          <t>No</t>
        </is>
      </c>
      <c r="G365" t="inlineStr">
        <is>
          <t>1</t>
        </is>
      </c>
      <c r="H365" t="inlineStr">
        <is>
          <t>No</t>
        </is>
      </c>
      <c r="I365" t="inlineStr">
        <is>
          <t>No</t>
        </is>
      </c>
      <c r="J365" t="inlineStr">
        <is>
          <t>0</t>
        </is>
      </c>
      <c r="K365" t="inlineStr">
        <is>
          <t>Erb, Thomas Owen.</t>
        </is>
      </c>
      <c r="L365" t="inlineStr">
        <is>
          <t>Washington, DC : National Education Association, c1989.</t>
        </is>
      </c>
      <c r="M365" t="inlineStr">
        <is>
          <t>1989</t>
        </is>
      </c>
      <c r="O365" t="inlineStr">
        <is>
          <t>eng</t>
        </is>
      </c>
      <c r="P365" t="inlineStr">
        <is>
          <t>dcu</t>
        </is>
      </c>
      <c r="Q365" t="inlineStr">
        <is>
          <t>Analysis and action series</t>
        </is>
      </c>
      <c r="R365" t="inlineStr">
        <is>
          <t xml:space="preserve">LB </t>
        </is>
      </c>
      <c r="S365" t="n">
        <v>1</v>
      </c>
      <c r="T365" t="n">
        <v>1</v>
      </c>
      <c r="U365" t="inlineStr">
        <is>
          <t>1999-06-27</t>
        </is>
      </c>
      <c r="V365" t="inlineStr">
        <is>
          <t>1999-06-27</t>
        </is>
      </c>
      <c r="W365" t="inlineStr">
        <is>
          <t>1992-10-22</t>
        </is>
      </c>
      <c r="X365" t="inlineStr">
        <is>
          <t>1992-10-22</t>
        </is>
      </c>
      <c r="Y365" t="n">
        <v>417</v>
      </c>
      <c r="Z365" t="n">
        <v>411</v>
      </c>
      <c r="AA365" t="n">
        <v>415</v>
      </c>
      <c r="AB365" t="n">
        <v>9</v>
      </c>
      <c r="AC365" t="n">
        <v>9</v>
      </c>
      <c r="AD365" t="n">
        <v>18</v>
      </c>
      <c r="AE365" t="n">
        <v>18</v>
      </c>
      <c r="AF365" t="n">
        <v>6</v>
      </c>
      <c r="AG365" t="n">
        <v>6</v>
      </c>
      <c r="AH365" t="n">
        <v>2</v>
      </c>
      <c r="AI365" t="n">
        <v>2</v>
      </c>
      <c r="AJ365" t="n">
        <v>8</v>
      </c>
      <c r="AK365" t="n">
        <v>8</v>
      </c>
      <c r="AL365" t="n">
        <v>6</v>
      </c>
      <c r="AM365" t="n">
        <v>6</v>
      </c>
      <c r="AN365" t="n">
        <v>0</v>
      </c>
      <c r="AO365" t="n">
        <v>0</v>
      </c>
      <c r="AP365" t="inlineStr">
        <is>
          <t>No</t>
        </is>
      </c>
      <c r="AQ365" t="inlineStr">
        <is>
          <t>Yes</t>
        </is>
      </c>
      <c r="AR365">
        <f>HYPERLINK("http://catalog.hathitrust.org/Record/001820741","HathiTrust Record")</f>
        <v/>
      </c>
      <c r="AS365">
        <f>HYPERLINK("https://creighton-primo.hosted.exlibrisgroup.com/primo-explore/search?tab=default_tab&amp;search_scope=EVERYTHING&amp;vid=01CRU&amp;lang=en_US&amp;offset=0&amp;query=any,contains,991001493889702656","Catalog Record")</f>
        <v/>
      </c>
      <c r="AT365">
        <f>HYPERLINK("http://www.worldcat.org/oclc/19740996","WorldCat Record")</f>
        <v/>
      </c>
      <c r="AU365" t="inlineStr">
        <is>
          <t>908277130:eng</t>
        </is>
      </c>
      <c r="AV365" t="inlineStr">
        <is>
          <t>19740996</t>
        </is>
      </c>
      <c r="AW365" t="inlineStr">
        <is>
          <t>991001493889702656</t>
        </is>
      </c>
      <c r="AX365" t="inlineStr">
        <is>
          <t>991001493889702656</t>
        </is>
      </c>
      <c r="AY365" t="inlineStr">
        <is>
          <t>2264339940002656</t>
        </is>
      </c>
      <c r="AZ365" t="inlineStr">
        <is>
          <t>BOOK</t>
        </is>
      </c>
      <c r="BB365" t="inlineStr">
        <is>
          <t>9780810630758</t>
        </is>
      </c>
      <c r="BC365" t="inlineStr">
        <is>
          <t>32285001375301</t>
        </is>
      </c>
      <c r="BD365" t="inlineStr">
        <is>
          <t>893696791</t>
        </is>
      </c>
    </row>
    <row r="366">
      <c r="A366" t="inlineStr">
        <is>
          <t>No</t>
        </is>
      </c>
      <c r="B366" t="inlineStr">
        <is>
          <t>LB1029.T4 M34 1993</t>
        </is>
      </c>
      <c r="C366" t="inlineStr">
        <is>
          <t>0                      LB 1029000T  4                  M  34          1993</t>
        </is>
      </c>
      <c r="D366" t="inlineStr">
        <is>
          <t>Team building for school change : equipping teachers for new roles / Gene I. Maeroff.</t>
        </is>
      </c>
      <c r="F366" t="inlineStr">
        <is>
          <t>No</t>
        </is>
      </c>
      <c r="G366" t="inlineStr">
        <is>
          <t>1</t>
        </is>
      </c>
      <c r="H366" t="inlineStr">
        <is>
          <t>No</t>
        </is>
      </c>
      <c r="I366" t="inlineStr">
        <is>
          <t>No</t>
        </is>
      </c>
      <c r="J366" t="inlineStr">
        <is>
          <t>0</t>
        </is>
      </c>
      <c r="K366" t="inlineStr">
        <is>
          <t>Maeroff, Gene I.</t>
        </is>
      </c>
      <c r="L366" t="inlineStr">
        <is>
          <t>New York : Teachers College Press, c1993.</t>
        </is>
      </c>
      <c r="M366" t="inlineStr">
        <is>
          <t>1993</t>
        </is>
      </c>
      <c r="O366" t="inlineStr">
        <is>
          <t>eng</t>
        </is>
      </c>
      <c r="P366" t="inlineStr">
        <is>
          <t>nyu</t>
        </is>
      </c>
      <c r="Q366" t="inlineStr">
        <is>
          <t>Professional development and practice series</t>
        </is>
      </c>
      <c r="R366" t="inlineStr">
        <is>
          <t xml:space="preserve">LB </t>
        </is>
      </c>
      <c r="S366" t="n">
        <v>2</v>
      </c>
      <c r="T366" t="n">
        <v>2</v>
      </c>
      <c r="U366" t="inlineStr">
        <is>
          <t>1999-06-27</t>
        </is>
      </c>
      <c r="V366" t="inlineStr">
        <is>
          <t>1999-06-27</t>
        </is>
      </c>
      <c r="W366" t="inlineStr">
        <is>
          <t>1996-12-14</t>
        </is>
      </c>
      <c r="X366" t="inlineStr">
        <is>
          <t>1996-12-14</t>
        </is>
      </c>
      <c r="Y366" t="n">
        <v>439</v>
      </c>
      <c r="Z366" t="n">
        <v>385</v>
      </c>
      <c r="AA366" t="n">
        <v>386</v>
      </c>
      <c r="AB366" t="n">
        <v>5</v>
      </c>
      <c r="AC366" t="n">
        <v>5</v>
      </c>
      <c r="AD366" t="n">
        <v>20</v>
      </c>
      <c r="AE366" t="n">
        <v>20</v>
      </c>
      <c r="AF366" t="n">
        <v>6</v>
      </c>
      <c r="AG366" t="n">
        <v>6</v>
      </c>
      <c r="AH366" t="n">
        <v>5</v>
      </c>
      <c r="AI366" t="n">
        <v>5</v>
      </c>
      <c r="AJ366" t="n">
        <v>11</v>
      </c>
      <c r="AK366" t="n">
        <v>11</v>
      </c>
      <c r="AL366" t="n">
        <v>3</v>
      </c>
      <c r="AM366" t="n">
        <v>3</v>
      </c>
      <c r="AN366" t="n">
        <v>0</v>
      </c>
      <c r="AO366" t="n">
        <v>0</v>
      </c>
      <c r="AP366" t="inlineStr">
        <is>
          <t>No</t>
        </is>
      </c>
      <c r="AQ366" t="inlineStr">
        <is>
          <t>No</t>
        </is>
      </c>
      <c r="AS366">
        <f>HYPERLINK("https://creighton-primo.hosted.exlibrisgroup.com/primo-explore/search?tab=default_tab&amp;search_scope=EVERYTHING&amp;vid=01CRU&amp;lang=en_US&amp;offset=0&amp;query=any,contains,991002132169702656","Catalog Record")</f>
        <v/>
      </c>
      <c r="AT366">
        <f>HYPERLINK("http://www.worldcat.org/oclc/27336677","WorldCat Record")</f>
        <v/>
      </c>
      <c r="AU366" t="inlineStr">
        <is>
          <t>1363620989:eng</t>
        </is>
      </c>
      <c r="AV366" t="inlineStr">
        <is>
          <t>27336677</t>
        </is>
      </c>
      <c r="AW366" t="inlineStr">
        <is>
          <t>991002132169702656</t>
        </is>
      </c>
      <c r="AX366" t="inlineStr">
        <is>
          <t>991002132169702656</t>
        </is>
      </c>
      <c r="AY366" t="inlineStr">
        <is>
          <t>2272301850002656</t>
        </is>
      </c>
      <c r="AZ366" t="inlineStr">
        <is>
          <t>BOOK</t>
        </is>
      </c>
      <c r="BB366" t="inlineStr">
        <is>
          <t>9780807732670</t>
        </is>
      </c>
      <c r="BC366" t="inlineStr">
        <is>
          <t>32285002396868</t>
        </is>
      </c>
      <c r="BD366" t="inlineStr">
        <is>
          <t>893226502</t>
        </is>
      </c>
    </row>
    <row r="367">
      <c r="A367" t="inlineStr">
        <is>
          <t>No</t>
        </is>
      </c>
      <c r="B367" t="inlineStr">
        <is>
          <t>LB1031 .B415 2008</t>
        </is>
      </c>
      <c r="C367" t="inlineStr">
        <is>
          <t>0                      LB 1031000B  415         2008</t>
        </is>
      </c>
      <c r="D367" t="inlineStr">
        <is>
          <t>A school for each student : personalization in a climate of high expectations / Nelson Beaudoin.</t>
        </is>
      </c>
      <c r="F367" t="inlineStr">
        <is>
          <t>No</t>
        </is>
      </c>
      <c r="G367" t="inlineStr">
        <is>
          <t>1</t>
        </is>
      </c>
      <c r="H367" t="inlineStr">
        <is>
          <t>No</t>
        </is>
      </c>
      <c r="I367" t="inlineStr">
        <is>
          <t>No</t>
        </is>
      </c>
      <c r="J367" t="inlineStr">
        <is>
          <t>0</t>
        </is>
      </c>
      <c r="K367" t="inlineStr">
        <is>
          <t>Beaudoin, Nelson.</t>
        </is>
      </c>
      <c r="L367" t="inlineStr">
        <is>
          <t>Larchmont, NY : Eye On Education, c2008.</t>
        </is>
      </c>
      <c r="M367" t="inlineStr">
        <is>
          <t>2008</t>
        </is>
      </c>
      <c r="O367" t="inlineStr">
        <is>
          <t>eng</t>
        </is>
      </c>
      <c r="P367" t="inlineStr">
        <is>
          <t>nyu</t>
        </is>
      </c>
      <c r="R367" t="inlineStr">
        <is>
          <t xml:space="preserve">LB </t>
        </is>
      </c>
      <c r="S367" t="n">
        <v>1</v>
      </c>
      <c r="T367" t="n">
        <v>1</v>
      </c>
      <c r="U367" t="inlineStr">
        <is>
          <t>2008-07-14</t>
        </is>
      </c>
      <c r="V367" t="inlineStr">
        <is>
          <t>2008-07-14</t>
        </is>
      </c>
      <c r="W367" t="inlineStr">
        <is>
          <t>2008-07-14</t>
        </is>
      </c>
      <c r="X367" t="inlineStr">
        <is>
          <t>2008-07-14</t>
        </is>
      </c>
      <c r="Y367" t="n">
        <v>85</v>
      </c>
      <c r="Z367" t="n">
        <v>69</v>
      </c>
      <c r="AA367" t="n">
        <v>90</v>
      </c>
      <c r="AB367" t="n">
        <v>2</v>
      </c>
      <c r="AC367" t="n">
        <v>2</v>
      </c>
      <c r="AD367" t="n">
        <v>2</v>
      </c>
      <c r="AE367" t="n">
        <v>2</v>
      </c>
      <c r="AF367" t="n">
        <v>0</v>
      </c>
      <c r="AG367" t="n">
        <v>0</v>
      </c>
      <c r="AH367" t="n">
        <v>0</v>
      </c>
      <c r="AI367" t="n">
        <v>0</v>
      </c>
      <c r="AJ367" t="n">
        <v>1</v>
      </c>
      <c r="AK367" t="n">
        <v>1</v>
      </c>
      <c r="AL367" t="n">
        <v>1</v>
      </c>
      <c r="AM367" t="n">
        <v>1</v>
      </c>
      <c r="AN367" t="n">
        <v>0</v>
      </c>
      <c r="AO367" t="n">
        <v>0</v>
      </c>
      <c r="AP367" t="inlineStr">
        <is>
          <t>No</t>
        </is>
      </c>
      <c r="AQ367" t="inlineStr">
        <is>
          <t>No</t>
        </is>
      </c>
      <c r="AS367">
        <f>HYPERLINK("https://creighton-primo.hosted.exlibrisgroup.com/primo-explore/search?tab=default_tab&amp;search_scope=EVERYTHING&amp;vid=01CRU&amp;lang=en_US&amp;offset=0&amp;query=any,contains,991005242739702656","Catalog Record")</f>
        <v/>
      </c>
      <c r="AT367">
        <f>HYPERLINK("http://www.worldcat.org/oclc/185021571","WorldCat Record")</f>
        <v/>
      </c>
      <c r="AU367" t="inlineStr">
        <is>
          <t>1024868286:eng</t>
        </is>
      </c>
      <c r="AV367" t="inlineStr">
        <is>
          <t>185021571</t>
        </is>
      </c>
      <c r="AW367" t="inlineStr">
        <is>
          <t>991005242739702656</t>
        </is>
      </c>
      <c r="AX367" t="inlineStr">
        <is>
          <t>991005242739702656</t>
        </is>
      </c>
      <c r="AY367" t="inlineStr">
        <is>
          <t>2269387900002656</t>
        </is>
      </c>
      <c r="AZ367" t="inlineStr">
        <is>
          <t>BOOK</t>
        </is>
      </c>
      <c r="BB367" t="inlineStr">
        <is>
          <t>9781596670792</t>
        </is>
      </c>
      <c r="BC367" t="inlineStr">
        <is>
          <t>32285005447908</t>
        </is>
      </c>
      <c r="BD367" t="inlineStr">
        <is>
          <t>893795849</t>
        </is>
      </c>
    </row>
    <row r="368">
      <c r="A368" t="inlineStr">
        <is>
          <t>No</t>
        </is>
      </c>
      <c r="B368" t="inlineStr">
        <is>
          <t>LB1031 .C46 1980b</t>
        </is>
      </c>
      <c r="C368" t="inlineStr">
        <is>
          <t>0                      LB 1031000C  46          1980b</t>
        </is>
      </c>
      <c r="D368" t="inlineStr">
        <is>
          <t>Change for children : ideas and activities for individualizing learning / Sandra Nina Kaplan ... [et al.].</t>
        </is>
      </c>
      <c r="F368" t="inlineStr">
        <is>
          <t>No</t>
        </is>
      </c>
      <c r="G368" t="inlineStr">
        <is>
          <t>1</t>
        </is>
      </c>
      <c r="H368" t="inlineStr">
        <is>
          <t>No</t>
        </is>
      </c>
      <c r="I368" t="inlineStr">
        <is>
          <t>No</t>
        </is>
      </c>
      <c r="J368" t="inlineStr">
        <is>
          <t>0</t>
        </is>
      </c>
      <c r="L368" t="inlineStr">
        <is>
          <t>Glenview, IL : Scott, Foresman and Co., c1980.</t>
        </is>
      </c>
      <c r="M368" t="inlineStr">
        <is>
          <t>1980</t>
        </is>
      </c>
      <c r="N368" t="inlineStr">
        <is>
          <t>Rev. ed.</t>
        </is>
      </c>
      <c r="O368" t="inlineStr">
        <is>
          <t>eng</t>
        </is>
      </c>
      <c r="P368" t="inlineStr">
        <is>
          <t>ilu</t>
        </is>
      </c>
      <c r="Q368" t="inlineStr">
        <is>
          <t>Goodyear series in education</t>
        </is>
      </c>
      <c r="R368" t="inlineStr">
        <is>
          <t xml:space="preserve">LB </t>
        </is>
      </c>
      <c r="S368" t="n">
        <v>1</v>
      </c>
      <c r="T368" t="n">
        <v>1</v>
      </c>
      <c r="U368" t="inlineStr">
        <is>
          <t>2000-06-07</t>
        </is>
      </c>
      <c r="V368" t="inlineStr">
        <is>
          <t>2000-06-07</t>
        </is>
      </c>
      <c r="W368" t="inlineStr">
        <is>
          <t>1992-10-22</t>
        </is>
      </c>
      <c r="X368" t="inlineStr">
        <is>
          <t>1992-10-22</t>
        </is>
      </c>
      <c r="Y368" t="n">
        <v>75</v>
      </c>
      <c r="Z368" t="n">
        <v>59</v>
      </c>
      <c r="AA368" t="n">
        <v>557</v>
      </c>
      <c r="AB368" t="n">
        <v>1</v>
      </c>
      <c r="AC368" t="n">
        <v>7</v>
      </c>
      <c r="AD368" t="n">
        <v>1</v>
      </c>
      <c r="AE368" t="n">
        <v>24</v>
      </c>
      <c r="AF368" t="n">
        <v>0</v>
      </c>
      <c r="AG368" t="n">
        <v>10</v>
      </c>
      <c r="AH368" t="n">
        <v>0</v>
      </c>
      <c r="AI368" t="n">
        <v>4</v>
      </c>
      <c r="AJ368" t="n">
        <v>1</v>
      </c>
      <c r="AK368" t="n">
        <v>11</v>
      </c>
      <c r="AL368" t="n">
        <v>0</v>
      </c>
      <c r="AM368" t="n">
        <v>5</v>
      </c>
      <c r="AN368" t="n">
        <v>0</v>
      </c>
      <c r="AO368" t="n">
        <v>0</v>
      </c>
      <c r="AP368" t="inlineStr">
        <is>
          <t>No</t>
        </is>
      </c>
      <c r="AQ368" t="inlineStr">
        <is>
          <t>No</t>
        </is>
      </c>
      <c r="AS368">
        <f>HYPERLINK("https://creighton-primo.hosted.exlibrisgroup.com/primo-explore/search?tab=default_tab&amp;search_scope=EVERYTHING&amp;vid=01CRU&amp;lang=en_US&amp;offset=0&amp;query=any,contains,991005250239702656","Catalog Record")</f>
        <v/>
      </c>
      <c r="AT368">
        <f>HYPERLINK("http://www.worldcat.org/oclc/8483237","WorldCat Record")</f>
        <v/>
      </c>
      <c r="AU368" t="inlineStr">
        <is>
          <t>919279760:eng</t>
        </is>
      </c>
      <c r="AV368" t="inlineStr">
        <is>
          <t>8483237</t>
        </is>
      </c>
      <c r="AW368" t="inlineStr">
        <is>
          <t>991005250239702656</t>
        </is>
      </c>
      <c r="AX368" t="inlineStr">
        <is>
          <t>991005250239702656</t>
        </is>
      </c>
      <c r="AY368" t="inlineStr">
        <is>
          <t>2262363870002656</t>
        </is>
      </c>
      <c r="AZ368" t="inlineStr">
        <is>
          <t>BOOK</t>
        </is>
      </c>
      <c r="BB368" t="inlineStr">
        <is>
          <t>9780673163486</t>
        </is>
      </c>
      <c r="BC368" t="inlineStr">
        <is>
          <t>32285001375384</t>
        </is>
      </c>
      <c r="BD368" t="inlineStr">
        <is>
          <t>893236540</t>
        </is>
      </c>
    </row>
    <row r="369">
      <c r="A369" t="inlineStr">
        <is>
          <t>No</t>
        </is>
      </c>
      <c r="B369" t="inlineStr">
        <is>
          <t>LB1031 .G74 2007</t>
        </is>
      </c>
      <c r="C369" t="inlineStr">
        <is>
          <t>0                      LB 1031000G  74          2007</t>
        </is>
      </c>
      <c r="D369" t="inlineStr">
        <is>
          <t>Differentiated instructional strategies : one size doesn't fit all / Gayle H. Gregory, Carolyn Chapman.</t>
        </is>
      </c>
      <c r="F369" t="inlineStr">
        <is>
          <t>No</t>
        </is>
      </c>
      <c r="G369" t="inlineStr">
        <is>
          <t>1</t>
        </is>
      </c>
      <c r="H369" t="inlineStr">
        <is>
          <t>No</t>
        </is>
      </c>
      <c r="I369" t="inlineStr">
        <is>
          <t>No</t>
        </is>
      </c>
      <c r="J369" t="inlineStr">
        <is>
          <t>0</t>
        </is>
      </c>
      <c r="K369" t="inlineStr">
        <is>
          <t>Gregory, Gayle.</t>
        </is>
      </c>
      <c r="L369" t="inlineStr">
        <is>
          <t>Thousand Oaks, Calif. : Corwin Press, c2007.</t>
        </is>
      </c>
      <c r="M369" t="inlineStr">
        <is>
          <t>2007</t>
        </is>
      </c>
      <c r="N369" t="inlineStr">
        <is>
          <t>2nd ed.</t>
        </is>
      </c>
      <c r="O369" t="inlineStr">
        <is>
          <t>eng</t>
        </is>
      </c>
      <c r="P369" t="inlineStr">
        <is>
          <t>cau</t>
        </is>
      </c>
      <c r="R369" t="inlineStr">
        <is>
          <t xml:space="preserve">LB </t>
        </is>
      </c>
      <c r="S369" t="n">
        <v>2</v>
      </c>
      <c r="T369" t="n">
        <v>2</v>
      </c>
      <c r="U369" t="inlineStr">
        <is>
          <t>2007-06-25</t>
        </is>
      </c>
      <c r="V369" t="inlineStr">
        <is>
          <t>2007-06-25</t>
        </is>
      </c>
      <c r="W369" t="inlineStr">
        <is>
          <t>2006-12-12</t>
        </is>
      </c>
      <c r="X369" t="inlineStr">
        <is>
          <t>2006-12-12</t>
        </is>
      </c>
      <c r="Y369" t="n">
        <v>425</v>
      </c>
      <c r="Z369" t="n">
        <v>336</v>
      </c>
      <c r="AA369" t="n">
        <v>854</v>
      </c>
      <c r="AB369" t="n">
        <v>2</v>
      </c>
      <c r="AC369" t="n">
        <v>9</v>
      </c>
      <c r="AD369" t="n">
        <v>11</v>
      </c>
      <c r="AE369" t="n">
        <v>34</v>
      </c>
      <c r="AF369" t="n">
        <v>5</v>
      </c>
      <c r="AG369" t="n">
        <v>16</v>
      </c>
      <c r="AH369" t="n">
        <v>2</v>
      </c>
      <c r="AI369" t="n">
        <v>3</v>
      </c>
      <c r="AJ369" t="n">
        <v>7</v>
      </c>
      <c r="AK369" t="n">
        <v>14</v>
      </c>
      <c r="AL369" t="n">
        <v>1</v>
      </c>
      <c r="AM369" t="n">
        <v>8</v>
      </c>
      <c r="AN369" t="n">
        <v>0</v>
      </c>
      <c r="AO369" t="n">
        <v>0</v>
      </c>
      <c r="AP369" t="inlineStr">
        <is>
          <t>No</t>
        </is>
      </c>
      <c r="AQ369" t="inlineStr">
        <is>
          <t>Yes</t>
        </is>
      </c>
      <c r="AR369">
        <f>HYPERLINK("http://catalog.hathitrust.org/Record/005370681","HathiTrust Record")</f>
        <v/>
      </c>
      <c r="AS369">
        <f>HYPERLINK("https://creighton-primo.hosted.exlibrisgroup.com/primo-explore/search?tab=default_tab&amp;search_scope=EVERYTHING&amp;vid=01CRU&amp;lang=en_US&amp;offset=0&amp;query=any,contains,991004989219702656","Catalog Record")</f>
        <v/>
      </c>
      <c r="AT369">
        <f>HYPERLINK("http://www.worldcat.org/oclc/70122545","WorldCat Record")</f>
        <v/>
      </c>
      <c r="AU369" t="inlineStr">
        <is>
          <t>37137900:eng</t>
        </is>
      </c>
      <c r="AV369" t="inlineStr">
        <is>
          <t>70122545</t>
        </is>
      </c>
      <c r="AW369" t="inlineStr">
        <is>
          <t>991004989219702656</t>
        </is>
      </c>
      <c r="AX369" t="inlineStr">
        <is>
          <t>991004989219702656</t>
        </is>
      </c>
      <c r="AY369" t="inlineStr">
        <is>
          <t>2258204540002656</t>
        </is>
      </c>
      <c r="AZ369" t="inlineStr">
        <is>
          <t>BOOK</t>
        </is>
      </c>
      <c r="BB369" t="inlineStr">
        <is>
          <t>9781412936392</t>
        </is>
      </c>
      <c r="BC369" t="inlineStr">
        <is>
          <t>32285005265789</t>
        </is>
      </c>
      <c r="BD369" t="inlineStr">
        <is>
          <t>893694584</t>
        </is>
      </c>
    </row>
    <row r="370">
      <c r="A370" t="inlineStr">
        <is>
          <t>No</t>
        </is>
      </c>
      <c r="B370" t="inlineStr">
        <is>
          <t>LB1031 .N64 2003</t>
        </is>
      </c>
      <c r="C370" t="inlineStr">
        <is>
          <t>0                      LB 1031000N  64          2003</t>
        </is>
      </c>
      <c r="D370" t="inlineStr">
        <is>
          <t>Differentiated instruction : meeting the educational needs of all students in your classroom / Marcie Nordlund.</t>
        </is>
      </c>
      <c r="F370" t="inlineStr">
        <is>
          <t>No</t>
        </is>
      </c>
      <c r="G370" t="inlineStr">
        <is>
          <t>1</t>
        </is>
      </c>
      <c r="H370" t="inlineStr">
        <is>
          <t>No</t>
        </is>
      </c>
      <c r="I370" t="inlineStr">
        <is>
          <t>No</t>
        </is>
      </c>
      <c r="J370" t="inlineStr">
        <is>
          <t>0</t>
        </is>
      </c>
      <c r="K370" t="inlineStr">
        <is>
          <t>Nordlund, Marcie, 1953-</t>
        </is>
      </c>
      <c r="L370" t="inlineStr">
        <is>
          <t>Lanham, Md. : Scarecrow Press, 2003.</t>
        </is>
      </c>
      <c r="M370" t="inlineStr">
        <is>
          <t>2003</t>
        </is>
      </c>
      <c r="O370" t="inlineStr">
        <is>
          <t>eng</t>
        </is>
      </c>
      <c r="P370" t="inlineStr">
        <is>
          <t>mdu</t>
        </is>
      </c>
      <c r="R370" t="inlineStr">
        <is>
          <t xml:space="preserve">LB </t>
        </is>
      </c>
      <c r="S370" t="n">
        <v>1</v>
      </c>
      <c r="T370" t="n">
        <v>1</v>
      </c>
      <c r="U370" t="inlineStr">
        <is>
          <t>2004-01-29</t>
        </is>
      </c>
      <c r="V370" t="inlineStr">
        <is>
          <t>2004-01-29</t>
        </is>
      </c>
      <c r="W370" t="inlineStr">
        <is>
          <t>2003-12-10</t>
        </is>
      </c>
      <c r="X370" t="inlineStr">
        <is>
          <t>2003-12-10</t>
        </is>
      </c>
      <c r="Y370" t="n">
        <v>521</v>
      </c>
      <c r="Z370" t="n">
        <v>477</v>
      </c>
      <c r="AA370" t="n">
        <v>525</v>
      </c>
      <c r="AB370" t="n">
        <v>4</v>
      </c>
      <c r="AC370" t="n">
        <v>4</v>
      </c>
      <c r="AD370" t="n">
        <v>28</v>
      </c>
      <c r="AE370" t="n">
        <v>28</v>
      </c>
      <c r="AF370" t="n">
        <v>14</v>
      </c>
      <c r="AG370" t="n">
        <v>14</v>
      </c>
      <c r="AH370" t="n">
        <v>7</v>
      </c>
      <c r="AI370" t="n">
        <v>7</v>
      </c>
      <c r="AJ370" t="n">
        <v>12</v>
      </c>
      <c r="AK370" t="n">
        <v>12</v>
      </c>
      <c r="AL370" t="n">
        <v>3</v>
      </c>
      <c r="AM370" t="n">
        <v>3</v>
      </c>
      <c r="AN370" t="n">
        <v>0</v>
      </c>
      <c r="AO370" t="n">
        <v>0</v>
      </c>
      <c r="AP370" t="inlineStr">
        <is>
          <t>No</t>
        </is>
      </c>
      <c r="AQ370" t="inlineStr">
        <is>
          <t>Yes</t>
        </is>
      </c>
      <c r="AR370">
        <f>HYPERLINK("http://catalog.hathitrust.org/Record/004326812","HathiTrust Record")</f>
        <v/>
      </c>
      <c r="AS370">
        <f>HYPERLINK("https://creighton-primo.hosted.exlibrisgroup.com/primo-explore/search?tab=default_tab&amp;search_scope=EVERYTHING&amp;vid=01CRU&amp;lang=en_US&amp;offset=0&amp;query=any,contains,991004170779702656","Catalog Record")</f>
        <v/>
      </c>
      <c r="AT370">
        <f>HYPERLINK("http://www.worldcat.org/oclc/51251847","WorldCat Record")</f>
        <v/>
      </c>
      <c r="AU370" t="inlineStr">
        <is>
          <t>799758784:eng</t>
        </is>
      </c>
      <c r="AV370" t="inlineStr">
        <is>
          <t>51251847</t>
        </is>
      </c>
      <c r="AW370" t="inlineStr">
        <is>
          <t>991004170779702656</t>
        </is>
      </c>
      <c r="AX370" t="inlineStr">
        <is>
          <t>991004170779702656</t>
        </is>
      </c>
      <c r="AY370" t="inlineStr">
        <is>
          <t>2262683230002656</t>
        </is>
      </c>
      <c r="AZ370" t="inlineStr">
        <is>
          <t>BOOK</t>
        </is>
      </c>
      <c r="BB370" t="inlineStr">
        <is>
          <t>9780810847026</t>
        </is>
      </c>
      <c r="BC370" t="inlineStr">
        <is>
          <t>32285004845821</t>
        </is>
      </c>
      <c r="BD370" t="inlineStr">
        <is>
          <t>893253336</t>
        </is>
      </c>
    </row>
    <row r="371">
      <c r="A371" t="inlineStr">
        <is>
          <t>No</t>
        </is>
      </c>
      <c r="B371" t="inlineStr">
        <is>
          <t>LB1032 .B33</t>
        </is>
      </c>
      <c r="C371" t="inlineStr">
        <is>
          <t>0                      LB 1032000B  33</t>
        </is>
      </c>
      <c r="D371" t="inlineStr">
        <is>
          <t>Communication and learning in small groups / Douglas Barnes and Frankie Todd.</t>
        </is>
      </c>
      <c r="F371" t="inlineStr">
        <is>
          <t>No</t>
        </is>
      </c>
      <c r="G371" t="inlineStr">
        <is>
          <t>1</t>
        </is>
      </c>
      <c r="H371" t="inlineStr">
        <is>
          <t>No</t>
        </is>
      </c>
      <c r="I371" t="inlineStr">
        <is>
          <t>No</t>
        </is>
      </c>
      <c r="J371" t="inlineStr">
        <is>
          <t>0</t>
        </is>
      </c>
      <c r="K371" t="inlineStr">
        <is>
          <t>Barnes, Douglas R.</t>
        </is>
      </c>
      <c r="L371" t="inlineStr">
        <is>
          <t>London ; Boston : Routledge &amp; K. Paul, 1977.</t>
        </is>
      </c>
      <c r="M371" t="inlineStr">
        <is>
          <t>1977</t>
        </is>
      </c>
      <c r="O371" t="inlineStr">
        <is>
          <t>eng</t>
        </is>
      </c>
      <c r="P371" t="inlineStr">
        <is>
          <t>enk</t>
        </is>
      </c>
      <c r="Q371" t="inlineStr">
        <is>
          <t>Routledge direct editions</t>
        </is>
      </c>
      <c r="R371" t="inlineStr">
        <is>
          <t xml:space="preserve">LB </t>
        </is>
      </c>
      <c r="S371" t="n">
        <v>4</v>
      </c>
      <c r="T371" t="n">
        <v>4</v>
      </c>
      <c r="U371" t="inlineStr">
        <is>
          <t>2000-04-27</t>
        </is>
      </c>
      <c r="V371" t="inlineStr">
        <is>
          <t>2000-04-27</t>
        </is>
      </c>
      <c r="W371" t="inlineStr">
        <is>
          <t>1997-05-02</t>
        </is>
      </c>
      <c r="X371" t="inlineStr">
        <is>
          <t>1997-05-02</t>
        </is>
      </c>
      <c r="Y371" t="n">
        <v>406</v>
      </c>
      <c r="Z371" t="n">
        <v>212</v>
      </c>
      <c r="AA371" t="n">
        <v>213</v>
      </c>
      <c r="AB371" t="n">
        <v>3</v>
      </c>
      <c r="AC371" t="n">
        <v>3</v>
      </c>
      <c r="AD371" t="n">
        <v>8</v>
      </c>
      <c r="AE371" t="n">
        <v>8</v>
      </c>
      <c r="AF371" t="n">
        <v>1</v>
      </c>
      <c r="AG371" t="n">
        <v>1</v>
      </c>
      <c r="AH371" t="n">
        <v>0</v>
      </c>
      <c r="AI371" t="n">
        <v>0</v>
      </c>
      <c r="AJ371" t="n">
        <v>5</v>
      </c>
      <c r="AK371" t="n">
        <v>5</v>
      </c>
      <c r="AL371" t="n">
        <v>2</v>
      </c>
      <c r="AM371" t="n">
        <v>2</v>
      </c>
      <c r="AN371" t="n">
        <v>0</v>
      </c>
      <c r="AO371" t="n">
        <v>0</v>
      </c>
      <c r="AP371" t="inlineStr">
        <is>
          <t>No</t>
        </is>
      </c>
      <c r="AQ371" t="inlineStr">
        <is>
          <t>No</t>
        </is>
      </c>
      <c r="AS371">
        <f>HYPERLINK("https://creighton-primo.hosted.exlibrisgroup.com/primo-explore/search?tab=default_tab&amp;search_scope=EVERYTHING&amp;vid=01CRU&amp;lang=en_US&amp;offset=0&amp;query=any,contains,991004436539702656","Catalog Record")</f>
        <v/>
      </c>
      <c r="AT371">
        <f>HYPERLINK("http://www.worldcat.org/oclc/3444932","WorldCat Record")</f>
        <v/>
      </c>
      <c r="AU371" t="inlineStr">
        <is>
          <t>10772073:eng</t>
        </is>
      </c>
      <c r="AV371" t="inlineStr">
        <is>
          <t>3444932</t>
        </is>
      </c>
      <c r="AW371" t="inlineStr">
        <is>
          <t>991004436539702656</t>
        </is>
      </c>
      <c r="AX371" t="inlineStr">
        <is>
          <t>991004436539702656</t>
        </is>
      </c>
      <c r="AY371" t="inlineStr">
        <is>
          <t>2267472250002656</t>
        </is>
      </c>
      <c r="AZ371" t="inlineStr">
        <is>
          <t>BOOK</t>
        </is>
      </c>
      <c r="BB371" t="inlineStr">
        <is>
          <t>9780710085122</t>
        </is>
      </c>
      <c r="BC371" t="inlineStr">
        <is>
          <t>32285002631538</t>
        </is>
      </c>
      <c r="BD371" t="inlineStr">
        <is>
          <t>893241430</t>
        </is>
      </c>
    </row>
    <row r="372">
      <c r="A372" t="inlineStr">
        <is>
          <t>No</t>
        </is>
      </c>
      <c r="B372" t="inlineStr">
        <is>
          <t>LB1032 .B76 1999</t>
        </is>
      </c>
      <c r="C372" t="inlineStr">
        <is>
          <t>0                      LB 1032000B  76          1999</t>
        </is>
      </c>
      <c r="D372" t="inlineStr">
        <is>
          <t>Collaborative learning : higher education, interdependence, and the authority of knowledge / Kenneth A. Bruffee.</t>
        </is>
      </c>
      <c r="F372" t="inlineStr">
        <is>
          <t>No</t>
        </is>
      </c>
      <c r="G372" t="inlineStr">
        <is>
          <t>1</t>
        </is>
      </c>
      <c r="H372" t="inlineStr">
        <is>
          <t>No</t>
        </is>
      </c>
      <c r="I372" t="inlineStr">
        <is>
          <t>No</t>
        </is>
      </c>
      <c r="J372" t="inlineStr">
        <is>
          <t>0</t>
        </is>
      </c>
      <c r="K372" t="inlineStr">
        <is>
          <t>Bruffee, Kenneth A.</t>
        </is>
      </c>
      <c r="L372" t="inlineStr">
        <is>
          <t>Baltimore, Md. : John Hopkins University Press, 1999.</t>
        </is>
      </c>
      <c r="M372" t="inlineStr">
        <is>
          <t>1999</t>
        </is>
      </c>
      <c r="N372" t="inlineStr">
        <is>
          <t>2nd ed.</t>
        </is>
      </c>
      <c r="O372" t="inlineStr">
        <is>
          <t>eng</t>
        </is>
      </c>
      <c r="P372" t="inlineStr">
        <is>
          <t>mdu</t>
        </is>
      </c>
      <c r="R372" t="inlineStr">
        <is>
          <t xml:space="preserve">LB </t>
        </is>
      </c>
      <c r="S372" t="n">
        <v>2</v>
      </c>
      <c r="T372" t="n">
        <v>2</v>
      </c>
      <c r="U372" t="inlineStr">
        <is>
          <t>2010-10-07</t>
        </is>
      </c>
      <c r="V372" t="inlineStr">
        <is>
          <t>2010-10-07</t>
        </is>
      </c>
      <c r="W372" t="inlineStr">
        <is>
          <t>2003-11-24</t>
        </is>
      </c>
      <c r="X372" t="inlineStr">
        <is>
          <t>2003-11-24</t>
        </is>
      </c>
      <c r="Y372" t="n">
        <v>470</v>
      </c>
      <c r="Z372" t="n">
        <v>365</v>
      </c>
      <c r="AA372" t="n">
        <v>1249</v>
      </c>
      <c r="AB372" t="n">
        <v>4</v>
      </c>
      <c r="AC372" t="n">
        <v>9</v>
      </c>
      <c r="AD372" t="n">
        <v>16</v>
      </c>
      <c r="AE372" t="n">
        <v>44</v>
      </c>
      <c r="AF372" t="n">
        <v>5</v>
      </c>
      <c r="AG372" t="n">
        <v>17</v>
      </c>
      <c r="AH372" t="n">
        <v>2</v>
      </c>
      <c r="AI372" t="n">
        <v>9</v>
      </c>
      <c r="AJ372" t="n">
        <v>8</v>
      </c>
      <c r="AK372" t="n">
        <v>20</v>
      </c>
      <c r="AL372" t="n">
        <v>3</v>
      </c>
      <c r="AM372" t="n">
        <v>8</v>
      </c>
      <c r="AN372" t="n">
        <v>1</v>
      </c>
      <c r="AO372" t="n">
        <v>2</v>
      </c>
      <c r="AP372" t="inlineStr">
        <is>
          <t>No</t>
        </is>
      </c>
      <c r="AQ372" t="inlineStr">
        <is>
          <t>Yes</t>
        </is>
      </c>
      <c r="AR372">
        <f>HYPERLINK("http://catalog.hathitrust.org/Record/004015954","HathiTrust Record")</f>
        <v/>
      </c>
      <c r="AS372">
        <f>HYPERLINK("https://creighton-primo.hosted.exlibrisgroup.com/primo-explore/search?tab=default_tab&amp;search_scope=EVERYTHING&amp;vid=01CRU&amp;lang=en_US&amp;offset=0&amp;query=any,contains,991004188379702656","Catalog Record")</f>
        <v/>
      </c>
      <c r="AT372">
        <f>HYPERLINK("http://www.worldcat.org/oclc/40600970","WorldCat Record")</f>
        <v/>
      </c>
      <c r="AU372" t="inlineStr">
        <is>
          <t>836730838:eng</t>
        </is>
      </c>
      <c r="AV372" t="inlineStr">
        <is>
          <t>40600970</t>
        </is>
      </c>
      <c r="AW372" t="inlineStr">
        <is>
          <t>991004188379702656</t>
        </is>
      </c>
      <c r="AX372" t="inlineStr">
        <is>
          <t>991004188379702656</t>
        </is>
      </c>
      <c r="AY372" t="inlineStr">
        <is>
          <t>2259457260002656</t>
        </is>
      </c>
      <c r="AZ372" t="inlineStr">
        <is>
          <t>BOOK</t>
        </is>
      </c>
      <c r="BB372" t="inlineStr">
        <is>
          <t>9780801859731</t>
        </is>
      </c>
      <c r="BC372" t="inlineStr">
        <is>
          <t>32285004840871</t>
        </is>
      </c>
      <c r="BD372" t="inlineStr">
        <is>
          <t>893337416</t>
        </is>
      </c>
    </row>
    <row r="373">
      <c r="A373" t="inlineStr">
        <is>
          <t>No</t>
        </is>
      </c>
      <c r="B373" t="inlineStr">
        <is>
          <t>LB1032 .C537 1988</t>
        </is>
      </c>
      <c r="C373" t="inlineStr">
        <is>
          <t>0                      LB 1032000C  537         1988</t>
        </is>
      </c>
      <c r="D373" t="inlineStr">
        <is>
          <t>Circles of learning : cooperation in the classroom / David W. Johnson ... [et al.].</t>
        </is>
      </c>
      <c r="F373" t="inlineStr">
        <is>
          <t>No</t>
        </is>
      </c>
      <c r="G373" t="inlineStr">
        <is>
          <t>1</t>
        </is>
      </c>
      <c r="H373" t="inlineStr">
        <is>
          <t>No</t>
        </is>
      </c>
      <c r="I373" t="inlineStr">
        <is>
          <t>No</t>
        </is>
      </c>
      <c r="J373" t="inlineStr">
        <is>
          <t>0</t>
        </is>
      </c>
      <c r="L373" t="inlineStr">
        <is>
          <t>Alexandria, Va. : Association for Supervision and Curriculum Development, 1988, c1984.</t>
        </is>
      </c>
      <c r="M373" t="inlineStr">
        <is>
          <t>1988</t>
        </is>
      </c>
      <c r="O373" t="inlineStr">
        <is>
          <t>eng</t>
        </is>
      </c>
      <c r="P373" t="inlineStr">
        <is>
          <t>vau</t>
        </is>
      </c>
      <c r="R373" t="inlineStr">
        <is>
          <t xml:space="preserve">LB </t>
        </is>
      </c>
      <c r="S373" t="n">
        <v>4</v>
      </c>
      <c r="T373" t="n">
        <v>4</v>
      </c>
      <c r="U373" t="inlineStr">
        <is>
          <t>2002-10-03</t>
        </is>
      </c>
      <c r="V373" t="inlineStr">
        <is>
          <t>2002-10-03</t>
        </is>
      </c>
      <c r="W373" t="inlineStr">
        <is>
          <t>1991-12-02</t>
        </is>
      </c>
      <c r="X373" t="inlineStr">
        <is>
          <t>1991-12-02</t>
        </is>
      </c>
      <c r="Y373" t="n">
        <v>54</v>
      </c>
      <c r="Z373" t="n">
        <v>52</v>
      </c>
      <c r="AA373" t="n">
        <v>941</v>
      </c>
      <c r="AB373" t="n">
        <v>1</v>
      </c>
      <c r="AC373" t="n">
        <v>11</v>
      </c>
      <c r="AD373" t="n">
        <v>1</v>
      </c>
      <c r="AE373" t="n">
        <v>32</v>
      </c>
      <c r="AF373" t="n">
        <v>0</v>
      </c>
      <c r="AG373" t="n">
        <v>12</v>
      </c>
      <c r="AH373" t="n">
        <v>1</v>
      </c>
      <c r="AI373" t="n">
        <v>4</v>
      </c>
      <c r="AJ373" t="n">
        <v>0</v>
      </c>
      <c r="AK373" t="n">
        <v>12</v>
      </c>
      <c r="AL373" t="n">
        <v>0</v>
      </c>
      <c r="AM373" t="n">
        <v>9</v>
      </c>
      <c r="AN373" t="n">
        <v>0</v>
      </c>
      <c r="AO373" t="n">
        <v>0</v>
      </c>
      <c r="AP373" t="inlineStr">
        <is>
          <t>No</t>
        </is>
      </c>
      <c r="AQ373" t="inlineStr">
        <is>
          <t>No</t>
        </is>
      </c>
      <c r="AS373">
        <f>HYPERLINK("https://creighton-primo.hosted.exlibrisgroup.com/primo-explore/search?tab=default_tab&amp;search_scope=EVERYTHING&amp;vid=01CRU&amp;lang=en_US&amp;offset=0&amp;query=any,contains,991001867719702656","Catalog Record")</f>
        <v/>
      </c>
      <c r="AT373">
        <f>HYPERLINK("http://www.worldcat.org/oclc/23472565","WorldCat Record")</f>
        <v/>
      </c>
      <c r="AU373" t="inlineStr">
        <is>
          <t>54631541:eng</t>
        </is>
      </c>
      <c r="AV373" t="inlineStr">
        <is>
          <t>23472565</t>
        </is>
      </c>
      <c r="AW373" t="inlineStr">
        <is>
          <t>991001867719702656</t>
        </is>
      </c>
      <c r="AX373" t="inlineStr">
        <is>
          <t>991001867719702656</t>
        </is>
      </c>
      <c r="AY373" t="inlineStr">
        <is>
          <t>2271563930002656</t>
        </is>
      </c>
      <c r="AZ373" t="inlineStr">
        <is>
          <t>BOOK</t>
        </is>
      </c>
      <c r="BB373" t="inlineStr">
        <is>
          <t>9780871201232</t>
        </is>
      </c>
      <c r="BC373" t="inlineStr">
        <is>
          <t>32285000855089</t>
        </is>
      </c>
      <c r="BD373" t="inlineStr">
        <is>
          <t>893497496</t>
        </is>
      </c>
    </row>
    <row r="374">
      <c r="A374" t="inlineStr">
        <is>
          <t>No</t>
        </is>
      </c>
      <c r="B374" t="inlineStr">
        <is>
          <t>LB1032 .C594 1990</t>
        </is>
      </c>
      <c r="C374" t="inlineStr">
        <is>
          <t>0                      LB 1032000C  594         1990</t>
        </is>
      </c>
      <c r="D374" t="inlineStr">
        <is>
          <t>Cooperative learning : theory and research / edited by Shlomo Sharan.</t>
        </is>
      </c>
      <c r="F374" t="inlineStr">
        <is>
          <t>No</t>
        </is>
      </c>
      <c r="G374" t="inlineStr">
        <is>
          <t>1</t>
        </is>
      </c>
      <c r="H374" t="inlineStr">
        <is>
          <t>No</t>
        </is>
      </c>
      <c r="I374" t="inlineStr">
        <is>
          <t>No</t>
        </is>
      </c>
      <c r="J374" t="inlineStr">
        <is>
          <t>0</t>
        </is>
      </c>
      <c r="L374" t="inlineStr">
        <is>
          <t>New York : Praeger, 1990.</t>
        </is>
      </c>
      <c r="M374" t="inlineStr">
        <is>
          <t>1990</t>
        </is>
      </c>
      <c r="O374" t="inlineStr">
        <is>
          <t>eng</t>
        </is>
      </c>
      <c r="P374" t="inlineStr">
        <is>
          <t>nyu</t>
        </is>
      </c>
      <c r="R374" t="inlineStr">
        <is>
          <t xml:space="preserve">LB </t>
        </is>
      </c>
      <c r="S374" t="n">
        <v>6</v>
      </c>
      <c r="T374" t="n">
        <v>6</v>
      </c>
      <c r="U374" t="inlineStr">
        <is>
          <t>2005-09-27</t>
        </is>
      </c>
      <c r="V374" t="inlineStr">
        <is>
          <t>2005-09-27</t>
        </is>
      </c>
      <c r="W374" t="inlineStr">
        <is>
          <t>1990-12-06</t>
        </is>
      </c>
      <c r="X374" t="inlineStr">
        <is>
          <t>1990-12-06</t>
        </is>
      </c>
      <c r="Y374" t="n">
        <v>711</v>
      </c>
      <c r="Z374" t="n">
        <v>604</v>
      </c>
      <c r="AA374" t="n">
        <v>609</v>
      </c>
      <c r="AB374" t="n">
        <v>7</v>
      </c>
      <c r="AC374" t="n">
        <v>7</v>
      </c>
      <c r="AD374" t="n">
        <v>27</v>
      </c>
      <c r="AE374" t="n">
        <v>27</v>
      </c>
      <c r="AF374" t="n">
        <v>10</v>
      </c>
      <c r="AG374" t="n">
        <v>10</v>
      </c>
      <c r="AH374" t="n">
        <v>6</v>
      </c>
      <c r="AI374" t="n">
        <v>6</v>
      </c>
      <c r="AJ374" t="n">
        <v>10</v>
      </c>
      <c r="AK374" t="n">
        <v>10</v>
      </c>
      <c r="AL374" t="n">
        <v>6</v>
      </c>
      <c r="AM374" t="n">
        <v>6</v>
      </c>
      <c r="AN374" t="n">
        <v>0</v>
      </c>
      <c r="AO374" t="n">
        <v>0</v>
      </c>
      <c r="AP374" t="inlineStr">
        <is>
          <t>No</t>
        </is>
      </c>
      <c r="AQ374" t="inlineStr">
        <is>
          <t>Yes</t>
        </is>
      </c>
      <c r="AR374">
        <f>HYPERLINK("http://catalog.hathitrust.org/Record/001948581","HathiTrust Record")</f>
        <v/>
      </c>
      <c r="AS374">
        <f>HYPERLINK("https://creighton-primo.hosted.exlibrisgroup.com/primo-explore/search?tab=default_tab&amp;search_scope=EVERYTHING&amp;vid=01CRU&amp;lang=en_US&amp;offset=0&amp;query=any,contains,991001534319702656","Catalog Record")</f>
        <v/>
      </c>
      <c r="AT374">
        <f>HYPERLINK("http://www.worldcat.org/oclc/20057131","WorldCat Record")</f>
        <v/>
      </c>
      <c r="AU374" t="inlineStr">
        <is>
          <t>889757363:eng</t>
        </is>
      </c>
      <c r="AV374" t="inlineStr">
        <is>
          <t>20057131</t>
        </is>
      </c>
      <c r="AW374" t="inlineStr">
        <is>
          <t>991001534319702656</t>
        </is>
      </c>
      <c r="AX374" t="inlineStr">
        <is>
          <t>991001534319702656</t>
        </is>
      </c>
      <c r="AY374" t="inlineStr">
        <is>
          <t>2269880100002656</t>
        </is>
      </c>
      <c r="AZ374" t="inlineStr">
        <is>
          <t>BOOK</t>
        </is>
      </c>
      <c r="BB374" t="inlineStr">
        <is>
          <t>9780275928872</t>
        </is>
      </c>
      <c r="BC374" t="inlineStr">
        <is>
          <t>32285000358811</t>
        </is>
      </c>
      <c r="BD374" t="inlineStr">
        <is>
          <t>893225910</t>
        </is>
      </c>
    </row>
    <row r="375">
      <c r="A375" t="inlineStr">
        <is>
          <t>No</t>
        </is>
      </c>
      <c r="B375" t="inlineStr">
        <is>
          <t>LB1032 .C87 1996</t>
        </is>
      </c>
      <c r="C375" t="inlineStr">
        <is>
          <t>0                      LB 1032000C  87          1996</t>
        </is>
      </c>
      <c r="D375" t="inlineStr">
        <is>
          <t>Cooperative learning : a pedagogy for addressing contemporary challenges &amp; critical issues in higher education / Joseph B. Cuseo.</t>
        </is>
      </c>
      <c r="F375" t="inlineStr">
        <is>
          <t>No</t>
        </is>
      </c>
      <c r="G375" t="inlineStr">
        <is>
          <t>1</t>
        </is>
      </c>
      <c r="H375" t="inlineStr">
        <is>
          <t>No</t>
        </is>
      </c>
      <c r="I375" t="inlineStr">
        <is>
          <t>No</t>
        </is>
      </c>
      <c r="J375" t="inlineStr">
        <is>
          <t>0</t>
        </is>
      </c>
      <c r="K375" t="inlineStr">
        <is>
          <t>Cuseo, Joseph B.</t>
        </is>
      </c>
      <c r="L375" t="inlineStr">
        <is>
          <t>Stillwater, OK : New Forums Press, c1996.</t>
        </is>
      </c>
      <c r="M375" t="inlineStr">
        <is>
          <t>1996</t>
        </is>
      </c>
      <c r="O375" t="inlineStr">
        <is>
          <t>eng</t>
        </is>
      </c>
      <c r="P375" t="inlineStr">
        <is>
          <t>oku</t>
        </is>
      </c>
      <c r="R375" t="inlineStr">
        <is>
          <t xml:space="preserve">LB </t>
        </is>
      </c>
      <c r="S375" t="n">
        <v>4</v>
      </c>
      <c r="T375" t="n">
        <v>4</v>
      </c>
      <c r="U375" t="inlineStr">
        <is>
          <t>2005-10-25</t>
        </is>
      </c>
      <c r="V375" t="inlineStr">
        <is>
          <t>2005-10-25</t>
        </is>
      </c>
      <c r="W375" t="inlineStr">
        <is>
          <t>2003-11-25</t>
        </is>
      </c>
      <c r="X375" t="inlineStr">
        <is>
          <t>2003-11-25</t>
        </is>
      </c>
      <c r="Y375" t="n">
        <v>42</v>
      </c>
      <c r="Z375" t="n">
        <v>29</v>
      </c>
      <c r="AA375" t="n">
        <v>30</v>
      </c>
      <c r="AB375" t="n">
        <v>1</v>
      </c>
      <c r="AC375" t="n">
        <v>1</v>
      </c>
      <c r="AD375" t="n">
        <v>1</v>
      </c>
      <c r="AE375" t="n">
        <v>1</v>
      </c>
      <c r="AF375" t="n">
        <v>1</v>
      </c>
      <c r="AG375" t="n">
        <v>1</v>
      </c>
      <c r="AH375" t="n">
        <v>1</v>
      </c>
      <c r="AI375" t="n">
        <v>1</v>
      </c>
      <c r="AJ375" t="n">
        <v>0</v>
      </c>
      <c r="AK375" t="n">
        <v>0</v>
      </c>
      <c r="AL375" t="n">
        <v>0</v>
      </c>
      <c r="AM375" t="n">
        <v>0</v>
      </c>
      <c r="AN375" t="n">
        <v>0</v>
      </c>
      <c r="AO375" t="n">
        <v>0</v>
      </c>
      <c r="AP375" t="inlineStr">
        <is>
          <t>No</t>
        </is>
      </c>
      <c r="AQ375" t="inlineStr">
        <is>
          <t>No</t>
        </is>
      </c>
      <c r="AS375">
        <f>HYPERLINK("https://creighton-primo.hosted.exlibrisgroup.com/primo-explore/search?tab=default_tab&amp;search_scope=EVERYTHING&amp;vid=01CRU&amp;lang=en_US&amp;offset=0&amp;query=any,contains,991004193239702656","Catalog Record")</f>
        <v/>
      </c>
      <c r="AT375">
        <f>HYPERLINK("http://www.worldcat.org/oclc/36925824","WorldCat Record")</f>
        <v/>
      </c>
      <c r="AU375" t="inlineStr">
        <is>
          <t>41213250:eng</t>
        </is>
      </c>
      <c r="AV375" t="inlineStr">
        <is>
          <t>36925824</t>
        </is>
      </c>
      <c r="AW375" t="inlineStr">
        <is>
          <t>991004193239702656</t>
        </is>
      </c>
      <c r="AX375" t="inlineStr">
        <is>
          <t>991004193239702656</t>
        </is>
      </c>
      <c r="AY375" t="inlineStr">
        <is>
          <t>2268878680002656</t>
        </is>
      </c>
      <c r="AZ375" t="inlineStr">
        <is>
          <t>BOOK</t>
        </is>
      </c>
      <c r="BC375" t="inlineStr">
        <is>
          <t>32285004842091</t>
        </is>
      </c>
      <c r="BD375" t="inlineStr">
        <is>
          <t>893229032</t>
        </is>
      </c>
    </row>
    <row r="376">
      <c r="A376" t="inlineStr">
        <is>
          <t>No</t>
        </is>
      </c>
      <c r="B376" t="inlineStr">
        <is>
          <t>LB1032 .D53 1984</t>
        </is>
      </c>
      <c r="C376" t="inlineStr">
        <is>
          <t>0                      LB 1032000D  53          1984</t>
        </is>
      </c>
      <c r="D376" t="inlineStr">
        <is>
          <t>A guidebook for cooperative learning : a technique for creating more effective schools / Dee Dishon, Pat Wilson O'Leary ; foreword by David W. Johnson, Roger T. Johnson.</t>
        </is>
      </c>
      <c r="F376" t="inlineStr">
        <is>
          <t>No</t>
        </is>
      </c>
      <c r="G376" t="inlineStr">
        <is>
          <t>1</t>
        </is>
      </c>
      <c r="H376" t="inlineStr">
        <is>
          <t>No</t>
        </is>
      </c>
      <c r="I376" t="inlineStr">
        <is>
          <t>No</t>
        </is>
      </c>
      <c r="J376" t="inlineStr">
        <is>
          <t>0</t>
        </is>
      </c>
      <c r="K376" t="inlineStr">
        <is>
          <t>Dishon, Dee.</t>
        </is>
      </c>
      <c r="L376" t="inlineStr">
        <is>
          <t>Holmes Beach, Fla. : Learning Publications, c1984.</t>
        </is>
      </c>
      <c r="M376" t="inlineStr">
        <is>
          <t>1984</t>
        </is>
      </c>
      <c r="O376" t="inlineStr">
        <is>
          <t>eng</t>
        </is>
      </c>
      <c r="P376" t="inlineStr">
        <is>
          <t>flu</t>
        </is>
      </c>
      <c r="R376" t="inlineStr">
        <is>
          <t xml:space="preserve">LB </t>
        </is>
      </c>
      <c r="S376" t="n">
        <v>7</v>
      </c>
      <c r="T376" t="n">
        <v>7</v>
      </c>
      <c r="U376" t="inlineStr">
        <is>
          <t>2005-10-25</t>
        </is>
      </c>
      <c r="V376" t="inlineStr">
        <is>
          <t>2005-10-25</t>
        </is>
      </c>
      <c r="W376" t="inlineStr">
        <is>
          <t>1992-10-23</t>
        </is>
      </c>
      <c r="X376" t="inlineStr">
        <is>
          <t>1992-10-23</t>
        </is>
      </c>
      <c r="Y376" t="n">
        <v>269</v>
      </c>
      <c r="Z376" t="n">
        <v>239</v>
      </c>
      <c r="AA376" t="n">
        <v>319</v>
      </c>
      <c r="AB376" t="n">
        <v>8</v>
      </c>
      <c r="AC376" t="n">
        <v>9</v>
      </c>
      <c r="AD376" t="n">
        <v>11</v>
      </c>
      <c r="AE376" t="n">
        <v>14</v>
      </c>
      <c r="AF376" t="n">
        <v>4</v>
      </c>
      <c r="AG376" t="n">
        <v>5</v>
      </c>
      <c r="AH376" t="n">
        <v>1</v>
      </c>
      <c r="AI376" t="n">
        <v>2</v>
      </c>
      <c r="AJ376" t="n">
        <v>5</v>
      </c>
      <c r="AK376" t="n">
        <v>5</v>
      </c>
      <c r="AL376" t="n">
        <v>3</v>
      </c>
      <c r="AM376" t="n">
        <v>4</v>
      </c>
      <c r="AN376" t="n">
        <v>0</v>
      </c>
      <c r="AO376" t="n">
        <v>0</v>
      </c>
      <c r="AP376" t="inlineStr">
        <is>
          <t>No</t>
        </is>
      </c>
      <c r="AQ376" t="inlineStr">
        <is>
          <t>No</t>
        </is>
      </c>
      <c r="AS376">
        <f>HYPERLINK("https://creighton-primo.hosted.exlibrisgroup.com/primo-explore/search?tab=default_tab&amp;search_scope=EVERYTHING&amp;vid=01CRU&amp;lang=en_US&amp;offset=0&amp;query=any,contains,991000499629702656","Catalog Record")</f>
        <v/>
      </c>
      <c r="AT376">
        <f>HYPERLINK("http://www.worldcat.org/oclc/11160364","WorldCat Record")</f>
        <v/>
      </c>
      <c r="AU376" t="inlineStr">
        <is>
          <t>3889793:eng</t>
        </is>
      </c>
      <c r="AV376" t="inlineStr">
        <is>
          <t>11160364</t>
        </is>
      </c>
      <c r="AW376" t="inlineStr">
        <is>
          <t>991000499629702656</t>
        </is>
      </c>
      <c r="AX376" t="inlineStr">
        <is>
          <t>991000499629702656</t>
        </is>
      </c>
      <c r="AY376" t="inlineStr">
        <is>
          <t>2258032500002656</t>
        </is>
      </c>
      <c r="AZ376" t="inlineStr">
        <is>
          <t>BOOK</t>
        </is>
      </c>
      <c r="BB376" t="inlineStr">
        <is>
          <t>9780918452580</t>
        </is>
      </c>
      <c r="BC376" t="inlineStr">
        <is>
          <t>32285001376168</t>
        </is>
      </c>
      <c r="BD376" t="inlineStr">
        <is>
          <t>893702175</t>
        </is>
      </c>
    </row>
    <row r="377">
      <c r="A377" t="inlineStr">
        <is>
          <t>No</t>
        </is>
      </c>
      <c r="B377" t="inlineStr">
        <is>
          <t>LB1032 .F69 1991</t>
        </is>
      </c>
      <c r="C377" t="inlineStr">
        <is>
          <t>0                      LB 1032000F  69          1991</t>
        </is>
      </c>
      <c r="D377" t="inlineStr">
        <is>
          <t>Cooperative learning in the early childhood classroom / Harvey C. Foyle, Lawrence Lyman, Sandra Alexander Thies.</t>
        </is>
      </c>
      <c r="F377" t="inlineStr">
        <is>
          <t>No</t>
        </is>
      </c>
      <c r="G377" t="inlineStr">
        <is>
          <t>1</t>
        </is>
      </c>
      <c r="H377" t="inlineStr">
        <is>
          <t>No</t>
        </is>
      </c>
      <c r="I377" t="inlineStr">
        <is>
          <t>No</t>
        </is>
      </c>
      <c r="J377" t="inlineStr">
        <is>
          <t>0</t>
        </is>
      </c>
      <c r="K377" t="inlineStr">
        <is>
          <t>Foyle, Harvey Charles.</t>
        </is>
      </c>
      <c r="L377" t="inlineStr">
        <is>
          <t>Washington, D.C. : NEA Professional Library, National Education Association, c1991.</t>
        </is>
      </c>
      <c r="M377" t="inlineStr">
        <is>
          <t>1991</t>
        </is>
      </c>
      <c r="O377" t="inlineStr">
        <is>
          <t>eng</t>
        </is>
      </c>
      <c r="P377" t="inlineStr">
        <is>
          <t>dcu</t>
        </is>
      </c>
      <c r="Q377" t="inlineStr">
        <is>
          <t>NEA early childhood education series</t>
        </is>
      </c>
      <c r="R377" t="inlineStr">
        <is>
          <t xml:space="preserve">LB </t>
        </is>
      </c>
      <c r="S377" t="n">
        <v>3</v>
      </c>
      <c r="T377" t="n">
        <v>3</v>
      </c>
      <c r="U377" t="inlineStr">
        <is>
          <t>1997-04-23</t>
        </is>
      </c>
      <c r="V377" t="inlineStr">
        <is>
          <t>1997-04-23</t>
        </is>
      </c>
      <c r="W377" t="inlineStr">
        <is>
          <t>1991-11-26</t>
        </is>
      </c>
      <c r="X377" t="inlineStr">
        <is>
          <t>1991-11-26</t>
        </is>
      </c>
      <c r="Y377" t="n">
        <v>522</v>
      </c>
      <c r="Z377" t="n">
        <v>508</v>
      </c>
      <c r="AA377" t="n">
        <v>509</v>
      </c>
      <c r="AB377" t="n">
        <v>7</v>
      </c>
      <c r="AC377" t="n">
        <v>7</v>
      </c>
      <c r="AD377" t="n">
        <v>16</v>
      </c>
      <c r="AE377" t="n">
        <v>16</v>
      </c>
      <c r="AF377" t="n">
        <v>6</v>
      </c>
      <c r="AG377" t="n">
        <v>6</v>
      </c>
      <c r="AH377" t="n">
        <v>2</v>
      </c>
      <c r="AI377" t="n">
        <v>2</v>
      </c>
      <c r="AJ377" t="n">
        <v>7</v>
      </c>
      <c r="AK377" t="n">
        <v>7</v>
      </c>
      <c r="AL377" t="n">
        <v>5</v>
      </c>
      <c r="AM377" t="n">
        <v>5</v>
      </c>
      <c r="AN377" t="n">
        <v>0</v>
      </c>
      <c r="AO377" t="n">
        <v>0</v>
      </c>
      <c r="AP377" t="inlineStr">
        <is>
          <t>No</t>
        </is>
      </c>
      <c r="AQ377" t="inlineStr">
        <is>
          <t>No</t>
        </is>
      </c>
      <c r="AS377">
        <f>HYPERLINK("https://creighton-primo.hosted.exlibrisgroup.com/primo-explore/search?tab=default_tab&amp;search_scope=EVERYTHING&amp;vid=01CRU&amp;lang=en_US&amp;offset=0&amp;query=any,contains,991001904639702656","Catalog Record")</f>
        <v/>
      </c>
      <c r="AT377">
        <f>HYPERLINK("http://www.worldcat.org/oclc/24066656","WorldCat Record")</f>
        <v/>
      </c>
      <c r="AU377" t="inlineStr">
        <is>
          <t>1075739:eng</t>
        </is>
      </c>
      <c r="AV377" t="inlineStr">
        <is>
          <t>24066656</t>
        </is>
      </c>
      <c r="AW377" t="inlineStr">
        <is>
          <t>991001904639702656</t>
        </is>
      </c>
      <c r="AX377" t="inlineStr">
        <is>
          <t>991001904639702656</t>
        </is>
      </c>
      <c r="AY377" t="inlineStr">
        <is>
          <t>2262075410002656</t>
        </is>
      </c>
      <c r="AZ377" t="inlineStr">
        <is>
          <t>BOOK</t>
        </is>
      </c>
      <c r="BB377" t="inlineStr">
        <is>
          <t>9780810603615</t>
        </is>
      </c>
      <c r="BC377" t="inlineStr">
        <is>
          <t>32285000834571</t>
        </is>
      </c>
      <c r="BD377" t="inlineStr">
        <is>
          <t>893621703</t>
        </is>
      </c>
    </row>
    <row r="378">
      <c r="A378" t="inlineStr">
        <is>
          <t>No</t>
        </is>
      </c>
      <c r="B378" t="inlineStr">
        <is>
          <t>LB1032 .G769 1998</t>
        </is>
      </c>
      <c r="C378" t="inlineStr">
        <is>
          <t>0                      LB 1032000G  769         1998</t>
        </is>
      </c>
      <c r="D378" t="inlineStr">
        <is>
          <t>Groupwork in diverse classrooms : a casebook for educators / editors, Judith H. Shulman, Rachel A. Lotan, Jennifer A. Whitcomb ; foreword, Linda Darling-Hammond ; case writers, Chris Alger ... [et al.].</t>
        </is>
      </c>
      <c r="F378" t="inlineStr">
        <is>
          <t>No</t>
        </is>
      </c>
      <c r="G378" t="inlineStr">
        <is>
          <t>1</t>
        </is>
      </c>
      <c r="H378" t="inlineStr">
        <is>
          <t>No</t>
        </is>
      </c>
      <c r="I378" t="inlineStr">
        <is>
          <t>No</t>
        </is>
      </c>
      <c r="J378" t="inlineStr">
        <is>
          <t>0</t>
        </is>
      </c>
      <c r="L378" t="inlineStr">
        <is>
          <t>New York : Teachers College Press, c1998.</t>
        </is>
      </c>
      <c r="M378" t="inlineStr">
        <is>
          <t>1998</t>
        </is>
      </c>
      <c r="O378" t="inlineStr">
        <is>
          <t>eng</t>
        </is>
      </c>
      <c r="P378" t="inlineStr">
        <is>
          <t>nyu</t>
        </is>
      </c>
      <c r="R378" t="inlineStr">
        <is>
          <t xml:space="preserve">LB </t>
        </is>
      </c>
      <c r="S378" t="n">
        <v>5</v>
      </c>
      <c r="T378" t="n">
        <v>5</v>
      </c>
      <c r="U378" t="inlineStr">
        <is>
          <t>2000-09-13</t>
        </is>
      </c>
      <c r="V378" t="inlineStr">
        <is>
          <t>2000-09-13</t>
        </is>
      </c>
      <c r="W378" t="inlineStr">
        <is>
          <t>1998-10-21</t>
        </is>
      </c>
      <c r="X378" t="inlineStr">
        <is>
          <t>1998-10-21</t>
        </is>
      </c>
      <c r="Y378" t="n">
        <v>635</v>
      </c>
      <c r="Z378" t="n">
        <v>568</v>
      </c>
      <c r="AA378" t="n">
        <v>619</v>
      </c>
      <c r="AB378" t="n">
        <v>4</v>
      </c>
      <c r="AC378" t="n">
        <v>4</v>
      </c>
      <c r="AD378" t="n">
        <v>29</v>
      </c>
      <c r="AE378" t="n">
        <v>30</v>
      </c>
      <c r="AF378" t="n">
        <v>14</v>
      </c>
      <c r="AG378" t="n">
        <v>14</v>
      </c>
      <c r="AH378" t="n">
        <v>6</v>
      </c>
      <c r="AI378" t="n">
        <v>7</v>
      </c>
      <c r="AJ378" t="n">
        <v>14</v>
      </c>
      <c r="AK378" t="n">
        <v>15</v>
      </c>
      <c r="AL378" t="n">
        <v>3</v>
      </c>
      <c r="AM378" t="n">
        <v>3</v>
      </c>
      <c r="AN378" t="n">
        <v>0</v>
      </c>
      <c r="AO378" t="n">
        <v>0</v>
      </c>
      <c r="AP378" t="inlineStr">
        <is>
          <t>No</t>
        </is>
      </c>
      <c r="AQ378" t="inlineStr">
        <is>
          <t>No</t>
        </is>
      </c>
      <c r="AS378">
        <f>HYPERLINK("https://creighton-primo.hosted.exlibrisgroup.com/primo-explore/search?tab=default_tab&amp;search_scope=EVERYTHING&amp;vid=01CRU&amp;lang=en_US&amp;offset=0&amp;query=any,contains,991002841099702656","Catalog Record")</f>
        <v/>
      </c>
      <c r="AT378">
        <f>HYPERLINK("http://www.worldcat.org/oclc/37432829","WorldCat Record")</f>
        <v/>
      </c>
      <c r="AU378" t="inlineStr">
        <is>
          <t>917379643:eng</t>
        </is>
      </c>
      <c r="AV378" t="inlineStr">
        <is>
          <t>37432829</t>
        </is>
      </c>
      <c r="AW378" t="inlineStr">
        <is>
          <t>991002841099702656</t>
        </is>
      </c>
      <c r="AX378" t="inlineStr">
        <is>
          <t>991002841099702656</t>
        </is>
      </c>
      <c r="AY378" t="inlineStr">
        <is>
          <t>2264845760002656</t>
        </is>
      </c>
      <c r="AZ378" t="inlineStr">
        <is>
          <t>BOOK</t>
        </is>
      </c>
      <c r="BB378" t="inlineStr">
        <is>
          <t>9780807737019</t>
        </is>
      </c>
      <c r="BC378" t="inlineStr">
        <is>
          <t>32285003476206</t>
        </is>
      </c>
      <c r="BD378" t="inlineStr">
        <is>
          <t>893434358</t>
        </is>
      </c>
    </row>
    <row r="379">
      <c r="A379" t="inlineStr">
        <is>
          <t>No</t>
        </is>
      </c>
      <c r="B379" t="inlineStr">
        <is>
          <t>LB1032 .G78 2000</t>
        </is>
      </c>
      <c r="C379" t="inlineStr">
        <is>
          <t>0                      LB 1032000G  78          2000</t>
        </is>
      </c>
      <c r="D379" t="inlineStr">
        <is>
          <t>Using student teams in the classroom : a faculty guide / Ruth Federman Stein, Sandra Hurd ; foreword by Mara Sapon-Shevin.</t>
        </is>
      </c>
      <c r="F379" t="inlineStr">
        <is>
          <t>No</t>
        </is>
      </c>
      <c r="G379" t="inlineStr">
        <is>
          <t>1</t>
        </is>
      </c>
      <c r="H379" t="inlineStr">
        <is>
          <t>No</t>
        </is>
      </c>
      <c r="I379" t="inlineStr">
        <is>
          <t>No</t>
        </is>
      </c>
      <c r="J379" t="inlineStr">
        <is>
          <t>0</t>
        </is>
      </c>
      <c r="K379" t="inlineStr">
        <is>
          <t>Stein, Ruth Federman.</t>
        </is>
      </c>
      <c r="L379" t="inlineStr">
        <is>
          <t>Bolton, Mass. : Anker Pub., c2000.</t>
        </is>
      </c>
      <c r="M379" t="inlineStr">
        <is>
          <t>2000</t>
        </is>
      </c>
      <c r="O379" t="inlineStr">
        <is>
          <t>eng</t>
        </is>
      </c>
      <c r="P379" t="inlineStr">
        <is>
          <t>mau</t>
        </is>
      </c>
      <c r="R379" t="inlineStr">
        <is>
          <t xml:space="preserve">LB </t>
        </is>
      </c>
      <c r="S379" t="n">
        <v>4</v>
      </c>
      <c r="T379" t="n">
        <v>4</v>
      </c>
      <c r="U379" t="inlineStr">
        <is>
          <t>2005-10-25</t>
        </is>
      </c>
      <c r="V379" t="inlineStr">
        <is>
          <t>2005-10-25</t>
        </is>
      </c>
      <c r="W379" t="inlineStr">
        <is>
          <t>2003-11-25</t>
        </is>
      </c>
      <c r="X379" t="inlineStr">
        <is>
          <t>2003-11-25</t>
        </is>
      </c>
      <c r="Y379" t="n">
        <v>419</v>
      </c>
      <c r="Z379" t="n">
        <v>384</v>
      </c>
      <c r="AA379" t="n">
        <v>391</v>
      </c>
      <c r="AB379" t="n">
        <v>4</v>
      </c>
      <c r="AC379" t="n">
        <v>4</v>
      </c>
      <c r="AD379" t="n">
        <v>18</v>
      </c>
      <c r="AE379" t="n">
        <v>18</v>
      </c>
      <c r="AF379" t="n">
        <v>8</v>
      </c>
      <c r="AG379" t="n">
        <v>8</v>
      </c>
      <c r="AH379" t="n">
        <v>3</v>
      </c>
      <c r="AI379" t="n">
        <v>3</v>
      </c>
      <c r="AJ379" t="n">
        <v>7</v>
      </c>
      <c r="AK379" t="n">
        <v>7</v>
      </c>
      <c r="AL379" t="n">
        <v>3</v>
      </c>
      <c r="AM379" t="n">
        <v>3</v>
      </c>
      <c r="AN379" t="n">
        <v>0</v>
      </c>
      <c r="AO379" t="n">
        <v>0</v>
      </c>
      <c r="AP379" t="inlineStr">
        <is>
          <t>No</t>
        </is>
      </c>
      <c r="AQ379" t="inlineStr">
        <is>
          <t>Yes</t>
        </is>
      </c>
      <c r="AR379">
        <f>HYPERLINK("http://catalog.hathitrust.org/Record/004116161","HathiTrust Record")</f>
        <v/>
      </c>
      <c r="AS379">
        <f>HYPERLINK("https://creighton-primo.hosted.exlibrisgroup.com/primo-explore/search?tab=default_tab&amp;search_scope=EVERYTHING&amp;vid=01CRU&amp;lang=en_US&amp;offset=0&amp;query=any,contains,991004191839702656","Catalog Record")</f>
        <v/>
      </c>
      <c r="AT379">
        <f>HYPERLINK("http://www.worldcat.org/oclc/45243049","WorldCat Record")</f>
        <v/>
      </c>
      <c r="AU379" t="inlineStr">
        <is>
          <t>34850776:eng</t>
        </is>
      </c>
      <c r="AV379" t="inlineStr">
        <is>
          <t>45243049</t>
        </is>
      </c>
      <c r="AW379" t="inlineStr">
        <is>
          <t>991004191839702656</t>
        </is>
      </c>
      <c r="AX379" t="inlineStr">
        <is>
          <t>991004191839702656</t>
        </is>
      </c>
      <c r="AY379" t="inlineStr">
        <is>
          <t>2269776090002656</t>
        </is>
      </c>
      <c r="AZ379" t="inlineStr">
        <is>
          <t>BOOK</t>
        </is>
      </c>
      <c r="BB379" t="inlineStr">
        <is>
          <t>9781882982370</t>
        </is>
      </c>
      <c r="BC379" t="inlineStr">
        <is>
          <t>32285004842224</t>
        </is>
      </c>
      <c r="BD379" t="inlineStr">
        <is>
          <t>893506528</t>
        </is>
      </c>
    </row>
    <row r="380">
      <c r="A380" t="inlineStr">
        <is>
          <t>No</t>
        </is>
      </c>
      <c r="B380" t="inlineStr">
        <is>
          <t>LB1032 .H64 2001</t>
        </is>
      </c>
      <c r="C380" t="inlineStr">
        <is>
          <t>0                      LB 1032000H  64          2001</t>
        </is>
      </c>
      <c r="D380" t="inlineStr">
        <is>
          <t>Asking the right questions : techniques for collaboration and school change / Edie L. Holcomb.</t>
        </is>
      </c>
      <c r="F380" t="inlineStr">
        <is>
          <t>No</t>
        </is>
      </c>
      <c r="G380" t="inlineStr">
        <is>
          <t>1</t>
        </is>
      </c>
      <c r="H380" t="inlineStr">
        <is>
          <t>No</t>
        </is>
      </c>
      <c r="I380" t="inlineStr">
        <is>
          <t>No</t>
        </is>
      </c>
      <c r="J380" t="inlineStr">
        <is>
          <t>0</t>
        </is>
      </c>
      <c r="K380" t="inlineStr">
        <is>
          <t>Holcomb, Edie L.</t>
        </is>
      </c>
      <c r="L380" t="inlineStr">
        <is>
          <t>Thousand Oaks, Calif. : Corwin Press, c2001.</t>
        </is>
      </c>
      <c r="M380" t="inlineStr">
        <is>
          <t>2001</t>
        </is>
      </c>
      <c r="N380" t="inlineStr">
        <is>
          <t>2nd ed.</t>
        </is>
      </c>
      <c r="O380" t="inlineStr">
        <is>
          <t>eng</t>
        </is>
      </c>
      <c r="P380" t="inlineStr">
        <is>
          <t>cau</t>
        </is>
      </c>
      <c r="R380" t="inlineStr">
        <is>
          <t xml:space="preserve">LB </t>
        </is>
      </c>
      <c r="S380" t="n">
        <v>1</v>
      </c>
      <c r="T380" t="n">
        <v>1</v>
      </c>
      <c r="U380" t="inlineStr">
        <is>
          <t>2009-02-09</t>
        </is>
      </c>
      <c r="V380" t="inlineStr">
        <is>
          <t>2009-02-09</t>
        </is>
      </c>
      <c r="W380" t="inlineStr">
        <is>
          <t>2009-02-09</t>
        </is>
      </c>
      <c r="X380" t="inlineStr">
        <is>
          <t>2009-02-09</t>
        </is>
      </c>
      <c r="Y380" t="n">
        <v>253</v>
      </c>
      <c r="Z380" t="n">
        <v>211</v>
      </c>
      <c r="AA380" t="n">
        <v>278</v>
      </c>
      <c r="AB380" t="n">
        <v>3</v>
      </c>
      <c r="AC380" t="n">
        <v>3</v>
      </c>
      <c r="AD380" t="n">
        <v>11</v>
      </c>
      <c r="AE380" t="n">
        <v>12</v>
      </c>
      <c r="AF380" t="n">
        <v>4</v>
      </c>
      <c r="AG380" t="n">
        <v>5</v>
      </c>
      <c r="AH380" t="n">
        <v>2</v>
      </c>
      <c r="AI380" t="n">
        <v>2</v>
      </c>
      <c r="AJ380" t="n">
        <v>5</v>
      </c>
      <c r="AK380" t="n">
        <v>6</v>
      </c>
      <c r="AL380" t="n">
        <v>2</v>
      </c>
      <c r="AM380" t="n">
        <v>2</v>
      </c>
      <c r="AN380" t="n">
        <v>0</v>
      </c>
      <c r="AO380" t="n">
        <v>0</v>
      </c>
      <c r="AP380" t="inlineStr">
        <is>
          <t>No</t>
        </is>
      </c>
      <c r="AQ380" t="inlineStr">
        <is>
          <t>Yes</t>
        </is>
      </c>
      <c r="AR380">
        <f>HYPERLINK("http://catalog.hathitrust.org/Record/004142666","HathiTrust Record")</f>
        <v/>
      </c>
      <c r="AS380">
        <f>HYPERLINK("https://creighton-primo.hosted.exlibrisgroup.com/primo-explore/search?tab=default_tab&amp;search_scope=EVERYTHING&amp;vid=01CRU&amp;lang=en_US&amp;offset=0&amp;query=any,contains,991005291869702656","Catalog Record")</f>
        <v/>
      </c>
      <c r="AT380">
        <f>HYPERLINK("http://www.worldcat.org/oclc/44509077","WorldCat Record")</f>
        <v/>
      </c>
      <c r="AU380" t="inlineStr">
        <is>
          <t>1807200446:eng</t>
        </is>
      </c>
      <c r="AV380" t="inlineStr">
        <is>
          <t>44509077</t>
        </is>
      </c>
      <c r="AW380" t="inlineStr">
        <is>
          <t>991005291869702656</t>
        </is>
      </c>
      <c r="AX380" t="inlineStr">
        <is>
          <t>991005291869702656</t>
        </is>
      </c>
      <c r="AY380" t="inlineStr">
        <is>
          <t>2255806700002656</t>
        </is>
      </c>
      <c r="AZ380" t="inlineStr">
        <is>
          <t>BOOK</t>
        </is>
      </c>
      <c r="BB380" t="inlineStr">
        <is>
          <t>9780761976752</t>
        </is>
      </c>
      <c r="BC380" t="inlineStr">
        <is>
          <t>32285005503247</t>
        </is>
      </c>
      <c r="BD380" t="inlineStr">
        <is>
          <t>893501647</t>
        </is>
      </c>
    </row>
    <row r="381">
      <c r="A381" t="inlineStr">
        <is>
          <t>No</t>
        </is>
      </c>
      <c r="B381" t="inlineStr">
        <is>
          <t>LB1032 .L96 1993</t>
        </is>
      </c>
      <c r="C381" t="inlineStr">
        <is>
          <t>0                      LB 1032000L  96          1993</t>
        </is>
      </c>
      <c r="D381" t="inlineStr">
        <is>
          <t>Cooperative learning in the elementary classroom / Lawrence Lyman, Harvey C. Foyle, Tara S. Azwell.</t>
        </is>
      </c>
      <c r="F381" t="inlineStr">
        <is>
          <t>No</t>
        </is>
      </c>
      <c r="G381" t="inlineStr">
        <is>
          <t>1</t>
        </is>
      </c>
      <c r="H381" t="inlineStr">
        <is>
          <t>No</t>
        </is>
      </c>
      <c r="I381" t="inlineStr">
        <is>
          <t>No</t>
        </is>
      </c>
      <c r="J381" t="inlineStr">
        <is>
          <t>0</t>
        </is>
      </c>
      <c r="K381" t="inlineStr">
        <is>
          <t>Lyman, Lawrence.</t>
        </is>
      </c>
      <c r="L381" t="inlineStr">
        <is>
          <t>[Washington, D.C.] : NEA Professional Library, c1993.</t>
        </is>
      </c>
      <c r="M381" t="inlineStr">
        <is>
          <t>1993</t>
        </is>
      </c>
      <c r="O381" t="inlineStr">
        <is>
          <t>eng</t>
        </is>
      </c>
      <c r="P381" t="inlineStr">
        <is>
          <t>dcu</t>
        </is>
      </c>
      <c r="Q381" t="inlineStr">
        <is>
          <t>Developments in classroom instruction</t>
        </is>
      </c>
      <c r="R381" t="inlineStr">
        <is>
          <t xml:space="preserve">LB </t>
        </is>
      </c>
      <c r="S381" t="n">
        <v>9</v>
      </c>
      <c r="T381" t="n">
        <v>9</v>
      </c>
      <c r="U381" t="inlineStr">
        <is>
          <t>2007-11-06</t>
        </is>
      </c>
      <c r="V381" t="inlineStr">
        <is>
          <t>2007-11-06</t>
        </is>
      </c>
      <c r="W381" t="inlineStr">
        <is>
          <t>1993-12-28</t>
        </is>
      </c>
      <c r="X381" t="inlineStr">
        <is>
          <t>1993-12-28</t>
        </is>
      </c>
      <c r="Y381" t="n">
        <v>462</v>
      </c>
      <c r="Z381" t="n">
        <v>441</v>
      </c>
      <c r="AA381" t="n">
        <v>446</v>
      </c>
      <c r="AB381" t="n">
        <v>6</v>
      </c>
      <c r="AC381" t="n">
        <v>6</v>
      </c>
      <c r="AD381" t="n">
        <v>23</v>
      </c>
      <c r="AE381" t="n">
        <v>23</v>
      </c>
      <c r="AF381" t="n">
        <v>9</v>
      </c>
      <c r="AG381" t="n">
        <v>9</v>
      </c>
      <c r="AH381" t="n">
        <v>5</v>
      </c>
      <c r="AI381" t="n">
        <v>5</v>
      </c>
      <c r="AJ381" t="n">
        <v>10</v>
      </c>
      <c r="AK381" t="n">
        <v>10</v>
      </c>
      <c r="AL381" t="n">
        <v>5</v>
      </c>
      <c r="AM381" t="n">
        <v>5</v>
      </c>
      <c r="AN381" t="n">
        <v>0</v>
      </c>
      <c r="AO381" t="n">
        <v>0</v>
      </c>
      <c r="AP381" t="inlineStr">
        <is>
          <t>No</t>
        </is>
      </c>
      <c r="AQ381" t="inlineStr">
        <is>
          <t>No</t>
        </is>
      </c>
      <c r="AS381">
        <f>HYPERLINK("https://creighton-primo.hosted.exlibrisgroup.com/primo-explore/search?tab=default_tab&amp;search_scope=EVERYTHING&amp;vid=01CRU&amp;lang=en_US&amp;offset=0&amp;query=any,contains,991002174439702656","Catalog Record")</f>
        <v/>
      </c>
      <c r="AT381">
        <f>HYPERLINK("http://www.worldcat.org/oclc/27976412","WorldCat Record")</f>
        <v/>
      </c>
      <c r="AU381" t="inlineStr">
        <is>
          <t>353316:eng</t>
        </is>
      </c>
      <c r="AV381" t="inlineStr">
        <is>
          <t>27976412</t>
        </is>
      </c>
      <c r="AW381" t="inlineStr">
        <is>
          <t>991002174439702656</t>
        </is>
      </c>
      <c r="AX381" t="inlineStr">
        <is>
          <t>991002174439702656</t>
        </is>
      </c>
      <c r="AY381" t="inlineStr">
        <is>
          <t>2258277810002656</t>
        </is>
      </c>
      <c r="AZ381" t="inlineStr">
        <is>
          <t>BOOK</t>
        </is>
      </c>
      <c r="BB381" t="inlineStr">
        <is>
          <t>9780810630420</t>
        </is>
      </c>
      <c r="BC381" t="inlineStr">
        <is>
          <t>32285001803542</t>
        </is>
      </c>
      <c r="BD381" t="inlineStr">
        <is>
          <t>893523283</t>
        </is>
      </c>
    </row>
    <row r="382">
      <c r="A382" t="inlineStr">
        <is>
          <t>No</t>
        </is>
      </c>
      <c r="B382" t="inlineStr">
        <is>
          <t>LB1032 .R423 1992</t>
        </is>
      </c>
      <c r="C382" t="inlineStr">
        <is>
          <t>0                      LB 1032000R  423         1992</t>
        </is>
      </c>
      <c r="D382" t="inlineStr">
        <is>
          <t>The cooperative classroom, social and academic activities / Jacqueline Rhoades and Margaret E. McCabe.</t>
        </is>
      </c>
      <c r="F382" t="inlineStr">
        <is>
          <t>No</t>
        </is>
      </c>
      <c r="G382" t="inlineStr">
        <is>
          <t>1</t>
        </is>
      </c>
      <c r="H382" t="inlineStr">
        <is>
          <t>No</t>
        </is>
      </c>
      <c r="I382" t="inlineStr">
        <is>
          <t>No</t>
        </is>
      </c>
      <c r="J382" t="inlineStr">
        <is>
          <t>0</t>
        </is>
      </c>
      <c r="K382" t="inlineStr">
        <is>
          <t>Rhoades, Jacqueline.</t>
        </is>
      </c>
      <c r="L382" t="inlineStr">
        <is>
          <t>Bloomington, Ind. : National Educational Service, c1992.</t>
        </is>
      </c>
      <c r="M382" t="inlineStr">
        <is>
          <t>1992</t>
        </is>
      </c>
      <c r="O382" t="inlineStr">
        <is>
          <t>eng</t>
        </is>
      </c>
      <c r="P382" t="inlineStr">
        <is>
          <t>inu</t>
        </is>
      </c>
      <c r="R382" t="inlineStr">
        <is>
          <t xml:space="preserve">LB </t>
        </is>
      </c>
      <c r="S382" t="n">
        <v>17</v>
      </c>
      <c r="T382" t="n">
        <v>17</v>
      </c>
      <c r="U382" t="inlineStr">
        <is>
          <t>2007-11-06</t>
        </is>
      </c>
      <c r="V382" t="inlineStr">
        <is>
          <t>2007-11-06</t>
        </is>
      </c>
      <c r="W382" t="inlineStr">
        <is>
          <t>1992-11-17</t>
        </is>
      </c>
      <c r="X382" t="inlineStr">
        <is>
          <t>1992-11-17</t>
        </is>
      </c>
      <c r="Y382" t="n">
        <v>148</v>
      </c>
      <c r="Z382" t="n">
        <v>134</v>
      </c>
      <c r="AA382" t="n">
        <v>143</v>
      </c>
      <c r="AB382" t="n">
        <v>3</v>
      </c>
      <c r="AC382" t="n">
        <v>3</v>
      </c>
      <c r="AD382" t="n">
        <v>9</v>
      </c>
      <c r="AE382" t="n">
        <v>9</v>
      </c>
      <c r="AF382" t="n">
        <v>5</v>
      </c>
      <c r="AG382" t="n">
        <v>5</v>
      </c>
      <c r="AH382" t="n">
        <v>2</v>
      </c>
      <c r="AI382" t="n">
        <v>2</v>
      </c>
      <c r="AJ382" t="n">
        <v>4</v>
      </c>
      <c r="AK382" t="n">
        <v>4</v>
      </c>
      <c r="AL382" t="n">
        <v>1</v>
      </c>
      <c r="AM382" t="n">
        <v>1</v>
      </c>
      <c r="AN382" t="n">
        <v>0</v>
      </c>
      <c r="AO382" t="n">
        <v>0</v>
      </c>
      <c r="AP382" t="inlineStr">
        <is>
          <t>No</t>
        </is>
      </c>
      <c r="AQ382" t="inlineStr">
        <is>
          <t>No</t>
        </is>
      </c>
      <c r="AS382">
        <f>HYPERLINK("https://creighton-primo.hosted.exlibrisgroup.com/primo-explore/search?tab=default_tab&amp;search_scope=EVERYTHING&amp;vid=01CRU&amp;lang=en_US&amp;offset=0&amp;query=any,contains,991002096559702656","Catalog Record")</f>
        <v/>
      </c>
      <c r="AT382">
        <f>HYPERLINK("http://www.worldcat.org/oclc/39354547","WorldCat Record")</f>
        <v/>
      </c>
      <c r="AU382" t="inlineStr">
        <is>
          <t>41463076:eng</t>
        </is>
      </c>
      <c r="AV382" t="inlineStr">
        <is>
          <t>39354547</t>
        </is>
      </c>
      <c r="AW382" t="inlineStr">
        <is>
          <t>991002096559702656</t>
        </is>
      </c>
      <c r="AX382" t="inlineStr">
        <is>
          <t>991002096559702656</t>
        </is>
      </c>
      <c r="AY382" t="inlineStr">
        <is>
          <t>2260178900002656</t>
        </is>
      </c>
      <c r="AZ382" t="inlineStr">
        <is>
          <t>BOOK</t>
        </is>
      </c>
      <c r="BB382" t="inlineStr">
        <is>
          <t>9781879639164</t>
        </is>
      </c>
      <c r="BC382" t="inlineStr">
        <is>
          <t>32285001425809</t>
        </is>
      </c>
      <c r="BD382" t="inlineStr">
        <is>
          <t>893697336</t>
        </is>
      </c>
    </row>
    <row r="383">
      <c r="A383" t="inlineStr">
        <is>
          <t>No</t>
        </is>
      </c>
      <c r="B383" t="inlineStr">
        <is>
          <t>LB1032 .R68 1991</t>
        </is>
      </c>
      <c r="C383" t="inlineStr">
        <is>
          <t>0                      LB 1032000R  68          1991</t>
        </is>
      </c>
      <c r="D383" t="inlineStr">
        <is>
          <t>Cooperative learning in middle-level schools / Jerry Rottier and Beverly J. Ogan.</t>
        </is>
      </c>
      <c r="F383" t="inlineStr">
        <is>
          <t>No</t>
        </is>
      </c>
      <c r="G383" t="inlineStr">
        <is>
          <t>1</t>
        </is>
      </c>
      <c r="H383" t="inlineStr">
        <is>
          <t>No</t>
        </is>
      </c>
      <c r="I383" t="inlineStr">
        <is>
          <t>No</t>
        </is>
      </c>
      <c r="J383" t="inlineStr">
        <is>
          <t>0</t>
        </is>
      </c>
      <c r="K383" t="inlineStr">
        <is>
          <t>Rottier, Jerry.</t>
        </is>
      </c>
      <c r="L383" t="inlineStr">
        <is>
          <t>Washington, D.C. : NEA Professional Library, National Education Association, c1991.</t>
        </is>
      </c>
      <c r="M383" t="inlineStr">
        <is>
          <t>1991</t>
        </is>
      </c>
      <c r="O383" t="inlineStr">
        <is>
          <t>eng</t>
        </is>
      </c>
      <c r="P383" t="inlineStr">
        <is>
          <t>dcu</t>
        </is>
      </c>
      <c r="Q383" t="inlineStr">
        <is>
          <t>NEA aspects of learning</t>
        </is>
      </c>
      <c r="R383" t="inlineStr">
        <is>
          <t xml:space="preserve">LB </t>
        </is>
      </c>
      <c r="S383" t="n">
        <v>2</v>
      </c>
      <c r="T383" t="n">
        <v>2</v>
      </c>
      <c r="U383" t="inlineStr">
        <is>
          <t>2004-10-07</t>
        </is>
      </c>
      <c r="V383" t="inlineStr">
        <is>
          <t>2004-10-07</t>
        </is>
      </c>
      <c r="W383" t="inlineStr">
        <is>
          <t>1991-07-03</t>
        </is>
      </c>
      <c r="X383" t="inlineStr">
        <is>
          <t>1991-07-03</t>
        </is>
      </c>
      <c r="Y383" t="n">
        <v>533</v>
      </c>
      <c r="Z383" t="n">
        <v>514</v>
      </c>
      <c r="AA383" t="n">
        <v>521</v>
      </c>
      <c r="AB383" t="n">
        <v>8</v>
      </c>
      <c r="AC383" t="n">
        <v>8</v>
      </c>
      <c r="AD383" t="n">
        <v>25</v>
      </c>
      <c r="AE383" t="n">
        <v>25</v>
      </c>
      <c r="AF383" t="n">
        <v>12</v>
      </c>
      <c r="AG383" t="n">
        <v>12</v>
      </c>
      <c r="AH383" t="n">
        <v>4</v>
      </c>
      <c r="AI383" t="n">
        <v>4</v>
      </c>
      <c r="AJ383" t="n">
        <v>11</v>
      </c>
      <c r="AK383" t="n">
        <v>11</v>
      </c>
      <c r="AL383" t="n">
        <v>6</v>
      </c>
      <c r="AM383" t="n">
        <v>6</v>
      </c>
      <c r="AN383" t="n">
        <v>0</v>
      </c>
      <c r="AO383" t="n">
        <v>0</v>
      </c>
      <c r="AP383" t="inlineStr">
        <is>
          <t>No</t>
        </is>
      </c>
      <c r="AQ383" t="inlineStr">
        <is>
          <t>No</t>
        </is>
      </c>
      <c r="AS383">
        <f>HYPERLINK("https://creighton-primo.hosted.exlibrisgroup.com/primo-explore/search?tab=default_tab&amp;search_scope=EVERYTHING&amp;vid=01CRU&amp;lang=en_US&amp;offset=0&amp;query=any,contains,991001826359702656","Catalog Record")</f>
        <v/>
      </c>
      <c r="AT383">
        <f>HYPERLINK("http://www.worldcat.org/oclc/22951957","WorldCat Record")</f>
        <v/>
      </c>
      <c r="AU383" t="inlineStr">
        <is>
          <t>1076004:eng</t>
        </is>
      </c>
      <c r="AV383" t="inlineStr">
        <is>
          <t>22951957</t>
        </is>
      </c>
      <c r="AW383" t="inlineStr">
        <is>
          <t>991001826359702656</t>
        </is>
      </c>
      <c r="AX383" t="inlineStr">
        <is>
          <t>991001826359702656</t>
        </is>
      </c>
      <c r="AY383" t="inlineStr">
        <is>
          <t>2262330370002656</t>
        </is>
      </c>
      <c r="AZ383" t="inlineStr">
        <is>
          <t>BOOK</t>
        </is>
      </c>
      <c r="BB383" t="inlineStr">
        <is>
          <t>9780810630680</t>
        </is>
      </c>
      <c r="BC383" t="inlineStr">
        <is>
          <t>32285000644699</t>
        </is>
      </c>
      <c r="BD383" t="inlineStr">
        <is>
          <t>893433167</t>
        </is>
      </c>
    </row>
    <row r="384">
      <c r="A384" t="inlineStr">
        <is>
          <t>No</t>
        </is>
      </c>
      <c r="B384" t="inlineStr">
        <is>
          <t>LB1032 .S456 1992</t>
        </is>
      </c>
      <c r="C384" t="inlineStr">
        <is>
          <t>0                      LB 1032000S  456         1992</t>
        </is>
      </c>
      <c r="D384" t="inlineStr">
        <is>
          <t>Expanding cooperative learning through group investigation / Yael Sharan, Shlomo Sharan.</t>
        </is>
      </c>
      <c r="F384" t="inlineStr">
        <is>
          <t>No</t>
        </is>
      </c>
      <c r="G384" t="inlineStr">
        <is>
          <t>1</t>
        </is>
      </c>
      <c r="H384" t="inlineStr">
        <is>
          <t>No</t>
        </is>
      </c>
      <c r="I384" t="inlineStr">
        <is>
          <t>No</t>
        </is>
      </c>
      <c r="J384" t="inlineStr">
        <is>
          <t>0</t>
        </is>
      </c>
      <c r="K384" t="inlineStr">
        <is>
          <t>Sharan, Yael.</t>
        </is>
      </c>
      <c r="L384" t="inlineStr">
        <is>
          <t>New York : Teachers College Press, c1992.</t>
        </is>
      </c>
      <c r="M384" t="inlineStr">
        <is>
          <t>1992</t>
        </is>
      </c>
      <c r="O384" t="inlineStr">
        <is>
          <t>eng</t>
        </is>
      </c>
      <c r="P384" t="inlineStr">
        <is>
          <t>nyu</t>
        </is>
      </c>
      <c r="R384" t="inlineStr">
        <is>
          <t xml:space="preserve">LB </t>
        </is>
      </c>
      <c r="S384" t="n">
        <v>5</v>
      </c>
      <c r="T384" t="n">
        <v>5</v>
      </c>
      <c r="U384" t="inlineStr">
        <is>
          <t>2005-09-27</t>
        </is>
      </c>
      <c r="V384" t="inlineStr">
        <is>
          <t>2005-09-27</t>
        </is>
      </c>
      <c r="W384" t="inlineStr">
        <is>
          <t>1994-10-05</t>
        </is>
      </c>
      <c r="X384" t="inlineStr">
        <is>
          <t>1994-10-05</t>
        </is>
      </c>
      <c r="Y384" t="n">
        <v>524</v>
      </c>
      <c r="Z384" t="n">
        <v>429</v>
      </c>
      <c r="AA384" t="n">
        <v>436</v>
      </c>
      <c r="AB384" t="n">
        <v>5</v>
      </c>
      <c r="AC384" t="n">
        <v>5</v>
      </c>
      <c r="AD384" t="n">
        <v>21</v>
      </c>
      <c r="AE384" t="n">
        <v>21</v>
      </c>
      <c r="AF384" t="n">
        <v>5</v>
      </c>
      <c r="AG384" t="n">
        <v>5</v>
      </c>
      <c r="AH384" t="n">
        <v>6</v>
      </c>
      <c r="AI384" t="n">
        <v>6</v>
      </c>
      <c r="AJ384" t="n">
        <v>12</v>
      </c>
      <c r="AK384" t="n">
        <v>12</v>
      </c>
      <c r="AL384" t="n">
        <v>4</v>
      </c>
      <c r="AM384" t="n">
        <v>4</v>
      </c>
      <c r="AN384" t="n">
        <v>0</v>
      </c>
      <c r="AO384" t="n">
        <v>0</v>
      </c>
      <c r="AP384" t="inlineStr">
        <is>
          <t>No</t>
        </is>
      </c>
      <c r="AQ384" t="inlineStr">
        <is>
          <t>No</t>
        </is>
      </c>
      <c r="AS384">
        <f>HYPERLINK("https://creighton-primo.hosted.exlibrisgroup.com/primo-explore/search?tab=default_tab&amp;search_scope=EVERYTHING&amp;vid=01CRU&amp;lang=en_US&amp;offset=0&amp;query=any,contains,991001999729702656","Catalog Record")</f>
        <v/>
      </c>
      <c r="AT384">
        <f>HYPERLINK("http://www.worldcat.org/oclc/25410440","WorldCat Record")</f>
        <v/>
      </c>
      <c r="AU384" t="inlineStr">
        <is>
          <t>27851827:eng</t>
        </is>
      </c>
      <c r="AV384" t="inlineStr">
        <is>
          <t>25410440</t>
        </is>
      </c>
      <c r="AW384" t="inlineStr">
        <is>
          <t>991001999729702656</t>
        </is>
      </c>
      <c r="AX384" t="inlineStr">
        <is>
          <t>991001999729702656</t>
        </is>
      </c>
      <c r="AY384" t="inlineStr">
        <is>
          <t>2254998130002656</t>
        </is>
      </c>
      <c r="AZ384" t="inlineStr">
        <is>
          <t>BOOK</t>
        </is>
      </c>
      <c r="BB384" t="inlineStr">
        <is>
          <t>9780807731901</t>
        </is>
      </c>
      <c r="BC384" t="inlineStr">
        <is>
          <t>32285001948750</t>
        </is>
      </c>
      <c r="BD384" t="inlineStr">
        <is>
          <t>893346988</t>
        </is>
      </c>
    </row>
    <row r="385">
      <c r="A385" t="inlineStr">
        <is>
          <t>No</t>
        </is>
      </c>
      <c r="B385" t="inlineStr">
        <is>
          <t>LB1032 .S546 1991</t>
        </is>
      </c>
      <c r="C385" t="inlineStr">
        <is>
          <t>0                      LB 1032000S  546         1991</t>
        </is>
      </c>
      <c r="D385" t="inlineStr">
        <is>
          <t>Student team learning : a practical guide to cooperative learning / by Robert E. Slavin.</t>
        </is>
      </c>
      <c r="F385" t="inlineStr">
        <is>
          <t>No</t>
        </is>
      </c>
      <c r="G385" t="inlineStr">
        <is>
          <t>1</t>
        </is>
      </c>
      <c r="H385" t="inlineStr">
        <is>
          <t>No</t>
        </is>
      </c>
      <c r="I385" t="inlineStr">
        <is>
          <t>No</t>
        </is>
      </c>
      <c r="J385" t="inlineStr">
        <is>
          <t>0</t>
        </is>
      </c>
      <c r="K385" t="inlineStr">
        <is>
          <t>Slavin, Robert E.</t>
        </is>
      </c>
      <c r="L385" t="inlineStr">
        <is>
          <t>Washington, D.C. : NEA Professional Library, National Education Association, c1991.</t>
        </is>
      </c>
      <c r="M385" t="inlineStr">
        <is>
          <t>1991</t>
        </is>
      </c>
      <c r="N385" t="inlineStr">
        <is>
          <t>3rd ed.</t>
        </is>
      </c>
      <c r="O385" t="inlineStr">
        <is>
          <t>eng</t>
        </is>
      </c>
      <c r="P385" t="inlineStr">
        <is>
          <t>dcu</t>
        </is>
      </c>
      <c r="Q385" t="inlineStr">
        <is>
          <t>Developments in classroom instruction</t>
        </is>
      </c>
      <c r="R385" t="inlineStr">
        <is>
          <t xml:space="preserve">LB </t>
        </is>
      </c>
      <c r="S385" t="n">
        <v>6</v>
      </c>
      <c r="T385" t="n">
        <v>6</v>
      </c>
      <c r="U385" t="inlineStr">
        <is>
          <t>1997-03-08</t>
        </is>
      </c>
      <c r="V385" t="inlineStr">
        <is>
          <t>1997-03-08</t>
        </is>
      </c>
      <c r="W385" t="inlineStr">
        <is>
          <t>1991-11-26</t>
        </is>
      </c>
      <c r="X385" t="inlineStr">
        <is>
          <t>1991-11-26</t>
        </is>
      </c>
      <c r="Y385" t="n">
        <v>583</v>
      </c>
      <c r="Z385" t="n">
        <v>563</v>
      </c>
      <c r="AA385" t="n">
        <v>570</v>
      </c>
      <c r="AB385" t="n">
        <v>10</v>
      </c>
      <c r="AC385" t="n">
        <v>10</v>
      </c>
      <c r="AD385" t="n">
        <v>29</v>
      </c>
      <c r="AE385" t="n">
        <v>29</v>
      </c>
      <c r="AF385" t="n">
        <v>11</v>
      </c>
      <c r="AG385" t="n">
        <v>11</v>
      </c>
      <c r="AH385" t="n">
        <v>4</v>
      </c>
      <c r="AI385" t="n">
        <v>4</v>
      </c>
      <c r="AJ385" t="n">
        <v>13</v>
      </c>
      <c r="AK385" t="n">
        <v>13</v>
      </c>
      <c r="AL385" t="n">
        <v>8</v>
      </c>
      <c r="AM385" t="n">
        <v>8</v>
      </c>
      <c r="AN385" t="n">
        <v>0</v>
      </c>
      <c r="AO385" t="n">
        <v>0</v>
      </c>
      <c r="AP385" t="inlineStr">
        <is>
          <t>No</t>
        </is>
      </c>
      <c r="AQ385" t="inlineStr">
        <is>
          <t>No</t>
        </is>
      </c>
      <c r="AS385">
        <f>HYPERLINK("https://creighton-primo.hosted.exlibrisgroup.com/primo-explore/search?tab=default_tab&amp;search_scope=EVERYTHING&amp;vid=01CRU&amp;lang=en_US&amp;offset=0&amp;query=any,contains,991001904069702656","Catalog Record")</f>
        <v/>
      </c>
      <c r="AT385">
        <f>HYPERLINK("http://www.worldcat.org/oclc/24065834","WorldCat Record")</f>
        <v/>
      </c>
      <c r="AU385" t="inlineStr">
        <is>
          <t>3753420627:eng</t>
        </is>
      </c>
      <c r="AV385" t="inlineStr">
        <is>
          <t>24065834</t>
        </is>
      </c>
      <c r="AW385" t="inlineStr">
        <is>
          <t>991001904069702656</t>
        </is>
      </c>
      <c r="AX385" t="inlineStr">
        <is>
          <t>991001904069702656</t>
        </is>
      </c>
      <c r="AY385" t="inlineStr">
        <is>
          <t>2264027090002656</t>
        </is>
      </c>
      <c r="AZ385" t="inlineStr">
        <is>
          <t>BOOK</t>
        </is>
      </c>
      <c r="BB385" t="inlineStr">
        <is>
          <t>9780810618459</t>
        </is>
      </c>
      <c r="BC385" t="inlineStr">
        <is>
          <t>32285000834589</t>
        </is>
      </c>
      <c r="BD385" t="inlineStr">
        <is>
          <t>893703430</t>
        </is>
      </c>
    </row>
    <row r="386">
      <c r="A386" t="inlineStr">
        <is>
          <t>No</t>
        </is>
      </c>
      <c r="B386" t="inlineStr">
        <is>
          <t>LB1033 .B67</t>
        </is>
      </c>
      <c r="C386" t="inlineStr">
        <is>
          <t>0                      LB 1033000B  67</t>
        </is>
      </c>
      <c r="D386" t="inlineStr">
        <is>
          <t>Teacher-student relationships : causes and consequences / [by] Jere E. Brophy [and] Thomas L. Good.</t>
        </is>
      </c>
      <c r="F386" t="inlineStr">
        <is>
          <t>No</t>
        </is>
      </c>
      <c r="G386" t="inlineStr">
        <is>
          <t>1</t>
        </is>
      </c>
      <c r="H386" t="inlineStr">
        <is>
          <t>No</t>
        </is>
      </c>
      <c r="I386" t="inlineStr">
        <is>
          <t>No</t>
        </is>
      </c>
      <c r="J386" t="inlineStr">
        <is>
          <t>0</t>
        </is>
      </c>
      <c r="K386" t="inlineStr">
        <is>
          <t>Brophy, Jere E.</t>
        </is>
      </c>
      <c r="L386" t="inlineStr">
        <is>
          <t>New York : Holt, Rinehart and Winston, [1974]</t>
        </is>
      </c>
      <c r="M386" t="inlineStr">
        <is>
          <t>1974</t>
        </is>
      </c>
      <c r="O386" t="inlineStr">
        <is>
          <t>eng</t>
        </is>
      </c>
      <c r="P386" t="inlineStr">
        <is>
          <t>nyu</t>
        </is>
      </c>
      <c r="R386" t="inlineStr">
        <is>
          <t xml:space="preserve">LB </t>
        </is>
      </c>
      <c r="S386" t="n">
        <v>4</v>
      </c>
      <c r="T386" t="n">
        <v>4</v>
      </c>
      <c r="U386" t="inlineStr">
        <is>
          <t>2010-11-23</t>
        </is>
      </c>
      <c r="V386" t="inlineStr">
        <is>
          <t>2010-11-23</t>
        </is>
      </c>
      <c r="W386" t="inlineStr">
        <is>
          <t>1990-11-30</t>
        </is>
      </c>
      <c r="X386" t="inlineStr">
        <is>
          <t>1990-11-30</t>
        </is>
      </c>
      <c r="Y386" t="n">
        <v>763</v>
      </c>
      <c r="Z386" t="n">
        <v>578</v>
      </c>
      <c r="AA386" t="n">
        <v>580</v>
      </c>
      <c r="AB386" t="n">
        <v>10</v>
      </c>
      <c r="AC386" t="n">
        <v>10</v>
      </c>
      <c r="AD386" t="n">
        <v>29</v>
      </c>
      <c r="AE386" t="n">
        <v>29</v>
      </c>
      <c r="AF386" t="n">
        <v>13</v>
      </c>
      <c r="AG386" t="n">
        <v>13</v>
      </c>
      <c r="AH386" t="n">
        <v>3</v>
      </c>
      <c r="AI386" t="n">
        <v>3</v>
      </c>
      <c r="AJ386" t="n">
        <v>9</v>
      </c>
      <c r="AK386" t="n">
        <v>9</v>
      </c>
      <c r="AL386" t="n">
        <v>8</v>
      </c>
      <c r="AM386" t="n">
        <v>8</v>
      </c>
      <c r="AN386" t="n">
        <v>0</v>
      </c>
      <c r="AO386" t="n">
        <v>0</v>
      </c>
      <c r="AP386" t="inlineStr">
        <is>
          <t>No</t>
        </is>
      </c>
      <c r="AQ386" t="inlineStr">
        <is>
          <t>No</t>
        </is>
      </c>
      <c r="AS386">
        <f>HYPERLINK("https://creighton-primo.hosted.exlibrisgroup.com/primo-explore/search?tab=default_tab&amp;search_scope=EVERYTHING&amp;vid=01CRU&amp;lang=en_US&amp;offset=0&amp;query=any,contains,991003163189702656","Catalog Record")</f>
        <v/>
      </c>
      <c r="AT386">
        <f>HYPERLINK("http://www.worldcat.org/oclc/701602","WorldCat Record")</f>
        <v/>
      </c>
      <c r="AU386" t="inlineStr">
        <is>
          <t>1602713:eng</t>
        </is>
      </c>
      <c r="AV386" t="inlineStr">
        <is>
          <t>701602</t>
        </is>
      </c>
      <c r="AW386" t="inlineStr">
        <is>
          <t>991003163189702656</t>
        </is>
      </c>
      <c r="AX386" t="inlineStr">
        <is>
          <t>991003163189702656</t>
        </is>
      </c>
      <c r="AY386" t="inlineStr">
        <is>
          <t>2255100190002656</t>
        </is>
      </c>
      <c r="AZ386" t="inlineStr">
        <is>
          <t>BOOK</t>
        </is>
      </c>
      <c r="BB386" t="inlineStr">
        <is>
          <t>9780030857492</t>
        </is>
      </c>
      <c r="BC386" t="inlineStr">
        <is>
          <t>32285000411008</t>
        </is>
      </c>
      <c r="BD386" t="inlineStr">
        <is>
          <t>893239935</t>
        </is>
      </c>
    </row>
    <row r="387">
      <c r="A387" t="inlineStr">
        <is>
          <t>No</t>
        </is>
      </c>
      <c r="B387" t="inlineStr">
        <is>
          <t>LB1033 .C63</t>
        </is>
      </c>
      <c r="C387" t="inlineStr">
        <is>
          <t>0                      LB 1033000C  63</t>
        </is>
      </c>
      <c r="D387" t="inlineStr">
        <is>
          <t>Communication in the classroom : original essays / edited by Larry L. Barker ; original contributions by Larry L. Barker ... [et al.].</t>
        </is>
      </c>
      <c r="F387" t="inlineStr">
        <is>
          <t>No</t>
        </is>
      </c>
      <c r="G387" t="inlineStr">
        <is>
          <t>1</t>
        </is>
      </c>
      <c r="H387" t="inlineStr">
        <is>
          <t>No</t>
        </is>
      </c>
      <c r="I387" t="inlineStr">
        <is>
          <t>No</t>
        </is>
      </c>
      <c r="J387" t="inlineStr">
        <is>
          <t>0</t>
        </is>
      </c>
      <c r="L387" t="inlineStr">
        <is>
          <t>Englewood Cliffs, N.J. : Prentice-Hall, c1982.</t>
        </is>
      </c>
      <c r="M387" t="inlineStr">
        <is>
          <t>1982</t>
        </is>
      </c>
      <c r="O387" t="inlineStr">
        <is>
          <t>eng</t>
        </is>
      </c>
      <c r="P387" t="inlineStr">
        <is>
          <t>nju</t>
        </is>
      </c>
      <c r="R387" t="inlineStr">
        <is>
          <t xml:space="preserve">LB </t>
        </is>
      </c>
      <c r="S387" t="n">
        <v>11</v>
      </c>
      <c r="T387" t="n">
        <v>11</v>
      </c>
      <c r="U387" t="inlineStr">
        <is>
          <t>2001-08-27</t>
        </is>
      </c>
      <c r="V387" t="inlineStr">
        <is>
          <t>2001-08-27</t>
        </is>
      </c>
      <c r="W387" t="inlineStr">
        <is>
          <t>1992-10-23</t>
        </is>
      </c>
      <c r="X387" t="inlineStr">
        <is>
          <t>1992-10-23</t>
        </is>
      </c>
      <c r="Y387" t="n">
        <v>446</v>
      </c>
      <c r="Z387" t="n">
        <v>354</v>
      </c>
      <c r="AA387" t="n">
        <v>354</v>
      </c>
      <c r="AB387" t="n">
        <v>3</v>
      </c>
      <c r="AC387" t="n">
        <v>3</v>
      </c>
      <c r="AD387" t="n">
        <v>18</v>
      </c>
      <c r="AE387" t="n">
        <v>18</v>
      </c>
      <c r="AF387" t="n">
        <v>9</v>
      </c>
      <c r="AG387" t="n">
        <v>9</v>
      </c>
      <c r="AH387" t="n">
        <v>1</v>
      </c>
      <c r="AI387" t="n">
        <v>1</v>
      </c>
      <c r="AJ387" t="n">
        <v>10</v>
      </c>
      <c r="AK387" t="n">
        <v>10</v>
      </c>
      <c r="AL387" t="n">
        <v>2</v>
      </c>
      <c r="AM387" t="n">
        <v>2</v>
      </c>
      <c r="AN387" t="n">
        <v>0</v>
      </c>
      <c r="AO387" t="n">
        <v>0</v>
      </c>
      <c r="AP387" t="inlineStr">
        <is>
          <t>No</t>
        </is>
      </c>
      <c r="AQ387" t="inlineStr">
        <is>
          <t>No</t>
        </is>
      </c>
      <c r="AS387">
        <f>HYPERLINK("https://creighton-primo.hosted.exlibrisgroup.com/primo-explore/search?tab=default_tab&amp;search_scope=EVERYTHING&amp;vid=01CRU&amp;lang=en_US&amp;offset=0&amp;query=any,contains,991005159579702656","Catalog Record")</f>
        <v/>
      </c>
      <c r="AT387">
        <f>HYPERLINK("http://www.worldcat.org/oclc/7773804","WorldCat Record")</f>
        <v/>
      </c>
      <c r="AU387" t="inlineStr">
        <is>
          <t>860187827:eng</t>
        </is>
      </c>
      <c r="AV387" t="inlineStr">
        <is>
          <t>7773804</t>
        </is>
      </c>
      <c r="AW387" t="inlineStr">
        <is>
          <t>991005159579702656</t>
        </is>
      </c>
      <c r="AX387" t="inlineStr">
        <is>
          <t>991005159579702656</t>
        </is>
      </c>
      <c r="AY387" t="inlineStr">
        <is>
          <t>2269364590002656</t>
        </is>
      </c>
      <c r="AZ387" t="inlineStr">
        <is>
          <t>BOOK</t>
        </is>
      </c>
      <c r="BB387" t="inlineStr">
        <is>
          <t>9780131535510</t>
        </is>
      </c>
      <c r="BC387" t="inlineStr">
        <is>
          <t>32285001376283</t>
        </is>
      </c>
      <c r="BD387" t="inlineStr">
        <is>
          <t>893776939</t>
        </is>
      </c>
    </row>
    <row r="388">
      <c r="A388" t="inlineStr">
        <is>
          <t>No</t>
        </is>
      </c>
      <c r="B388" t="inlineStr">
        <is>
          <t>LB1033 .G39 1985</t>
        </is>
      </c>
      <c r="C388" t="inlineStr">
        <is>
          <t>0                      LB 1033000G  39          1985</t>
        </is>
      </c>
      <c r="D388" t="inlineStr">
        <is>
          <t>Gender influences in classroom interaction / edited by Louise Cherry Wilkinson and Cora B. Marrett.</t>
        </is>
      </c>
      <c r="F388" t="inlineStr">
        <is>
          <t>No</t>
        </is>
      </c>
      <c r="G388" t="inlineStr">
        <is>
          <t>1</t>
        </is>
      </c>
      <c r="H388" t="inlineStr">
        <is>
          <t>No</t>
        </is>
      </c>
      <c r="I388" t="inlineStr">
        <is>
          <t>No</t>
        </is>
      </c>
      <c r="J388" t="inlineStr">
        <is>
          <t>0</t>
        </is>
      </c>
      <c r="L388" t="inlineStr">
        <is>
          <t>Orlando [Fla.] : Academic Press, 1985.</t>
        </is>
      </c>
      <c r="M388" t="inlineStr">
        <is>
          <t>1985</t>
        </is>
      </c>
      <c r="O388" t="inlineStr">
        <is>
          <t>eng</t>
        </is>
      </c>
      <c r="P388" t="inlineStr">
        <is>
          <t>flu</t>
        </is>
      </c>
      <c r="Q388" t="inlineStr">
        <is>
          <t>Educational psychology</t>
        </is>
      </c>
      <c r="R388" t="inlineStr">
        <is>
          <t xml:space="preserve">LB </t>
        </is>
      </c>
      <c r="S388" t="n">
        <v>13</v>
      </c>
      <c r="T388" t="n">
        <v>13</v>
      </c>
      <c r="U388" t="inlineStr">
        <is>
          <t>1997-02-28</t>
        </is>
      </c>
      <c r="V388" t="inlineStr">
        <is>
          <t>1997-02-28</t>
        </is>
      </c>
      <c r="W388" t="inlineStr">
        <is>
          <t>1991-12-09</t>
        </is>
      </c>
      <c r="X388" t="inlineStr">
        <is>
          <t>1991-12-09</t>
        </is>
      </c>
      <c r="Y388" t="n">
        <v>519</v>
      </c>
      <c r="Z388" t="n">
        <v>367</v>
      </c>
      <c r="AA388" t="n">
        <v>405</v>
      </c>
      <c r="AB388" t="n">
        <v>4</v>
      </c>
      <c r="AC388" t="n">
        <v>4</v>
      </c>
      <c r="AD388" t="n">
        <v>15</v>
      </c>
      <c r="AE388" t="n">
        <v>18</v>
      </c>
      <c r="AF388" t="n">
        <v>3</v>
      </c>
      <c r="AG388" t="n">
        <v>5</v>
      </c>
      <c r="AH388" t="n">
        <v>5</v>
      </c>
      <c r="AI388" t="n">
        <v>7</v>
      </c>
      <c r="AJ388" t="n">
        <v>6</v>
      </c>
      <c r="AK388" t="n">
        <v>6</v>
      </c>
      <c r="AL388" t="n">
        <v>3</v>
      </c>
      <c r="AM388" t="n">
        <v>3</v>
      </c>
      <c r="AN388" t="n">
        <v>0</v>
      </c>
      <c r="AO388" t="n">
        <v>0</v>
      </c>
      <c r="AP388" t="inlineStr">
        <is>
          <t>No</t>
        </is>
      </c>
      <c r="AQ388" t="inlineStr">
        <is>
          <t>Yes</t>
        </is>
      </c>
      <c r="AR388">
        <f>HYPERLINK("http://catalog.hathitrust.org/Record/000653168","HathiTrust Record")</f>
        <v/>
      </c>
      <c r="AS388">
        <f>HYPERLINK("https://creighton-primo.hosted.exlibrisgroup.com/primo-explore/search?tab=default_tab&amp;search_scope=EVERYTHING&amp;vid=01CRU&amp;lang=en_US&amp;offset=0&amp;query=any,contains,991000537839702656","Catalog Record")</f>
        <v/>
      </c>
      <c r="AT388">
        <f>HYPERLINK("http://www.worldcat.org/oclc/11468276","WorldCat Record")</f>
        <v/>
      </c>
      <c r="AU388" t="inlineStr">
        <is>
          <t>365385306:eng</t>
        </is>
      </c>
      <c r="AV388" t="inlineStr">
        <is>
          <t>11468276</t>
        </is>
      </c>
      <c r="AW388" t="inlineStr">
        <is>
          <t>991000537839702656</t>
        </is>
      </c>
      <c r="AX388" t="inlineStr">
        <is>
          <t>991000537839702656</t>
        </is>
      </c>
      <c r="AY388" t="inlineStr">
        <is>
          <t>2264931490002656</t>
        </is>
      </c>
      <c r="AZ388" t="inlineStr">
        <is>
          <t>BOOK</t>
        </is>
      </c>
      <c r="BB388" t="inlineStr">
        <is>
          <t>9780127520759</t>
        </is>
      </c>
      <c r="BC388" t="inlineStr">
        <is>
          <t>32285000829894</t>
        </is>
      </c>
      <c r="BD388" t="inlineStr">
        <is>
          <t>893796759</t>
        </is>
      </c>
    </row>
    <row r="389">
      <c r="A389" t="inlineStr">
        <is>
          <t>No</t>
        </is>
      </c>
      <c r="B389" t="inlineStr">
        <is>
          <t>LB1033 .H523 1986</t>
        </is>
      </c>
      <c r="C389" t="inlineStr">
        <is>
          <t>0                      LB 1033000H  523         1986</t>
        </is>
      </c>
      <c r="D389" t="inlineStr">
        <is>
          <t>Teaching, learning, and communication / P.J. Hills.</t>
        </is>
      </c>
      <c r="F389" t="inlineStr">
        <is>
          <t>No</t>
        </is>
      </c>
      <c r="G389" t="inlineStr">
        <is>
          <t>1</t>
        </is>
      </c>
      <c r="H389" t="inlineStr">
        <is>
          <t>No</t>
        </is>
      </c>
      <c r="I389" t="inlineStr">
        <is>
          <t>No</t>
        </is>
      </c>
      <c r="J389" t="inlineStr">
        <is>
          <t>0</t>
        </is>
      </c>
      <c r="K389" t="inlineStr">
        <is>
          <t>Hills, P. J. (Philip James)</t>
        </is>
      </c>
      <c r="L389" t="inlineStr">
        <is>
          <t>London ; Dover, New Hampshire : Croom Helm, c1986.</t>
        </is>
      </c>
      <c r="M389" t="inlineStr">
        <is>
          <t>1986</t>
        </is>
      </c>
      <c r="O389" t="inlineStr">
        <is>
          <t>eng</t>
        </is>
      </c>
      <c r="P389" t="inlineStr">
        <is>
          <t>enk</t>
        </is>
      </c>
      <c r="Q389" t="inlineStr">
        <is>
          <t>New patterns of learning series</t>
        </is>
      </c>
      <c r="R389" t="inlineStr">
        <is>
          <t xml:space="preserve">LB </t>
        </is>
      </c>
      <c r="S389" t="n">
        <v>5</v>
      </c>
      <c r="T389" t="n">
        <v>5</v>
      </c>
      <c r="U389" t="inlineStr">
        <is>
          <t>2002-10-23</t>
        </is>
      </c>
      <c r="V389" t="inlineStr">
        <is>
          <t>2002-10-23</t>
        </is>
      </c>
      <c r="W389" t="inlineStr">
        <is>
          <t>1992-10-23</t>
        </is>
      </c>
      <c r="X389" t="inlineStr">
        <is>
          <t>1992-10-23</t>
        </is>
      </c>
      <c r="Y389" t="n">
        <v>232</v>
      </c>
      <c r="Z389" t="n">
        <v>121</v>
      </c>
      <c r="AA389" t="n">
        <v>121</v>
      </c>
      <c r="AB389" t="n">
        <v>2</v>
      </c>
      <c r="AC389" t="n">
        <v>2</v>
      </c>
      <c r="AD389" t="n">
        <v>3</v>
      </c>
      <c r="AE389" t="n">
        <v>3</v>
      </c>
      <c r="AF389" t="n">
        <v>0</v>
      </c>
      <c r="AG389" t="n">
        <v>0</v>
      </c>
      <c r="AH389" t="n">
        <v>1</v>
      </c>
      <c r="AI389" t="n">
        <v>1</v>
      </c>
      <c r="AJ389" t="n">
        <v>2</v>
      </c>
      <c r="AK389" t="n">
        <v>2</v>
      </c>
      <c r="AL389" t="n">
        <v>1</v>
      </c>
      <c r="AM389" t="n">
        <v>1</v>
      </c>
      <c r="AN389" t="n">
        <v>0</v>
      </c>
      <c r="AO389" t="n">
        <v>0</v>
      </c>
      <c r="AP389" t="inlineStr">
        <is>
          <t>No</t>
        </is>
      </c>
      <c r="AQ389" t="inlineStr">
        <is>
          <t>No</t>
        </is>
      </c>
      <c r="AS389">
        <f>HYPERLINK("https://creighton-primo.hosted.exlibrisgroup.com/primo-explore/search?tab=default_tab&amp;search_scope=EVERYTHING&amp;vid=01CRU&amp;lang=en_US&amp;offset=0&amp;query=any,contains,991000862759702656","Catalog Record")</f>
        <v/>
      </c>
      <c r="AT389">
        <f>HYPERLINK("http://www.worldcat.org/oclc/13700743","WorldCat Record")</f>
        <v/>
      </c>
      <c r="AU389" t="inlineStr">
        <is>
          <t>3901035376:eng</t>
        </is>
      </c>
      <c r="AV389" t="inlineStr">
        <is>
          <t>13700743</t>
        </is>
      </c>
      <c r="AW389" t="inlineStr">
        <is>
          <t>991000862759702656</t>
        </is>
      </c>
      <c r="AX389" t="inlineStr">
        <is>
          <t>991000862759702656</t>
        </is>
      </c>
      <c r="AY389" t="inlineStr">
        <is>
          <t>2261946500002656</t>
        </is>
      </c>
      <c r="AZ389" t="inlineStr">
        <is>
          <t>BOOK</t>
        </is>
      </c>
      <c r="BB389" t="inlineStr">
        <is>
          <t>9780709947073</t>
        </is>
      </c>
      <c r="BC389" t="inlineStr">
        <is>
          <t>32285001376333</t>
        </is>
      </c>
      <c r="BD389" t="inlineStr">
        <is>
          <t>893696229</t>
        </is>
      </c>
    </row>
    <row r="390">
      <c r="A390" t="inlineStr">
        <is>
          <t>No</t>
        </is>
      </c>
      <c r="B390" t="inlineStr">
        <is>
          <t>LB1033 .M2123 1997</t>
        </is>
      </c>
      <c r="C390" t="inlineStr">
        <is>
          <t>0                      LB 1033000M  2123        1997</t>
        </is>
      </c>
      <c r="D390" t="inlineStr">
        <is>
          <t>Classroom power relations : understanding student-teacher interaction / Mary Phillips Manke.</t>
        </is>
      </c>
      <c r="F390" t="inlineStr">
        <is>
          <t>No</t>
        </is>
      </c>
      <c r="G390" t="inlineStr">
        <is>
          <t>1</t>
        </is>
      </c>
      <c r="H390" t="inlineStr">
        <is>
          <t>No</t>
        </is>
      </c>
      <c r="I390" t="inlineStr">
        <is>
          <t>No</t>
        </is>
      </c>
      <c r="J390" t="inlineStr">
        <is>
          <t>0</t>
        </is>
      </c>
      <c r="K390" t="inlineStr">
        <is>
          <t>Manke, Mary Phillips.</t>
        </is>
      </c>
      <c r="L390" t="inlineStr">
        <is>
          <t>Mahwah, N.J. : Lawrence Erlbaum Associates, 1997.</t>
        </is>
      </c>
      <c r="M390" t="inlineStr">
        <is>
          <t>1997</t>
        </is>
      </c>
      <c r="O390" t="inlineStr">
        <is>
          <t>eng</t>
        </is>
      </c>
      <c r="P390" t="inlineStr">
        <is>
          <t>nju</t>
        </is>
      </c>
      <c r="R390" t="inlineStr">
        <is>
          <t xml:space="preserve">LB </t>
        </is>
      </c>
      <c r="S390" t="n">
        <v>4</v>
      </c>
      <c r="T390" t="n">
        <v>4</v>
      </c>
      <c r="U390" t="inlineStr">
        <is>
          <t>2008-07-15</t>
        </is>
      </c>
      <c r="V390" t="inlineStr">
        <is>
          <t>2008-07-15</t>
        </is>
      </c>
      <c r="W390" t="inlineStr">
        <is>
          <t>1999-05-04</t>
        </is>
      </c>
      <c r="X390" t="inlineStr">
        <is>
          <t>1999-05-04</t>
        </is>
      </c>
      <c r="Y390" t="n">
        <v>679</v>
      </c>
      <c r="Z390" t="n">
        <v>594</v>
      </c>
      <c r="AA390" t="n">
        <v>1331</v>
      </c>
      <c r="AB390" t="n">
        <v>5</v>
      </c>
      <c r="AC390" t="n">
        <v>6</v>
      </c>
      <c r="AD390" t="n">
        <v>28</v>
      </c>
      <c r="AE390" t="n">
        <v>43</v>
      </c>
      <c r="AF390" t="n">
        <v>14</v>
      </c>
      <c r="AG390" t="n">
        <v>23</v>
      </c>
      <c r="AH390" t="n">
        <v>3</v>
      </c>
      <c r="AI390" t="n">
        <v>5</v>
      </c>
      <c r="AJ390" t="n">
        <v>12</v>
      </c>
      <c r="AK390" t="n">
        <v>19</v>
      </c>
      <c r="AL390" t="n">
        <v>4</v>
      </c>
      <c r="AM390" t="n">
        <v>5</v>
      </c>
      <c r="AN390" t="n">
        <v>0</v>
      </c>
      <c r="AO390" t="n">
        <v>0</v>
      </c>
      <c r="AP390" t="inlineStr">
        <is>
          <t>No</t>
        </is>
      </c>
      <c r="AQ390" t="inlineStr">
        <is>
          <t>No</t>
        </is>
      </c>
      <c r="AS390">
        <f>HYPERLINK("https://creighton-primo.hosted.exlibrisgroup.com/primo-explore/search?tab=default_tab&amp;search_scope=EVERYTHING&amp;vid=01CRU&amp;lang=en_US&amp;offset=0&amp;query=any,contains,991002787619702656","Catalog Record")</f>
        <v/>
      </c>
      <c r="AT390">
        <f>HYPERLINK("http://www.worldcat.org/oclc/36597822","WorldCat Record")</f>
        <v/>
      </c>
      <c r="AU390" t="inlineStr">
        <is>
          <t>793035602:eng</t>
        </is>
      </c>
      <c r="AV390" t="inlineStr">
        <is>
          <t>36597822</t>
        </is>
      </c>
      <c r="AW390" t="inlineStr">
        <is>
          <t>991002787619702656</t>
        </is>
      </c>
      <c r="AX390" t="inlineStr">
        <is>
          <t>991002787619702656</t>
        </is>
      </c>
      <c r="AY390" t="inlineStr">
        <is>
          <t>2256870600002656</t>
        </is>
      </c>
      <c r="AZ390" t="inlineStr">
        <is>
          <t>BOOK</t>
        </is>
      </c>
      <c r="BB390" t="inlineStr">
        <is>
          <t>9780805824964</t>
        </is>
      </c>
      <c r="BC390" t="inlineStr">
        <is>
          <t>32285003558466</t>
        </is>
      </c>
      <c r="BD390" t="inlineStr">
        <is>
          <t>893517747</t>
        </is>
      </c>
    </row>
    <row r="391">
      <c r="A391" t="inlineStr">
        <is>
          <t>No</t>
        </is>
      </c>
      <c r="B391" t="inlineStr">
        <is>
          <t>LB1033 .N4</t>
        </is>
      </c>
      <c r="C391" t="inlineStr">
        <is>
          <t>0                      LB 1033000N  4</t>
        </is>
      </c>
      <c r="D391" t="inlineStr">
        <is>
          <t>Working with parents : guidelines for early childhood and elementary teachers / Shari E. Nedler, Oralie D. McAfee.</t>
        </is>
      </c>
      <c r="F391" t="inlineStr">
        <is>
          <t>No</t>
        </is>
      </c>
      <c r="G391" t="inlineStr">
        <is>
          <t>1</t>
        </is>
      </c>
      <c r="H391" t="inlineStr">
        <is>
          <t>No</t>
        </is>
      </c>
      <c r="I391" t="inlineStr">
        <is>
          <t>No</t>
        </is>
      </c>
      <c r="J391" t="inlineStr">
        <is>
          <t>0</t>
        </is>
      </c>
      <c r="K391" t="inlineStr">
        <is>
          <t>Nedler, Shari E.</t>
        </is>
      </c>
      <c r="L391" t="inlineStr">
        <is>
          <t>Belmont, Calif. : Wadsworth Pub. Co., c1979.</t>
        </is>
      </c>
      <c r="M391" t="inlineStr">
        <is>
          <t>1979</t>
        </is>
      </c>
      <c r="O391" t="inlineStr">
        <is>
          <t>eng</t>
        </is>
      </c>
      <c r="P391" t="inlineStr">
        <is>
          <t>cau</t>
        </is>
      </c>
      <c r="R391" t="inlineStr">
        <is>
          <t xml:space="preserve">LB </t>
        </is>
      </c>
      <c r="S391" t="n">
        <v>2</v>
      </c>
      <c r="T391" t="n">
        <v>2</v>
      </c>
      <c r="U391" t="inlineStr">
        <is>
          <t>2001-09-27</t>
        </is>
      </c>
      <c r="V391" t="inlineStr">
        <is>
          <t>2001-09-27</t>
        </is>
      </c>
      <c r="W391" t="inlineStr">
        <is>
          <t>1992-10-23</t>
        </is>
      </c>
      <c r="X391" t="inlineStr">
        <is>
          <t>1992-10-23</t>
        </is>
      </c>
      <c r="Y391" t="n">
        <v>232</v>
      </c>
      <c r="Z391" t="n">
        <v>206</v>
      </c>
      <c r="AA391" t="n">
        <v>207</v>
      </c>
      <c r="AB391" t="n">
        <v>3</v>
      </c>
      <c r="AC391" t="n">
        <v>3</v>
      </c>
      <c r="AD391" t="n">
        <v>4</v>
      </c>
      <c r="AE391" t="n">
        <v>4</v>
      </c>
      <c r="AF391" t="n">
        <v>1</v>
      </c>
      <c r="AG391" t="n">
        <v>1</v>
      </c>
      <c r="AH391" t="n">
        <v>0</v>
      </c>
      <c r="AI391" t="n">
        <v>0</v>
      </c>
      <c r="AJ391" t="n">
        <v>2</v>
      </c>
      <c r="AK391" t="n">
        <v>2</v>
      </c>
      <c r="AL391" t="n">
        <v>2</v>
      </c>
      <c r="AM391" t="n">
        <v>2</v>
      </c>
      <c r="AN391" t="n">
        <v>0</v>
      </c>
      <c r="AO391" t="n">
        <v>0</v>
      </c>
      <c r="AP391" t="inlineStr">
        <is>
          <t>No</t>
        </is>
      </c>
      <c r="AQ391" t="inlineStr">
        <is>
          <t>Yes</t>
        </is>
      </c>
      <c r="AR391">
        <f>HYPERLINK("http://catalog.hathitrust.org/Record/101989907","HathiTrust Record")</f>
        <v/>
      </c>
      <c r="AS391">
        <f>HYPERLINK("https://creighton-primo.hosted.exlibrisgroup.com/primo-explore/search?tab=default_tab&amp;search_scope=EVERYTHING&amp;vid=01CRU&amp;lang=en_US&amp;offset=0&amp;query=any,contains,991004659669702656","Catalog Record")</f>
        <v/>
      </c>
      <c r="AT391">
        <f>HYPERLINK("http://www.worldcat.org/oclc/4496414","WorldCat Record")</f>
        <v/>
      </c>
      <c r="AU391" t="inlineStr">
        <is>
          <t>14775194:eng</t>
        </is>
      </c>
      <c r="AV391" t="inlineStr">
        <is>
          <t>4496414</t>
        </is>
      </c>
      <c r="AW391" t="inlineStr">
        <is>
          <t>991004659669702656</t>
        </is>
      </c>
      <c r="AX391" t="inlineStr">
        <is>
          <t>991004659669702656</t>
        </is>
      </c>
      <c r="AY391" t="inlineStr">
        <is>
          <t>2268652040002656</t>
        </is>
      </c>
      <c r="AZ391" t="inlineStr">
        <is>
          <t>BOOK</t>
        </is>
      </c>
      <c r="BB391" t="inlineStr">
        <is>
          <t>9780534006228</t>
        </is>
      </c>
      <c r="BC391" t="inlineStr">
        <is>
          <t>32285001376408</t>
        </is>
      </c>
      <c r="BD391" t="inlineStr">
        <is>
          <t>893337969</t>
        </is>
      </c>
    </row>
    <row r="392">
      <c r="A392" t="inlineStr">
        <is>
          <t>No</t>
        </is>
      </c>
      <c r="B392" t="inlineStr">
        <is>
          <t>LB1033 .P563 1999</t>
        </is>
      </c>
      <c r="C392" t="inlineStr">
        <is>
          <t>0                      LB 1033000P  563         1999</t>
        </is>
      </c>
      <c r="D392" t="inlineStr">
        <is>
          <t>Enhancing relationships between children and teachers / Robert C. Pianta.</t>
        </is>
      </c>
      <c r="F392" t="inlineStr">
        <is>
          <t>No</t>
        </is>
      </c>
      <c r="G392" t="inlineStr">
        <is>
          <t>1</t>
        </is>
      </c>
      <c r="H392" t="inlineStr">
        <is>
          <t>No</t>
        </is>
      </c>
      <c r="I392" t="inlineStr">
        <is>
          <t>No</t>
        </is>
      </c>
      <c r="J392" t="inlineStr">
        <is>
          <t>0</t>
        </is>
      </c>
      <c r="K392" t="inlineStr">
        <is>
          <t>Pianta, Robert C.</t>
        </is>
      </c>
      <c r="L392" t="inlineStr">
        <is>
          <t>Washington, DC : American Psychological Association, c1999.</t>
        </is>
      </c>
      <c r="M392" t="inlineStr">
        <is>
          <t>1999</t>
        </is>
      </c>
      <c r="N392" t="inlineStr">
        <is>
          <t>1st ed.</t>
        </is>
      </c>
      <c r="O392" t="inlineStr">
        <is>
          <t>eng</t>
        </is>
      </c>
      <c r="P392" t="inlineStr">
        <is>
          <t>dcu</t>
        </is>
      </c>
      <c r="R392" t="inlineStr">
        <is>
          <t xml:space="preserve">LB </t>
        </is>
      </c>
      <c r="S392" t="n">
        <v>1</v>
      </c>
      <c r="T392" t="n">
        <v>1</v>
      </c>
      <c r="U392" t="inlineStr">
        <is>
          <t>2010-01-06</t>
        </is>
      </c>
      <c r="V392" t="inlineStr">
        <is>
          <t>2010-01-06</t>
        </is>
      </c>
      <c r="W392" t="inlineStr">
        <is>
          <t>1999-03-23</t>
        </is>
      </c>
      <c r="X392" t="inlineStr">
        <is>
          <t>1999-03-23</t>
        </is>
      </c>
      <c r="Y392" t="n">
        <v>514</v>
      </c>
      <c r="Z392" t="n">
        <v>434</v>
      </c>
      <c r="AA392" t="n">
        <v>512</v>
      </c>
      <c r="AB392" t="n">
        <v>4</v>
      </c>
      <c r="AC392" t="n">
        <v>5</v>
      </c>
      <c r="AD392" t="n">
        <v>23</v>
      </c>
      <c r="AE392" t="n">
        <v>27</v>
      </c>
      <c r="AF392" t="n">
        <v>9</v>
      </c>
      <c r="AG392" t="n">
        <v>11</v>
      </c>
      <c r="AH392" t="n">
        <v>3</v>
      </c>
      <c r="AI392" t="n">
        <v>3</v>
      </c>
      <c r="AJ392" t="n">
        <v>11</v>
      </c>
      <c r="AK392" t="n">
        <v>12</v>
      </c>
      <c r="AL392" t="n">
        <v>3</v>
      </c>
      <c r="AM392" t="n">
        <v>4</v>
      </c>
      <c r="AN392" t="n">
        <v>0</v>
      </c>
      <c r="AO392" t="n">
        <v>0</v>
      </c>
      <c r="AP392" t="inlineStr">
        <is>
          <t>No</t>
        </is>
      </c>
      <c r="AQ392" t="inlineStr">
        <is>
          <t>No</t>
        </is>
      </c>
      <c r="AS392">
        <f>HYPERLINK("https://creighton-primo.hosted.exlibrisgroup.com/primo-explore/search?tab=default_tab&amp;search_scope=EVERYTHING&amp;vid=01CRU&amp;lang=en_US&amp;offset=0&amp;query=any,contains,991002970159702656","Catalog Record")</f>
        <v/>
      </c>
      <c r="AT392">
        <f>HYPERLINK("http://www.worldcat.org/oclc/39763464","WorldCat Record")</f>
        <v/>
      </c>
      <c r="AU392" t="inlineStr">
        <is>
          <t>36516719:eng</t>
        </is>
      </c>
      <c r="AV392" t="inlineStr">
        <is>
          <t>39763464</t>
        </is>
      </c>
      <c r="AW392" t="inlineStr">
        <is>
          <t>991002970159702656</t>
        </is>
      </c>
      <c r="AX392" t="inlineStr">
        <is>
          <t>991002970159702656</t>
        </is>
      </c>
      <c r="AY392" t="inlineStr">
        <is>
          <t>2265716640002656</t>
        </is>
      </c>
      <c r="AZ392" t="inlineStr">
        <is>
          <t>BOOK</t>
        </is>
      </c>
      <c r="BB392" t="inlineStr">
        <is>
          <t>9781557985422</t>
        </is>
      </c>
      <c r="BC392" t="inlineStr">
        <is>
          <t>32285003534947</t>
        </is>
      </c>
      <c r="BD392" t="inlineStr">
        <is>
          <t>893323588</t>
        </is>
      </c>
    </row>
    <row r="393">
      <c r="A393" t="inlineStr">
        <is>
          <t>No</t>
        </is>
      </c>
      <c r="B393" t="inlineStr">
        <is>
          <t>LB1037 .A3 1969</t>
        </is>
      </c>
      <c r="C393" t="inlineStr">
        <is>
          <t>0                      LB 1037000A  3           1969</t>
        </is>
      </c>
      <c r="D393" t="inlineStr">
        <is>
          <t>Confessions of a school master.</t>
        </is>
      </c>
      <c r="F393" t="inlineStr">
        <is>
          <t>No</t>
        </is>
      </c>
      <c r="G393" t="inlineStr">
        <is>
          <t>1</t>
        </is>
      </c>
      <c r="H393" t="inlineStr">
        <is>
          <t>No</t>
        </is>
      </c>
      <c r="I393" t="inlineStr">
        <is>
          <t>No</t>
        </is>
      </c>
      <c r="J393" t="inlineStr">
        <is>
          <t>0</t>
        </is>
      </c>
      <c r="K393" t="inlineStr">
        <is>
          <t>Alcott, William A. (William Andrus), 1798-1859.</t>
        </is>
      </c>
      <c r="L393" t="inlineStr">
        <is>
          <t>New York, Arno Press, 1969.</t>
        </is>
      </c>
      <c r="M393" t="inlineStr">
        <is>
          <t>1969</t>
        </is>
      </c>
      <c r="O393" t="inlineStr">
        <is>
          <t>eng</t>
        </is>
      </c>
      <c r="P393" t="inlineStr">
        <is>
          <t>nyu</t>
        </is>
      </c>
      <c r="Q393" t="inlineStr">
        <is>
          <t>American education--its men, ideas, and institutions</t>
        </is>
      </c>
      <c r="R393" t="inlineStr">
        <is>
          <t xml:space="preserve">LB </t>
        </is>
      </c>
      <c r="S393" t="n">
        <v>5</v>
      </c>
      <c r="T393" t="n">
        <v>5</v>
      </c>
      <c r="U393" t="inlineStr">
        <is>
          <t>2001-10-30</t>
        </is>
      </c>
      <c r="V393" t="inlineStr">
        <is>
          <t>2001-10-30</t>
        </is>
      </c>
      <c r="W393" t="inlineStr">
        <is>
          <t>1992-10-23</t>
        </is>
      </c>
      <c r="X393" t="inlineStr">
        <is>
          <t>1992-10-23</t>
        </is>
      </c>
      <c r="Y393" t="n">
        <v>292</v>
      </c>
      <c r="Z393" t="n">
        <v>281</v>
      </c>
      <c r="AA393" t="n">
        <v>336</v>
      </c>
      <c r="AB393" t="n">
        <v>3</v>
      </c>
      <c r="AC393" t="n">
        <v>3</v>
      </c>
      <c r="AD393" t="n">
        <v>14</v>
      </c>
      <c r="AE393" t="n">
        <v>15</v>
      </c>
      <c r="AF393" t="n">
        <v>2</v>
      </c>
      <c r="AG393" t="n">
        <v>2</v>
      </c>
      <c r="AH393" t="n">
        <v>3</v>
      </c>
      <c r="AI393" t="n">
        <v>4</v>
      </c>
      <c r="AJ393" t="n">
        <v>9</v>
      </c>
      <c r="AK393" t="n">
        <v>9</v>
      </c>
      <c r="AL393" t="n">
        <v>2</v>
      </c>
      <c r="AM393" t="n">
        <v>2</v>
      </c>
      <c r="AN393" t="n">
        <v>0</v>
      </c>
      <c r="AO393" t="n">
        <v>0</v>
      </c>
      <c r="AP393" t="inlineStr">
        <is>
          <t>No</t>
        </is>
      </c>
      <c r="AQ393" t="inlineStr">
        <is>
          <t>Yes</t>
        </is>
      </c>
      <c r="AR393">
        <f>HYPERLINK("http://catalog.hathitrust.org/Record/001279649","HathiTrust Record")</f>
        <v/>
      </c>
      <c r="AS393">
        <f>HYPERLINK("https://creighton-primo.hosted.exlibrisgroup.com/primo-explore/search?tab=default_tab&amp;search_scope=EVERYTHING&amp;vid=01CRU&amp;lang=en_US&amp;offset=0&amp;query=any,contains,991000454999702656","Catalog Record")</f>
        <v/>
      </c>
      <c r="AT393">
        <f>HYPERLINK("http://www.worldcat.org/oclc/77776","WorldCat Record")</f>
        <v/>
      </c>
      <c r="AU393" t="inlineStr">
        <is>
          <t>1253470:eng</t>
        </is>
      </c>
      <c r="AV393" t="inlineStr">
        <is>
          <t>77776</t>
        </is>
      </c>
      <c r="AW393" t="inlineStr">
        <is>
          <t>991000454999702656</t>
        </is>
      </c>
      <c r="AX393" t="inlineStr">
        <is>
          <t>991000454999702656</t>
        </is>
      </c>
      <c r="AY393" t="inlineStr">
        <is>
          <t>2256524960002656</t>
        </is>
      </c>
      <c r="AZ393" t="inlineStr">
        <is>
          <t>BOOK</t>
        </is>
      </c>
      <c r="BC393" t="inlineStr">
        <is>
          <t>32285001376432</t>
        </is>
      </c>
      <c r="BD393" t="inlineStr">
        <is>
          <t>893261472</t>
        </is>
      </c>
    </row>
    <row r="394">
      <c r="A394" t="inlineStr">
        <is>
          <t>No</t>
        </is>
      </c>
      <c r="B394" t="inlineStr">
        <is>
          <t>LB1038 .D34 1983</t>
        </is>
      </c>
      <c r="C394" t="inlineStr">
        <is>
          <t>0                      LB 1038000D  34          1983</t>
        </is>
      </c>
      <c r="D394" t="inlineStr">
        <is>
          <t>Scheduling the secondary school / Richard A. Dempsey, Henry P. Traverso.</t>
        </is>
      </c>
      <c r="F394" t="inlineStr">
        <is>
          <t>No</t>
        </is>
      </c>
      <c r="G394" t="inlineStr">
        <is>
          <t>1</t>
        </is>
      </c>
      <c r="H394" t="inlineStr">
        <is>
          <t>No</t>
        </is>
      </c>
      <c r="I394" t="inlineStr">
        <is>
          <t>No</t>
        </is>
      </c>
      <c r="J394" t="inlineStr">
        <is>
          <t>0</t>
        </is>
      </c>
      <c r="K394" t="inlineStr">
        <is>
          <t>Dempsey, Richard A., 1932-</t>
        </is>
      </c>
      <c r="L394" t="inlineStr">
        <is>
          <t>Reston, Va. : National Association of Secondary School Principals, c1983.</t>
        </is>
      </c>
      <c r="M394" t="inlineStr">
        <is>
          <t>1983</t>
        </is>
      </c>
      <c r="O394" t="inlineStr">
        <is>
          <t>eng</t>
        </is>
      </c>
      <c r="P394" t="inlineStr">
        <is>
          <t>vau</t>
        </is>
      </c>
      <c r="R394" t="inlineStr">
        <is>
          <t xml:space="preserve">LB </t>
        </is>
      </c>
      <c r="S394" t="n">
        <v>1</v>
      </c>
      <c r="T394" t="n">
        <v>1</v>
      </c>
      <c r="U394" t="inlineStr">
        <is>
          <t>2008-06-20</t>
        </is>
      </c>
      <c r="V394" t="inlineStr">
        <is>
          <t>2008-06-20</t>
        </is>
      </c>
      <c r="W394" t="inlineStr">
        <is>
          <t>1992-10-23</t>
        </is>
      </c>
      <c r="X394" t="inlineStr">
        <is>
          <t>1992-10-23</t>
        </is>
      </c>
      <c r="Y394" t="n">
        <v>450</v>
      </c>
      <c r="Z394" t="n">
        <v>404</v>
      </c>
      <c r="AA394" t="n">
        <v>406</v>
      </c>
      <c r="AB394" t="n">
        <v>8</v>
      </c>
      <c r="AC394" t="n">
        <v>8</v>
      </c>
      <c r="AD394" t="n">
        <v>22</v>
      </c>
      <c r="AE394" t="n">
        <v>22</v>
      </c>
      <c r="AF394" t="n">
        <v>11</v>
      </c>
      <c r="AG394" t="n">
        <v>11</v>
      </c>
      <c r="AH394" t="n">
        <v>2</v>
      </c>
      <c r="AI394" t="n">
        <v>2</v>
      </c>
      <c r="AJ394" t="n">
        <v>7</v>
      </c>
      <c r="AK394" t="n">
        <v>7</v>
      </c>
      <c r="AL394" t="n">
        <v>7</v>
      </c>
      <c r="AM394" t="n">
        <v>7</v>
      </c>
      <c r="AN394" t="n">
        <v>0</v>
      </c>
      <c r="AO394" t="n">
        <v>0</v>
      </c>
      <c r="AP394" t="inlineStr">
        <is>
          <t>No</t>
        </is>
      </c>
      <c r="AQ394" t="inlineStr">
        <is>
          <t>Yes</t>
        </is>
      </c>
      <c r="AR394">
        <f>HYPERLINK("http://catalog.hathitrust.org/Record/000125232","HathiTrust Record")</f>
        <v/>
      </c>
      <c r="AS394">
        <f>HYPERLINK("https://creighton-primo.hosted.exlibrisgroup.com/primo-explore/search?tab=default_tab&amp;search_scope=EVERYTHING&amp;vid=01CRU&amp;lang=en_US&amp;offset=0&amp;query=any,contains,991000325299702656","Catalog Record")</f>
        <v/>
      </c>
      <c r="AT394">
        <f>HYPERLINK("http://www.worldcat.org/oclc/10165255","WorldCat Record")</f>
        <v/>
      </c>
      <c r="AU394" t="inlineStr">
        <is>
          <t>3113487:eng</t>
        </is>
      </c>
      <c r="AV394" t="inlineStr">
        <is>
          <t>10165255</t>
        </is>
      </c>
      <c r="AW394" t="inlineStr">
        <is>
          <t>991000325299702656</t>
        </is>
      </c>
      <c r="AX394" t="inlineStr">
        <is>
          <t>991000325299702656</t>
        </is>
      </c>
      <c r="AY394" t="inlineStr">
        <is>
          <t>2262314330002656</t>
        </is>
      </c>
      <c r="AZ394" t="inlineStr">
        <is>
          <t>BOOK</t>
        </is>
      </c>
      <c r="BB394" t="inlineStr">
        <is>
          <t>9780882101477</t>
        </is>
      </c>
      <c r="BC394" t="inlineStr">
        <is>
          <t>32285001376457</t>
        </is>
      </c>
      <c r="BD394" t="inlineStr">
        <is>
          <t>893231032</t>
        </is>
      </c>
    </row>
    <row r="395">
      <c r="A395" t="inlineStr">
        <is>
          <t>No</t>
        </is>
      </c>
      <c r="B395" t="inlineStr">
        <is>
          <t>LB1042 .C468 2007</t>
        </is>
      </c>
      <c r="C395" t="inlineStr">
        <is>
          <t>0                      LB 1042000C  468         2007</t>
        </is>
      </c>
      <c r="D395" t="inlineStr">
        <is>
          <t>Stories on the move : integrating literature and movement with children, from infants to age 14 / Arlene Cohen ; illustrations by Andrea Fitcha McAllister.</t>
        </is>
      </c>
      <c r="F395" t="inlineStr">
        <is>
          <t>No</t>
        </is>
      </c>
      <c r="G395" t="inlineStr">
        <is>
          <t>1</t>
        </is>
      </c>
      <c r="H395" t="inlineStr">
        <is>
          <t>No</t>
        </is>
      </c>
      <c r="I395" t="inlineStr">
        <is>
          <t>No</t>
        </is>
      </c>
      <c r="J395" t="inlineStr">
        <is>
          <t>0</t>
        </is>
      </c>
      <c r="K395" t="inlineStr">
        <is>
          <t>Cohen, Arlene.</t>
        </is>
      </c>
      <c r="L395" t="inlineStr">
        <is>
          <t>Westport, Conn. : Libraries Unlimited, 2007.</t>
        </is>
      </c>
      <c r="M395" t="inlineStr">
        <is>
          <t>2007</t>
        </is>
      </c>
      <c r="O395" t="inlineStr">
        <is>
          <t>eng</t>
        </is>
      </c>
      <c r="P395" t="inlineStr">
        <is>
          <t>ctu</t>
        </is>
      </c>
      <c r="R395" t="inlineStr">
        <is>
          <t xml:space="preserve">LB </t>
        </is>
      </c>
      <c r="S395" t="n">
        <v>1</v>
      </c>
      <c r="T395" t="n">
        <v>1</v>
      </c>
      <c r="U395" t="inlineStr">
        <is>
          <t>2007-09-11</t>
        </is>
      </c>
      <c r="V395" t="inlineStr">
        <is>
          <t>2007-09-11</t>
        </is>
      </c>
      <c r="W395" t="inlineStr">
        <is>
          <t>2007-09-11</t>
        </is>
      </c>
      <c r="X395" t="inlineStr">
        <is>
          <t>2007-09-11</t>
        </is>
      </c>
      <c r="Y395" t="n">
        <v>295</v>
      </c>
      <c r="Z395" t="n">
        <v>261</v>
      </c>
      <c r="AA395" t="n">
        <v>913</v>
      </c>
      <c r="AB395" t="n">
        <v>4</v>
      </c>
      <c r="AC395" t="n">
        <v>15</v>
      </c>
      <c r="AD395" t="n">
        <v>6</v>
      </c>
      <c r="AE395" t="n">
        <v>23</v>
      </c>
      <c r="AF395" t="n">
        <v>1</v>
      </c>
      <c r="AG395" t="n">
        <v>10</v>
      </c>
      <c r="AH395" t="n">
        <v>1</v>
      </c>
      <c r="AI395" t="n">
        <v>2</v>
      </c>
      <c r="AJ395" t="n">
        <v>5</v>
      </c>
      <c r="AK395" t="n">
        <v>8</v>
      </c>
      <c r="AL395" t="n">
        <v>1</v>
      </c>
      <c r="AM395" t="n">
        <v>8</v>
      </c>
      <c r="AN395" t="n">
        <v>0</v>
      </c>
      <c r="AO395" t="n">
        <v>0</v>
      </c>
      <c r="AP395" t="inlineStr">
        <is>
          <t>No</t>
        </is>
      </c>
      <c r="AQ395" t="inlineStr">
        <is>
          <t>No</t>
        </is>
      </c>
      <c r="AS395">
        <f>HYPERLINK("https://creighton-primo.hosted.exlibrisgroup.com/primo-explore/search?tab=default_tab&amp;search_scope=EVERYTHING&amp;vid=01CRU&amp;lang=en_US&amp;offset=0&amp;query=any,contains,991005109409702656","Catalog Record")</f>
        <v/>
      </c>
      <c r="AT395">
        <f>HYPERLINK("http://www.worldcat.org/oclc/84151272","WorldCat Record")</f>
        <v/>
      </c>
      <c r="AU395" t="inlineStr">
        <is>
          <t>802081046:eng</t>
        </is>
      </c>
      <c r="AV395" t="inlineStr">
        <is>
          <t>84151272</t>
        </is>
      </c>
      <c r="AW395" t="inlineStr">
        <is>
          <t>991005109409702656</t>
        </is>
      </c>
      <c r="AX395" t="inlineStr">
        <is>
          <t>991005109409702656</t>
        </is>
      </c>
      <c r="AY395" t="inlineStr">
        <is>
          <t>2260122930002656</t>
        </is>
      </c>
      <c r="AZ395" t="inlineStr">
        <is>
          <t>BOOK</t>
        </is>
      </c>
      <c r="BB395" t="inlineStr">
        <is>
          <t>9781591584186</t>
        </is>
      </c>
      <c r="BC395" t="inlineStr">
        <is>
          <t>32285005324750</t>
        </is>
      </c>
      <c r="BD395" t="inlineStr">
        <is>
          <t>893320037</t>
        </is>
      </c>
    </row>
    <row r="396">
      <c r="A396" t="inlineStr">
        <is>
          <t>No</t>
        </is>
      </c>
      <c r="B396" t="inlineStr">
        <is>
          <t>LB1042 .J68 1996</t>
        </is>
      </c>
      <c r="C396" t="inlineStr">
        <is>
          <t>0                      LB 1042000J  68          1996</t>
        </is>
      </c>
      <c r="D396" t="inlineStr">
        <is>
          <t>Journey to school reform : moving from reflection to action through story telling / David K. Wallace, editor.</t>
        </is>
      </c>
      <c r="F396" t="inlineStr">
        <is>
          <t>No</t>
        </is>
      </c>
      <c r="G396" t="inlineStr">
        <is>
          <t>1</t>
        </is>
      </c>
      <c r="H396" t="inlineStr">
        <is>
          <t>No</t>
        </is>
      </c>
      <c r="I396" t="inlineStr">
        <is>
          <t>No</t>
        </is>
      </c>
      <c r="J396" t="inlineStr">
        <is>
          <t>0</t>
        </is>
      </c>
      <c r="L396" t="inlineStr">
        <is>
          <t>Washington, D.C. : NEA Professional Library, c1996.</t>
        </is>
      </c>
      <c r="M396" t="inlineStr">
        <is>
          <t>1996</t>
        </is>
      </c>
      <c r="O396" t="inlineStr">
        <is>
          <t>eng</t>
        </is>
      </c>
      <c r="P396" t="inlineStr">
        <is>
          <t>dcu</t>
        </is>
      </c>
      <c r="R396" t="inlineStr">
        <is>
          <t xml:space="preserve">LB </t>
        </is>
      </c>
      <c r="S396" t="n">
        <v>1</v>
      </c>
      <c r="T396" t="n">
        <v>1</v>
      </c>
      <c r="U396" t="inlineStr">
        <is>
          <t>2000-06-07</t>
        </is>
      </c>
      <c r="V396" t="inlineStr">
        <is>
          <t>2000-06-07</t>
        </is>
      </c>
      <c r="W396" t="inlineStr">
        <is>
          <t>1996-05-14</t>
        </is>
      </c>
      <c r="X396" t="inlineStr">
        <is>
          <t>1996-05-14</t>
        </is>
      </c>
      <c r="Y396" t="n">
        <v>209</v>
      </c>
      <c r="Z396" t="n">
        <v>199</v>
      </c>
      <c r="AA396" t="n">
        <v>199</v>
      </c>
      <c r="AB396" t="n">
        <v>4</v>
      </c>
      <c r="AC396" t="n">
        <v>4</v>
      </c>
      <c r="AD396" t="n">
        <v>7</v>
      </c>
      <c r="AE396" t="n">
        <v>7</v>
      </c>
      <c r="AF396" t="n">
        <v>2</v>
      </c>
      <c r="AG396" t="n">
        <v>2</v>
      </c>
      <c r="AH396" t="n">
        <v>1</v>
      </c>
      <c r="AI396" t="n">
        <v>1</v>
      </c>
      <c r="AJ396" t="n">
        <v>2</v>
      </c>
      <c r="AK396" t="n">
        <v>2</v>
      </c>
      <c r="AL396" t="n">
        <v>3</v>
      </c>
      <c r="AM396" t="n">
        <v>3</v>
      </c>
      <c r="AN396" t="n">
        <v>0</v>
      </c>
      <c r="AO396" t="n">
        <v>0</v>
      </c>
      <c r="AP396" t="inlineStr">
        <is>
          <t>No</t>
        </is>
      </c>
      <c r="AQ396" t="inlineStr">
        <is>
          <t>No</t>
        </is>
      </c>
      <c r="AS396">
        <f>HYPERLINK("https://creighton-primo.hosted.exlibrisgroup.com/primo-explore/search?tab=default_tab&amp;search_scope=EVERYTHING&amp;vid=01CRU&amp;lang=en_US&amp;offset=0&amp;query=any,contains,991002652099702656","Catalog Record")</f>
        <v/>
      </c>
      <c r="AT396">
        <f>HYPERLINK("http://www.worldcat.org/oclc/34687579","WorldCat Record")</f>
        <v/>
      </c>
      <c r="AU396" t="inlineStr">
        <is>
          <t>40642773:eng</t>
        </is>
      </c>
      <c r="AV396" t="inlineStr">
        <is>
          <t>34687579</t>
        </is>
      </c>
      <c r="AW396" t="inlineStr">
        <is>
          <t>991002652099702656</t>
        </is>
      </c>
      <c r="AX396" t="inlineStr">
        <is>
          <t>991002652099702656</t>
        </is>
      </c>
      <c r="AY396" t="inlineStr">
        <is>
          <t>2265539790002656</t>
        </is>
      </c>
      <c r="AZ396" t="inlineStr">
        <is>
          <t>BOOK</t>
        </is>
      </c>
      <c r="BC396" t="inlineStr">
        <is>
          <t>32285002167889</t>
        </is>
      </c>
      <c r="BD396" t="inlineStr">
        <is>
          <t>893721558</t>
        </is>
      </c>
    </row>
    <row r="397">
      <c r="A397" t="inlineStr">
        <is>
          <t>No</t>
        </is>
      </c>
      <c r="B397" t="inlineStr">
        <is>
          <t>LB1042 .W56 1997</t>
        </is>
      </c>
      <c r="C397" t="inlineStr">
        <is>
          <t>0                      LB 1042000W  56          1997</t>
        </is>
      </c>
      <c r="D397" t="inlineStr">
        <is>
          <t>Keepsakes : using family stories in elementary classrooms / Linda Winston.</t>
        </is>
      </c>
      <c r="F397" t="inlineStr">
        <is>
          <t>No</t>
        </is>
      </c>
      <c r="G397" t="inlineStr">
        <is>
          <t>1</t>
        </is>
      </c>
      <c r="H397" t="inlineStr">
        <is>
          <t>No</t>
        </is>
      </c>
      <c r="I397" t="inlineStr">
        <is>
          <t>No</t>
        </is>
      </c>
      <c r="J397" t="inlineStr">
        <is>
          <t>0</t>
        </is>
      </c>
      <c r="K397" t="inlineStr">
        <is>
          <t>Winston, Linda.</t>
        </is>
      </c>
      <c r="L397" t="inlineStr">
        <is>
          <t>Portsmouth, NH : Heinemann, c1997.</t>
        </is>
      </c>
      <c r="M397" t="inlineStr">
        <is>
          <t>1997</t>
        </is>
      </c>
      <c r="O397" t="inlineStr">
        <is>
          <t>eng</t>
        </is>
      </c>
      <c r="P397" t="inlineStr">
        <is>
          <t>nhu</t>
        </is>
      </c>
      <c r="R397" t="inlineStr">
        <is>
          <t xml:space="preserve">LB </t>
        </is>
      </c>
      <c r="S397" t="n">
        <v>1</v>
      </c>
      <c r="T397" t="n">
        <v>1</v>
      </c>
      <c r="U397" t="inlineStr">
        <is>
          <t>2006-11-06</t>
        </is>
      </c>
      <c r="V397" t="inlineStr">
        <is>
          <t>2006-11-06</t>
        </is>
      </c>
      <c r="W397" t="inlineStr">
        <is>
          <t>2006-11-06</t>
        </is>
      </c>
      <c r="X397" t="inlineStr">
        <is>
          <t>2006-11-06</t>
        </is>
      </c>
      <c r="Y397" t="n">
        <v>280</v>
      </c>
      <c r="Z397" t="n">
        <v>269</v>
      </c>
      <c r="AA397" t="n">
        <v>270</v>
      </c>
      <c r="AB397" t="n">
        <v>5</v>
      </c>
      <c r="AC397" t="n">
        <v>5</v>
      </c>
      <c r="AD397" t="n">
        <v>13</v>
      </c>
      <c r="AE397" t="n">
        <v>13</v>
      </c>
      <c r="AF397" t="n">
        <v>4</v>
      </c>
      <c r="AG397" t="n">
        <v>4</v>
      </c>
      <c r="AH397" t="n">
        <v>2</v>
      </c>
      <c r="AI397" t="n">
        <v>2</v>
      </c>
      <c r="AJ397" t="n">
        <v>6</v>
      </c>
      <c r="AK397" t="n">
        <v>6</v>
      </c>
      <c r="AL397" t="n">
        <v>4</v>
      </c>
      <c r="AM397" t="n">
        <v>4</v>
      </c>
      <c r="AN397" t="n">
        <v>0</v>
      </c>
      <c r="AO397" t="n">
        <v>0</v>
      </c>
      <c r="AP397" t="inlineStr">
        <is>
          <t>No</t>
        </is>
      </c>
      <c r="AQ397" t="inlineStr">
        <is>
          <t>No</t>
        </is>
      </c>
      <c r="AS397">
        <f>HYPERLINK("https://creighton-primo.hosted.exlibrisgroup.com/primo-explore/search?tab=default_tab&amp;search_scope=EVERYTHING&amp;vid=01CRU&amp;lang=en_US&amp;offset=0&amp;query=any,contains,991004969019702656","Catalog Record")</f>
        <v/>
      </c>
      <c r="AT397">
        <f>HYPERLINK("http://www.worldcat.org/oclc/35986299","WorldCat Record")</f>
        <v/>
      </c>
      <c r="AU397" t="inlineStr">
        <is>
          <t>3740832217:eng</t>
        </is>
      </c>
      <c r="AV397" t="inlineStr">
        <is>
          <t>35986299</t>
        </is>
      </c>
      <c r="AW397" t="inlineStr">
        <is>
          <t>991004969019702656</t>
        </is>
      </c>
      <c r="AX397" t="inlineStr">
        <is>
          <t>991004969019702656</t>
        </is>
      </c>
      <c r="AY397" t="inlineStr">
        <is>
          <t>2269039630002656</t>
        </is>
      </c>
      <c r="AZ397" t="inlineStr">
        <is>
          <t>BOOK</t>
        </is>
      </c>
      <c r="BB397" t="inlineStr">
        <is>
          <t>9780435072353</t>
        </is>
      </c>
      <c r="BC397" t="inlineStr">
        <is>
          <t>32285005236640</t>
        </is>
      </c>
      <c r="BD397" t="inlineStr">
        <is>
          <t>893889490</t>
        </is>
      </c>
    </row>
    <row r="398">
      <c r="A398" t="inlineStr">
        <is>
          <t>No</t>
        </is>
      </c>
      <c r="B398" t="inlineStr">
        <is>
          <t>LB1043 .B755 1986</t>
        </is>
      </c>
      <c r="C398" t="inlineStr">
        <is>
          <t>0                      LB 1043000B  755         1986</t>
        </is>
      </c>
      <c r="D398" t="inlineStr">
        <is>
          <t>Taking advantage of media : a manual for parents and teachers / Laurene Krasny Brown.</t>
        </is>
      </c>
      <c r="F398" t="inlineStr">
        <is>
          <t>No</t>
        </is>
      </c>
      <c r="G398" t="inlineStr">
        <is>
          <t>1</t>
        </is>
      </c>
      <c r="H398" t="inlineStr">
        <is>
          <t>No</t>
        </is>
      </c>
      <c r="I398" t="inlineStr">
        <is>
          <t>No</t>
        </is>
      </c>
      <c r="J398" t="inlineStr">
        <is>
          <t>0</t>
        </is>
      </c>
      <c r="K398" t="inlineStr">
        <is>
          <t>Brown, Laurene Krasny.</t>
        </is>
      </c>
      <c r="L398" t="inlineStr">
        <is>
          <t>Boston : Routledge &amp; K. Paul, 1986.</t>
        </is>
      </c>
      <c r="M398" t="inlineStr">
        <is>
          <t>1986</t>
        </is>
      </c>
      <c r="O398" t="inlineStr">
        <is>
          <t>eng</t>
        </is>
      </c>
      <c r="P398" t="inlineStr">
        <is>
          <t>mau</t>
        </is>
      </c>
      <c r="R398" t="inlineStr">
        <is>
          <t xml:space="preserve">LB </t>
        </is>
      </c>
      <c r="S398" t="n">
        <v>1</v>
      </c>
      <c r="T398" t="n">
        <v>1</v>
      </c>
      <c r="U398" t="inlineStr">
        <is>
          <t>2004-04-26</t>
        </is>
      </c>
      <c r="V398" t="inlineStr">
        <is>
          <t>2004-04-26</t>
        </is>
      </c>
      <c r="W398" t="inlineStr">
        <is>
          <t>1992-10-23</t>
        </is>
      </c>
      <c r="X398" t="inlineStr">
        <is>
          <t>1992-10-23</t>
        </is>
      </c>
      <c r="Y398" t="n">
        <v>312</v>
      </c>
      <c r="Z398" t="n">
        <v>225</v>
      </c>
      <c r="AA398" t="n">
        <v>231</v>
      </c>
      <c r="AB398" t="n">
        <v>2</v>
      </c>
      <c r="AC398" t="n">
        <v>2</v>
      </c>
      <c r="AD398" t="n">
        <v>12</v>
      </c>
      <c r="AE398" t="n">
        <v>12</v>
      </c>
      <c r="AF398" t="n">
        <v>5</v>
      </c>
      <c r="AG398" t="n">
        <v>5</v>
      </c>
      <c r="AH398" t="n">
        <v>3</v>
      </c>
      <c r="AI398" t="n">
        <v>3</v>
      </c>
      <c r="AJ398" t="n">
        <v>6</v>
      </c>
      <c r="AK398" t="n">
        <v>6</v>
      </c>
      <c r="AL398" t="n">
        <v>1</v>
      </c>
      <c r="AM398" t="n">
        <v>1</v>
      </c>
      <c r="AN398" t="n">
        <v>0</v>
      </c>
      <c r="AO398" t="n">
        <v>0</v>
      </c>
      <c r="AP398" t="inlineStr">
        <is>
          <t>No</t>
        </is>
      </c>
      <c r="AQ398" t="inlineStr">
        <is>
          <t>No</t>
        </is>
      </c>
      <c r="AS398">
        <f>HYPERLINK("https://creighton-primo.hosted.exlibrisgroup.com/primo-explore/search?tab=default_tab&amp;search_scope=EVERYTHING&amp;vid=01CRU&amp;lang=en_US&amp;offset=0&amp;query=any,contains,991000683149702656","Catalog Record")</f>
        <v/>
      </c>
      <c r="AT398">
        <f>HYPERLINK("http://www.worldcat.org/oclc/12418880","WorldCat Record")</f>
        <v/>
      </c>
      <c r="AU398" t="inlineStr">
        <is>
          <t>281128772:eng</t>
        </is>
      </c>
      <c r="AV398" t="inlineStr">
        <is>
          <t>12418880</t>
        </is>
      </c>
      <c r="AW398" t="inlineStr">
        <is>
          <t>991000683149702656</t>
        </is>
      </c>
      <c r="AX398" t="inlineStr">
        <is>
          <t>991000683149702656</t>
        </is>
      </c>
      <c r="AY398" t="inlineStr">
        <is>
          <t>2262485720002656</t>
        </is>
      </c>
      <c r="AZ398" t="inlineStr">
        <is>
          <t>BOOK</t>
        </is>
      </c>
      <c r="BB398" t="inlineStr">
        <is>
          <t>9780710204028</t>
        </is>
      </c>
      <c r="BC398" t="inlineStr">
        <is>
          <t>32285001376481</t>
        </is>
      </c>
      <c r="BD398" t="inlineStr">
        <is>
          <t>893790761</t>
        </is>
      </c>
    </row>
    <row r="399">
      <c r="A399" t="inlineStr">
        <is>
          <t>No</t>
        </is>
      </c>
      <c r="B399" t="inlineStr">
        <is>
          <t>LB1043.5 .I65</t>
        </is>
      </c>
      <c r="C399" t="inlineStr">
        <is>
          <t>0                      LB 1043500I  65</t>
        </is>
      </c>
      <c r="D399" t="inlineStr">
        <is>
          <t>Involvement bulletin boards. Bulletin coordinator: Dorothy J. Mugge. Associate editors: Virginia R. Rapport and Sylvia Sunderlin.</t>
        </is>
      </c>
      <c r="F399" t="inlineStr">
        <is>
          <t>No</t>
        </is>
      </c>
      <c r="G399" t="inlineStr">
        <is>
          <t>1</t>
        </is>
      </c>
      <c r="H399" t="inlineStr">
        <is>
          <t>No</t>
        </is>
      </c>
      <c r="I399" t="inlineStr">
        <is>
          <t>No</t>
        </is>
      </c>
      <c r="J399" t="inlineStr">
        <is>
          <t>0</t>
        </is>
      </c>
      <c r="L399" t="inlineStr">
        <is>
          <t>Washington, Association for Childhood Education International [1970]</t>
        </is>
      </c>
      <c r="M399" t="inlineStr">
        <is>
          <t>1970</t>
        </is>
      </c>
      <c r="O399" t="inlineStr">
        <is>
          <t>eng</t>
        </is>
      </c>
      <c r="P399" t="inlineStr">
        <is>
          <t>dcu</t>
        </is>
      </c>
      <c r="R399" t="inlineStr">
        <is>
          <t xml:space="preserve">LB </t>
        </is>
      </c>
      <c r="S399" t="n">
        <v>2</v>
      </c>
      <c r="T399" t="n">
        <v>2</v>
      </c>
      <c r="U399" t="inlineStr">
        <is>
          <t>2009-08-12</t>
        </is>
      </c>
      <c r="V399" t="inlineStr">
        <is>
          <t>2009-08-12</t>
        </is>
      </c>
      <c r="W399" t="inlineStr">
        <is>
          <t>1998-01-28</t>
        </is>
      </c>
      <c r="X399" t="inlineStr">
        <is>
          <t>1998-01-28</t>
        </is>
      </c>
      <c r="Y399" t="n">
        <v>140</v>
      </c>
      <c r="Z399" t="n">
        <v>131</v>
      </c>
      <c r="AA399" t="n">
        <v>148</v>
      </c>
      <c r="AB399" t="n">
        <v>4</v>
      </c>
      <c r="AC399" t="n">
        <v>4</v>
      </c>
      <c r="AD399" t="n">
        <v>3</v>
      </c>
      <c r="AE399" t="n">
        <v>3</v>
      </c>
      <c r="AF399" t="n">
        <v>0</v>
      </c>
      <c r="AG399" t="n">
        <v>0</v>
      </c>
      <c r="AH399" t="n">
        <v>0</v>
      </c>
      <c r="AI399" t="n">
        <v>0</v>
      </c>
      <c r="AJ399" t="n">
        <v>0</v>
      </c>
      <c r="AK399" t="n">
        <v>0</v>
      </c>
      <c r="AL399" t="n">
        <v>3</v>
      </c>
      <c r="AM399" t="n">
        <v>3</v>
      </c>
      <c r="AN399" t="n">
        <v>0</v>
      </c>
      <c r="AO399" t="n">
        <v>0</v>
      </c>
      <c r="AP399" t="inlineStr">
        <is>
          <t>No</t>
        </is>
      </c>
      <c r="AQ399" t="inlineStr">
        <is>
          <t>Yes</t>
        </is>
      </c>
      <c r="AR399">
        <f>HYPERLINK("http://catalog.hathitrust.org/Record/000011246","HathiTrust Record")</f>
        <v/>
      </c>
      <c r="AS399">
        <f>HYPERLINK("https://creighton-primo.hosted.exlibrisgroup.com/primo-explore/search?tab=default_tab&amp;search_scope=EVERYTHING&amp;vid=01CRU&amp;lang=en_US&amp;offset=0&amp;query=any,contains,991003239969702656","Catalog Record")</f>
        <v/>
      </c>
      <c r="AT399">
        <f>HYPERLINK("http://www.worldcat.org/oclc/763371","WorldCat Record")</f>
        <v/>
      </c>
      <c r="AU399" t="inlineStr">
        <is>
          <t>422819757:eng</t>
        </is>
      </c>
      <c r="AV399" t="inlineStr">
        <is>
          <t>763371</t>
        </is>
      </c>
      <c r="AW399" t="inlineStr">
        <is>
          <t>991003239969702656</t>
        </is>
      </c>
      <c r="AX399" t="inlineStr">
        <is>
          <t>991003239969702656</t>
        </is>
      </c>
      <c r="AY399" t="inlineStr">
        <is>
          <t>2266609460002656</t>
        </is>
      </c>
      <c r="AZ399" t="inlineStr">
        <is>
          <t>BOOK</t>
        </is>
      </c>
      <c r="BC399" t="inlineStr">
        <is>
          <t>32285003335576</t>
        </is>
      </c>
      <c r="BD399" t="inlineStr">
        <is>
          <t>893505369</t>
        </is>
      </c>
    </row>
    <row r="400">
      <c r="A400" t="inlineStr">
        <is>
          <t>No</t>
        </is>
      </c>
      <c r="B400" t="inlineStr">
        <is>
          <t>LB1043.58 .D86 1989</t>
        </is>
      </c>
      <c r="C400" t="inlineStr">
        <is>
          <t>0                      LB 1043580D  86          1989</t>
        </is>
      </c>
      <c r="D400" t="inlineStr">
        <is>
          <t>Interactive bulletin boards as teaching tools / Joan M. Dungey.</t>
        </is>
      </c>
      <c r="F400" t="inlineStr">
        <is>
          <t>No</t>
        </is>
      </c>
      <c r="G400" t="inlineStr">
        <is>
          <t>1</t>
        </is>
      </c>
      <c r="H400" t="inlineStr">
        <is>
          <t>No</t>
        </is>
      </c>
      <c r="I400" t="inlineStr">
        <is>
          <t>No</t>
        </is>
      </c>
      <c r="J400" t="inlineStr">
        <is>
          <t>0</t>
        </is>
      </c>
      <c r="K400" t="inlineStr">
        <is>
          <t>Dungey, Joan M.</t>
        </is>
      </c>
      <c r="L400" t="inlineStr">
        <is>
          <t>Washington, D.C. : National Education Association, c1989.</t>
        </is>
      </c>
      <c r="M400" t="inlineStr">
        <is>
          <t>1989</t>
        </is>
      </c>
      <c r="O400" t="inlineStr">
        <is>
          <t>eng</t>
        </is>
      </c>
      <c r="P400" t="inlineStr">
        <is>
          <t>dcu</t>
        </is>
      </c>
      <c r="Q400" t="inlineStr">
        <is>
          <t>Analysis and action series</t>
        </is>
      </c>
      <c r="R400" t="inlineStr">
        <is>
          <t xml:space="preserve">LB </t>
        </is>
      </c>
      <c r="S400" t="n">
        <v>6</v>
      </c>
      <c r="T400" t="n">
        <v>6</v>
      </c>
      <c r="U400" t="inlineStr">
        <is>
          <t>2009-08-12</t>
        </is>
      </c>
      <c r="V400" t="inlineStr">
        <is>
          <t>2009-08-12</t>
        </is>
      </c>
      <c r="W400" t="inlineStr">
        <is>
          <t>1992-10-23</t>
        </is>
      </c>
      <c r="X400" t="inlineStr">
        <is>
          <t>1992-10-23</t>
        </is>
      </c>
      <c r="Y400" t="n">
        <v>310</v>
      </c>
      <c r="Z400" t="n">
        <v>306</v>
      </c>
      <c r="AA400" t="n">
        <v>312</v>
      </c>
      <c r="AB400" t="n">
        <v>6</v>
      </c>
      <c r="AC400" t="n">
        <v>6</v>
      </c>
      <c r="AD400" t="n">
        <v>13</v>
      </c>
      <c r="AE400" t="n">
        <v>13</v>
      </c>
      <c r="AF400" t="n">
        <v>5</v>
      </c>
      <c r="AG400" t="n">
        <v>5</v>
      </c>
      <c r="AH400" t="n">
        <v>2</v>
      </c>
      <c r="AI400" t="n">
        <v>2</v>
      </c>
      <c r="AJ400" t="n">
        <v>4</v>
      </c>
      <c r="AK400" t="n">
        <v>4</v>
      </c>
      <c r="AL400" t="n">
        <v>5</v>
      </c>
      <c r="AM400" t="n">
        <v>5</v>
      </c>
      <c r="AN400" t="n">
        <v>0</v>
      </c>
      <c r="AO400" t="n">
        <v>0</v>
      </c>
      <c r="AP400" t="inlineStr">
        <is>
          <t>No</t>
        </is>
      </c>
      <c r="AQ400" t="inlineStr">
        <is>
          <t>Yes</t>
        </is>
      </c>
      <c r="AR400">
        <f>HYPERLINK("http://catalog.hathitrust.org/Record/001818135","HathiTrust Record")</f>
        <v/>
      </c>
      <c r="AS400">
        <f>HYPERLINK("https://creighton-primo.hosted.exlibrisgroup.com/primo-explore/search?tab=default_tab&amp;search_scope=EVERYTHING&amp;vid=01CRU&amp;lang=en_US&amp;offset=0&amp;query=any,contains,991001444449702656","Catalog Record")</f>
        <v/>
      </c>
      <c r="AT400">
        <f>HYPERLINK("http://www.worldcat.org/oclc/19267557","WorldCat Record")</f>
        <v/>
      </c>
      <c r="AU400" t="inlineStr">
        <is>
          <t>1076033:eng</t>
        </is>
      </c>
      <c r="AV400" t="inlineStr">
        <is>
          <t>19267557</t>
        </is>
      </c>
      <c r="AW400" t="inlineStr">
        <is>
          <t>991001444449702656</t>
        </is>
      </c>
      <c r="AX400" t="inlineStr">
        <is>
          <t>991001444449702656</t>
        </is>
      </c>
      <c r="AY400" t="inlineStr">
        <is>
          <t>2266199500002656</t>
        </is>
      </c>
      <c r="AZ400" t="inlineStr">
        <is>
          <t>BOOK</t>
        </is>
      </c>
      <c r="BB400" t="inlineStr">
        <is>
          <t>9780810633407</t>
        </is>
      </c>
      <c r="BC400" t="inlineStr">
        <is>
          <t>32285001376606</t>
        </is>
      </c>
      <c r="BD400" t="inlineStr">
        <is>
          <t>893256248</t>
        </is>
      </c>
    </row>
    <row r="401">
      <c r="A401" t="inlineStr">
        <is>
          <t>No</t>
        </is>
      </c>
      <c r="B401" t="inlineStr">
        <is>
          <t>LB1043.6 .S44 2002</t>
        </is>
      </c>
      <c r="C401" t="inlineStr">
        <is>
          <t>0                      LB 1043600S  44          2002</t>
        </is>
      </c>
      <c r="D401" t="inlineStr">
        <is>
          <t>Creating rooms of wonder : valuing and displaying children's work to enhance the learning process / Carol Seefeldt ; illustrated by Joan Waites.</t>
        </is>
      </c>
      <c r="F401" t="inlineStr">
        <is>
          <t>No</t>
        </is>
      </c>
      <c r="G401" t="inlineStr">
        <is>
          <t>1</t>
        </is>
      </c>
      <c r="H401" t="inlineStr">
        <is>
          <t>No</t>
        </is>
      </c>
      <c r="I401" t="inlineStr">
        <is>
          <t>No</t>
        </is>
      </c>
      <c r="J401" t="inlineStr">
        <is>
          <t>0</t>
        </is>
      </c>
      <c r="K401" t="inlineStr">
        <is>
          <t>Seefeldt, Carol.</t>
        </is>
      </c>
      <c r="L401" t="inlineStr">
        <is>
          <t>Beltsville, MD : Gryphon House, c2002.</t>
        </is>
      </c>
      <c r="M401" t="inlineStr">
        <is>
          <t>2002</t>
        </is>
      </c>
      <c r="O401" t="inlineStr">
        <is>
          <t>eng</t>
        </is>
      </c>
      <c r="P401" t="inlineStr">
        <is>
          <t>mdu</t>
        </is>
      </c>
      <c r="R401" t="inlineStr">
        <is>
          <t xml:space="preserve">LB </t>
        </is>
      </c>
      <c r="S401" t="n">
        <v>2</v>
      </c>
      <c r="T401" t="n">
        <v>2</v>
      </c>
      <c r="U401" t="inlineStr">
        <is>
          <t>2003-01-08</t>
        </is>
      </c>
      <c r="V401" t="inlineStr">
        <is>
          <t>2003-01-08</t>
        </is>
      </c>
      <c r="W401" t="inlineStr">
        <is>
          <t>2003-01-08</t>
        </is>
      </c>
      <c r="X401" t="inlineStr">
        <is>
          <t>2003-01-08</t>
        </is>
      </c>
      <c r="Y401" t="n">
        <v>316</v>
      </c>
      <c r="Z401" t="n">
        <v>258</v>
      </c>
      <c r="AA401" t="n">
        <v>292</v>
      </c>
      <c r="AB401" t="n">
        <v>3</v>
      </c>
      <c r="AC401" t="n">
        <v>4</v>
      </c>
      <c r="AD401" t="n">
        <v>4</v>
      </c>
      <c r="AE401" t="n">
        <v>8</v>
      </c>
      <c r="AF401" t="n">
        <v>1</v>
      </c>
      <c r="AG401" t="n">
        <v>4</v>
      </c>
      <c r="AH401" t="n">
        <v>0</v>
      </c>
      <c r="AI401" t="n">
        <v>1</v>
      </c>
      <c r="AJ401" t="n">
        <v>3</v>
      </c>
      <c r="AK401" t="n">
        <v>4</v>
      </c>
      <c r="AL401" t="n">
        <v>1</v>
      </c>
      <c r="AM401" t="n">
        <v>2</v>
      </c>
      <c r="AN401" t="n">
        <v>0</v>
      </c>
      <c r="AO401" t="n">
        <v>0</v>
      </c>
      <c r="AP401" t="inlineStr">
        <is>
          <t>No</t>
        </is>
      </c>
      <c r="AQ401" t="inlineStr">
        <is>
          <t>No</t>
        </is>
      </c>
      <c r="AS401">
        <f>HYPERLINK("https://creighton-primo.hosted.exlibrisgroup.com/primo-explore/search?tab=default_tab&amp;search_scope=EVERYTHING&amp;vid=01CRU&amp;lang=en_US&amp;offset=0&amp;query=any,contains,991003952379702656","Catalog Record")</f>
        <v/>
      </c>
      <c r="AT401">
        <f>HYPERLINK("http://www.worldcat.org/oclc/49727734","WorldCat Record")</f>
        <v/>
      </c>
      <c r="AU401" t="inlineStr">
        <is>
          <t>263357:eng</t>
        </is>
      </c>
      <c r="AV401" t="inlineStr">
        <is>
          <t>49727734</t>
        </is>
      </c>
      <c r="AW401" t="inlineStr">
        <is>
          <t>991003952379702656</t>
        </is>
      </c>
      <c r="AX401" t="inlineStr">
        <is>
          <t>991003952379702656</t>
        </is>
      </c>
      <c r="AY401" t="inlineStr">
        <is>
          <t>2264654280002656</t>
        </is>
      </c>
      <c r="AZ401" t="inlineStr">
        <is>
          <t>BOOK</t>
        </is>
      </c>
      <c r="BB401" t="inlineStr">
        <is>
          <t>9780876592656</t>
        </is>
      </c>
      <c r="BC401" t="inlineStr">
        <is>
          <t>32285004692645</t>
        </is>
      </c>
      <c r="BD401" t="inlineStr">
        <is>
          <t>893445954</t>
        </is>
      </c>
    </row>
    <row r="402">
      <c r="A402" t="inlineStr">
        <is>
          <t>No</t>
        </is>
      </c>
      <c r="B402" t="inlineStr">
        <is>
          <t>LB1043.Z9 H37</t>
        </is>
      </c>
      <c r="C402" t="inlineStr">
        <is>
          <t>0                      LB 1043000Z  9                  H  37</t>
        </is>
      </c>
      <c r="D402" t="inlineStr">
        <is>
          <t>Hucksters in the classroom : a review of industry propaganda in schools / by Sheila Harty.</t>
        </is>
      </c>
      <c r="F402" t="inlineStr">
        <is>
          <t>No</t>
        </is>
      </c>
      <c r="G402" t="inlineStr">
        <is>
          <t>1</t>
        </is>
      </c>
      <c r="H402" t="inlineStr">
        <is>
          <t>No</t>
        </is>
      </c>
      <c r="I402" t="inlineStr">
        <is>
          <t>No</t>
        </is>
      </c>
      <c r="J402" t="inlineStr">
        <is>
          <t>0</t>
        </is>
      </c>
      <c r="K402" t="inlineStr">
        <is>
          <t>Harty, Sheila.</t>
        </is>
      </c>
      <c r="L402" t="inlineStr">
        <is>
          <t>Washington, D.C. : Center for Study of Responsive Law, c1979.</t>
        </is>
      </c>
      <c r="M402" t="inlineStr">
        <is>
          <t>1979</t>
        </is>
      </c>
      <c r="O402" t="inlineStr">
        <is>
          <t>eng</t>
        </is>
      </c>
      <c r="P402" t="inlineStr">
        <is>
          <t>dcu</t>
        </is>
      </c>
      <c r="R402" t="inlineStr">
        <is>
          <t xml:space="preserve">LB </t>
        </is>
      </c>
      <c r="S402" t="n">
        <v>3</v>
      </c>
      <c r="T402" t="n">
        <v>3</v>
      </c>
      <c r="U402" t="inlineStr">
        <is>
          <t>2009-08-12</t>
        </is>
      </c>
      <c r="V402" t="inlineStr">
        <is>
          <t>2009-08-12</t>
        </is>
      </c>
      <c r="W402" t="inlineStr">
        <is>
          <t>1992-10-23</t>
        </is>
      </c>
      <c r="X402" t="inlineStr">
        <is>
          <t>1992-10-23</t>
        </is>
      </c>
      <c r="Y402" t="n">
        <v>481</v>
      </c>
      <c r="Z402" t="n">
        <v>441</v>
      </c>
      <c r="AA402" t="n">
        <v>442</v>
      </c>
      <c r="AB402" t="n">
        <v>4</v>
      </c>
      <c r="AC402" t="n">
        <v>4</v>
      </c>
      <c r="AD402" t="n">
        <v>17</v>
      </c>
      <c r="AE402" t="n">
        <v>17</v>
      </c>
      <c r="AF402" t="n">
        <v>4</v>
      </c>
      <c r="AG402" t="n">
        <v>4</v>
      </c>
      <c r="AH402" t="n">
        <v>5</v>
      </c>
      <c r="AI402" t="n">
        <v>5</v>
      </c>
      <c r="AJ402" t="n">
        <v>9</v>
      </c>
      <c r="AK402" t="n">
        <v>9</v>
      </c>
      <c r="AL402" t="n">
        <v>3</v>
      </c>
      <c r="AM402" t="n">
        <v>3</v>
      </c>
      <c r="AN402" t="n">
        <v>0</v>
      </c>
      <c r="AO402" t="n">
        <v>0</v>
      </c>
      <c r="AP402" t="inlineStr">
        <is>
          <t>No</t>
        </is>
      </c>
      <c r="AQ402" t="inlineStr">
        <is>
          <t>No</t>
        </is>
      </c>
      <c r="AS402">
        <f>HYPERLINK("https://creighton-primo.hosted.exlibrisgroup.com/primo-explore/search?tab=default_tab&amp;search_scope=EVERYTHING&amp;vid=01CRU&amp;lang=en_US&amp;offset=0&amp;query=any,contains,991004879529702656","Catalog Record")</f>
        <v/>
      </c>
      <c r="AT402">
        <f>HYPERLINK("http://www.worldcat.org/oclc/5809190","WorldCat Record")</f>
        <v/>
      </c>
      <c r="AU402" t="inlineStr">
        <is>
          <t>1103687091:eng</t>
        </is>
      </c>
      <c r="AV402" t="inlineStr">
        <is>
          <t>5809190</t>
        </is>
      </c>
      <c r="AW402" t="inlineStr">
        <is>
          <t>991004879529702656</t>
        </is>
      </c>
      <c r="AX402" t="inlineStr">
        <is>
          <t>991004879529702656</t>
        </is>
      </c>
      <c r="AY402" t="inlineStr">
        <is>
          <t>2259057300002656</t>
        </is>
      </c>
      <c r="AZ402" t="inlineStr">
        <is>
          <t>BOOK</t>
        </is>
      </c>
      <c r="BC402" t="inlineStr">
        <is>
          <t>32285001376564</t>
        </is>
      </c>
      <c r="BD402" t="inlineStr">
        <is>
          <t>893776541</t>
        </is>
      </c>
    </row>
    <row r="403">
      <c r="A403" t="inlineStr">
        <is>
          <t>No</t>
        </is>
      </c>
      <c r="B403" t="inlineStr">
        <is>
          <t>LB1044.7 .C49 1987</t>
        </is>
      </c>
      <c r="C403" t="inlineStr">
        <is>
          <t>0                      LB 1044700C  49          1987</t>
        </is>
      </c>
      <c r="D403" t="inlineStr">
        <is>
          <t>Children and television : a challenge for education / edited by Michael E. Manley-Casimir and Carmen Luke.</t>
        </is>
      </c>
      <c r="F403" t="inlineStr">
        <is>
          <t>No</t>
        </is>
      </c>
      <c r="G403" t="inlineStr">
        <is>
          <t>1</t>
        </is>
      </c>
      <c r="H403" t="inlineStr">
        <is>
          <t>No</t>
        </is>
      </c>
      <c r="I403" t="inlineStr">
        <is>
          <t>No</t>
        </is>
      </c>
      <c r="J403" t="inlineStr">
        <is>
          <t>0</t>
        </is>
      </c>
      <c r="L403" t="inlineStr">
        <is>
          <t>New York : Praeger, 1987.</t>
        </is>
      </c>
      <c r="M403" t="inlineStr">
        <is>
          <t>1987</t>
        </is>
      </c>
      <c r="O403" t="inlineStr">
        <is>
          <t>eng</t>
        </is>
      </c>
      <c r="P403" t="inlineStr">
        <is>
          <t>nyu</t>
        </is>
      </c>
      <c r="R403" t="inlineStr">
        <is>
          <t xml:space="preserve">LB </t>
        </is>
      </c>
      <c r="S403" t="n">
        <v>16</v>
      </c>
      <c r="T403" t="n">
        <v>16</v>
      </c>
      <c r="U403" t="inlineStr">
        <is>
          <t>2008-06-20</t>
        </is>
      </c>
      <c r="V403" t="inlineStr">
        <is>
          <t>2008-06-20</t>
        </is>
      </c>
      <c r="W403" t="inlineStr">
        <is>
          <t>1992-11-03</t>
        </is>
      </c>
      <c r="X403" t="inlineStr">
        <is>
          <t>1992-11-03</t>
        </is>
      </c>
      <c r="Y403" t="n">
        <v>497</v>
      </c>
      <c r="Z403" t="n">
        <v>427</v>
      </c>
      <c r="AA403" t="n">
        <v>434</v>
      </c>
      <c r="AB403" t="n">
        <v>5</v>
      </c>
      <c r="AC403" t="n">
        <v>5</v>
      </c>
      <c r="AD403" t="n">
        <v>19</v>
      </c>
      <c r="AE403" t="n">
        <v>19</v>
      </c>
      <c r="AF403" t="n">
        <v>9</v>
      </c>
      <c r="AG403" t="n">
        <v>9</v>
      </c>
      <c r="AH403" t="n">
        <v>1</v>
      </c>
      <c r="AI403" t="n">
        <v>1</v>
      </c>
      <c r="AJ403" t="n">
        <v>9</v>
      </c>
      <c r="AK403" t="n">
        <v>9</v>
      </c>
      <c r="AL403" t="n">
        <v>4</v>
      </c>
      <c r="AM403" t="n">
        <v>4</v>
      </c>
      <c r="AN403" t="n">
        <v>0</v>
      </c>
      <c r="AO403" t="n">
        <v>0</v>
      </c>
      <c r="AP403" t="inlineStr">
        <is>
          <t>No</t>
        </is>
      </c>
      <c r="AQ403" t="inlineStr">
        <is>
          <t>Yes</t>
        </is>
      </c>
      <c r="AR403">
        <f>HYPERLINK("http://catalog.hathitrust.org/Record/000876046","HathiTrust Record")</f>
        <v/>
      </c>
      <c r="AS403">
        <f>HYPERLINK("https://creighton-primo.hosted.exlibrisgroup.com/primo-explore/search?tab=default_tab&amp;search_scope=EVERYTHING&amp;vid=01CRU&amp;lang=en_US&amp;offset=0&amp;query=any,contains,991001010259702656","Catalog Record")</f>
        <v/>
      </c>
      <c r="AT403">
        <f>HYPERLINK("http://www.worldcat.org/oclc/15281854","WorldCat Record")</f>
        <v/>
      </c>
      <c r="AU403" t="inlineStr">
        <is>
          <t>363840519:eng</t>
        </is>
      </c>
      <c r="AV403" t="inlineStr">
        <is>
          <t>15281854</t>
        </is>
      </c>
      <c r="AW403" t="inlineStr">
        <is>
          <t>991001010259702656</t>
        </is>
      </c>
      <c r="AX403" t="inlineStr">
        <is>
          <t>991001010259702656</t>
        </is>
      </c>
      <c r="AY403" t="inlineStr">
        <is>
          <t>2265837110002656</t>
        </is>
      </c>
      <c r="AZ403" t="inlineStr">
        <is>
          <t>BOOK</t>
        </is>
      </c>
      <c r="BB403" t="inlineStr">
        <is>
          <t>9780275923556</t>
        </is>
      </c>
      <c r="BC403" t="inlineStr">
        <is>
          <t>32285001381341</t>
        </is>
      </c>
      <c r="BD403" t="inlineStr">
        <is>
          <t>893803266</t>
        </is>
      </c>
    </row>
    <row r="404">
      <c r="A404" t="inlineStr">
        <is>
          <t>No</t>
        </is>
      </c>
      <c r="B404" t="inlineStr">
        <is>
          <t>LB1044.7 .L32 1983</t>
        </is>
      </c>
      <c r="C404" t="inlineStr">
        <is>
          <t>0                      LB 1044700L  32          1983</t>
        </is>
      </c>
      <c r="D404" t="inlineStr">
        <is>
          <t>Learning from television : psychological and educational research / edited by Michael J.A. Howe.</t>
        </is>
      </c>
      <c r="F404" t="inlineStr">
        <is>
          <t>No</t>
        </is>
      </c>
      <c r="G404" t="inlineStr">
        <is>
          <t>1</t>
        </is>
      </c>
      <c r="H404" t="inlineStr">
        <is>
          <t>No</t>
        </is>
      </c>
      <c r="I404" t="inlineStr">
        <is>
          <t>No</t>
        </is>
      </c>
      <c r="J404" t="inlineStr">
        <is>
          <t>0</t>
        </is>
      </c>
      <c r="L404" t="inlineStr">
        <is>
          <t>London ; New York : Academic Press, 1983.</t>
        </is>
      </c>
      <c r="M404" t="inlineStr">
        <is>
          <t>1983</t>
        </is>
      </c>
      <c r="O404" t="inlineStr">
        <is>
          <t>eng</t>
        </is>
      </c>
      <c r="P404" t="inlineStr">
        <is>
          <t>enk</t>
        </is>
      </c>
      <c r="Q404" t="inlineStr">
        <is>
          <t>Educational psychology</t>
        </is>
      </c>
      <c r="R404" t="inlineStr">
        <is>
          <t xml:space="preserve">LB </t>
        </is>
      </c>
      <c r="S404" t="n">
        <v>8</v>
      </c>
      <c r="T404" t="n">
        <v>8</v>
      </c>
      <c r="U404" t="inlineStr">
        <is>
          <t>2007-07-26</t>
        </is>
      </c>
      <c r="V404" t="inlineStr">
        <is>
          <t>2007-07-26</t>
        </is>
      </c>
      <c r="W404" t="inlineStr">
        <is>
          <t>1992-03-17</t>
        </is>
      </c>
      <c r="X404" t="inlineStr">
        <is>
          <t>1992-03-17</t>
        </is>
      </c>
      <c r="Y404" t="n">
        <v>652</v>
      </c>
      <c r="Z404" t="n">
        <v>476</v>
      </c>
      <c r="AA404" t="n">
        <v>482</v>
      </c>
      <c r="AB404" t="n">
        <v>7</v>
      </c>
      <c r="AC404" t="n">
        <v>7</v>
      </c>
      <c r="AD404" t="n">
        <v>24</v>
      </c>
      <c r="AE404" t="n">
        <v>24</v>
      </c>
      <c r="AF404" t="n">
        <v>8</v>
      </c>
      <c r="AG404" t="n">
        <v>8</v>
      </c>
      <c r="AH404" t="n">
        <v>4</v>
      </c>
      <c r="AI404" t="n">
        <v>4</v>
      </c>
      <c r="AJ404" t="n">
        <v>12</v>
      </c>
      <c r="AK404" t="n">
        <v>12</v>
      </c>
      <c r="AL404" t="n">
        <v>6</v>
      </c>
      <c r="AM404" t="n">
        <v>6</v>
      </c>
      <c r="AN404" t="n">
        <v>0</v>
      </c>
      <c r="AO404" t="n">
        <v>0</v>
      </c>
      <c r="AP404" t="inlineStr">
        <is>
          <t>No</t>
        </is>
      </c>
      <c r="AQ404" t="inlineStr">
        <is>
          <t>Yes</t>
        </is>
      </c>
      <c r="AR404">
        <f>HYPERLINK("http://catalog.hathitrust.org/Record/000162572","HathiTrust Record")</f>
        <v/>
      </c>
      <c r="AS404">
        <f>HYPERLINK("https://creighton-primo.hosted.exlibrisgroup.com/primo-explore/search?tab=default_tab&amp;search_scope=EVERYTHING&amp;vid=01CRU&amp;lang=en_US&amp;offset=0&amp;query=any,contains,991000278129702656","Catalog Record")</f>
        <v/>
      </c>
      <c r="AT404">
        <f>HYPERLINK("http://www.worldcat.org/oclc/9900646","WorldCat Record")</f>
        <v/>
      </c>
      <c r="AU404" t="inlineStr">
        <is>
          <t>889629518:eng</t>
        </is>
      </c>
      <c r="AV404" t="inlineStr">
        <is>
          <t>9900646</t>
        </is>
      </c>
      <c r="AW404" t="inlineStr">
        <is>
          <t>991000278129702656</t>
        </is>
      </c>
      <c r="AX404" t="inlineStr">
        <is>
          <t>991000278129702656</t>
        </is>
      </c>
      <c r="AY404" t="inlineStr">
        <is>
          <t>2259875910002656</t>
        </is>
      </c>
      <c r="AZ404" t="inlineStr">
        <is>
          <t>BOOK</t>
        </is>
      </c>
      <c r="BB404" t="inlineStr">
        <is>
          <t>9780123571601</t>
        </is>
      </c>
      <c r="BC404" t="inlineStr">
        <is>
          <t>32285000949908</t>
        </is>
      </c>
      <c r="BD404" t="inlineStr">
        <is>
          <t>893620349</t>
        </is>
      </c>
    </row>
    <row r="405">
      <c r="A405" t="inlineStr">
        <is>
          <t>No</t>
        </is>
      </c>
      <c r="B405" t="inlineStr">
        <is>
          <t>LB1044.7 .L63 1993</t>
        </is>
      </c>
      <c r="C405" t="inlineStr">
        <is>
          <t>0                      LB 1044700L  63          1993</t>
        </is>
      </c>
      <c r="D405" t="inlineStr">
        <is>
          <t>Interactive television and instruction : a guide to technology, technique, facilities design, and classroom management / Robert H. Lochte.</t>
        </is>
      </c>
      <c r="F405" t="inlineStr">
        <is>
          <t>No</t>
        </is>
      </c>
      <c r="G405" t="inlineStr">
        <is>
          <t>1</t>
        </is>
      </c>
      <c r="H405" t="inlineStr">
        <is>
          <t>No</t>
        </is>
      </c>
      <c r="I405" t="inlineStr">
        <is>
          <t>No</t>
        </is>
      </c>
      <c r="J405" t="inlineStr">
        <is>
          <t>0</t>
        </is>
      </c>
      <c r="K405" t="inlineStr">
        <is>
          <t>Lochte, Robert H.</t>
        </is>
      </c>
      <c r="L405" t="inlineStr">
        <is>
          <t>Englewood Cliffs, N.J. : Educational Technology Publications, c1993.</t>
        </is>
      </c>
      <c r="M405" t="inlineStr">
        <is>
          <t>1993</t>
        </is>
      </c>
      <c r="O405" t="inlineStr">
        <is>
          <t>eng</t>
        </is>
      </c>
      <c r="P405" t="inlineStr">
        <is>
          <t>nju</t>
        </is>
      </c>
      <c r="R405" t="inlineStr">
        <is>
          <t xml:space="preserve">LB </t>
        </is>
      </c>
      <c r="S405" t="n">
        <v>2</v>
      </c>
      <c r="T405" t="n">
        <v>2</v>
      </c>
      <c r="U405" t="inlineStr">
        <is>
          <t>2001-10-22</t>
        </is>
      </c>
      <c r="V405" t="inlineStr">
        <is>
          <t>2001-10-22</t>
        </is>
      </c>
      <c r="W405" t="inlineStr">
        <is>
          <t>1993-12-06</t>
        </is>
      </c>
      <c r="X405" t="inlineStr">
        <is>
          <t>1993-12-06</t>
        </is>
      </c>
      <c r="Y405" t="n">
        <v>184</v>
      </c>
      <c r="Z405" t="n">
        <v>144</v>
      </c>
      <c r="AA405" t="n">
        <v>149</v>
      </c>
      <c r="AB405" t="n">
        <v>2</v>
      </c>
      <c r="AC405" t="n">
        <v>2</v>
      </c>
      <c r="AD405" t="n">
        <v>3</v>
      </c>
      <c r="AE405" t="n">
        <v>3</v>
      </c>
      <c r="AF405" t="n">
        <v>1</v>
      </c>
      <c r="AG405" t="n">
        <v>1</v>
      </c>
      <c r="AH405" t="n">
        <v>0</v>
      </c>
      <c r="AI405" t="n">
        <v>0</v>
      </c>
      <c r="AJ405" t="n">
        <v>2</v>
      </c>
      <c r="AK405" t="n">
        <v>2</v>
      </c>
      <c r="AL405" t="n">
        <v>1</v>
      </c>
      <c r="AM405" t="n">
        <v>1</v>
      </c>
      <c r="AN405" t="n">
        <v>0</v>
      </c>
      <c r="AO405" t="n">
        <v>0</v>
      </c>
      <c r="AP405" t="inlineStr">
        <is>
          <t>No</t>
        </is>
      </c>
      <c r="AQ405" t="inlineStr">
        <is>
          <t>No</t>
        </is>
      </c>
      <c r="AS405">
        <f>HYPERLINK("https://creighton-primo.hosted.exlibrisgroup.com/primo-explore/search?tab=default_tab&amp;search_scope=EVERYTHING&amp;vid=01CRU&amp;lang=en_US&amp;offset=0&amp;query=any,contains,991002068959702656","Catalog Record")</f>
        <v/>
      </c>
      <c r="AT405">
        <f>HYPERLINK("http://www.worldcat.org/oclc/26503430","WorldCat Record")</f>
        <v/>
      </c>
      <c r="AU405" t="inlineStr">
        <is>
          <t>476446862:eng</t>
        </is>
      </c>
      <c r="AV405" t="inlineStr">
        <is>
          <t>26503430</t>
        </is>
      </c>
      <c r="AW405" t="inlineStr">
        <is>
          <t>991002068959702656</t>
        </is>
      </c>
      <c r="AX405" t="inlineStr">
        <is>
          <t>991002068959702656</t>
        </is>
      </c>
      <c r="AY405" t="inlineStr">
        <is>
          <t>2255719940002656</t>
        </is>
      </c>
      <c r="AZ405" t="inlineStr">
        <is>
          <t>BOOK</t>
        </is>
      </c>
      <c r="BB405" t="inlineStr">
        <is>
          <t>9780877782520</t>
        </is>
      </c>
      <c r="BC405" t="inlineStr">
        <is>
          <t>32285001814069</t>
        </is>
      </c>
      <c r="BD405" t="inlineStr">
        <is>
          <t>893798136</t>
        </is>
      </c>
    </row>
    <row r="406">
      <c r="A406" t="inlineStr">
        <is>
          <t>No</t>
        </is>
      </c>
      <c r="B406" t="inlineStr">
        <is>
          <t>LB1044.7 .M49</t>
        </is>
      </c>
      <c r="C406" t="inlineStr">
        <is>
          <t>0                      LB 1044700M  49</t>
        </is>
      </c>
      <c r="D406" t="inlineStr">
        <is>
          <t>Effects and functions of television--children and adolescents : a bibliography of selected research literature, 1970-1978 / compiled by Manfred Meyer and Ursula Nissen.</t>
        </is>
      </c>
      <c r="F406" t="inlineStr">
        <is>
          <t>No</t>
        </is>
      </c>
      <c r="G406" t="inlineStr">
        <is>
          <t>1</t>
        </is>
      </c>
      <c r="H406" t="inlineStr">
        <is>
          <t>No</t>
        </is>
      </c>
      <c r="I406" t="inlineStr">
        <is>
          <t>No</t>
        </is>
      </c>
      <c r="J406" t="inlineStr">
        <is>
          <t>0</t>
        </is>
      </c>
      <c r="K406" t="inlineStr">
        <is>
          <t>Meyer, Manfred.</t>
        </is>
      </c>
      <c r="L406" t="inlineStr">
        <is>
          <t>Hamden, Conn. : Linnet Books, 1981.</t>
        </is>
      </c>
      <c r="M406" t="inlineStr">
        <is>
          <t>1981</t>
        </is>
      </c>
      <c r="O406" t="inlineStr">
        <is>
          <t>eng</t>
        </is>
      </c>
      <c r="P406" t="inlineStr">
        <is>
          <t>ctu</t>
        </is>
      </c>
      <c r="R406" t="inlineStr">
        <is>
          <t xml:space="preserve">LB </t>
        </is>
      </c>
      <c r="S406" t="n">
        <v>3</v>
      </c>
      <c r="T406" t="n">
        <v>3</v>
      </c>
      <c r="U406" t="inlineStr">
        <is>
          <t>2000-11-28</t>
        </is>
      </c>
      <c r="V406" t="inlineStr">
        <is>
          <t>2000-11-28</t>
        </is>
      </c>
      <c r="W406" t="inlineStr">
        <is>
          <t>1992-10-23</t>
        </is>
      </c>
      <c r="X406" t="inlineStr">
        <is>
          <t>1992-10-23</t>
        </is>
      </c>
      <c r="Y406" t="n">
        <v>214</v>
      </c>
      <c r="Z406" t="n">
        <v>189</v>
      </c>
      <c r="AA406" t="n">
        <v>392</v>
      </c>
      <c r="AB406" t="n">
        <v>2</v>
      </c>
      <c r="AC406" t="n">
        <v>2</v>
      </c>
      <c r="AD406" t="n">
        <v>6</v>
      </c>
      <c r="AE406" t="n">
        <v>16</v>
      </c>
      <c r="AF406" t="n">
        <v>2</v>
      </c>
      <c r="AG406" t="n">
        <v>7</v>
      </c>
      <c r="AH406" t="n">
        <v>3</v>
      </c>
      <c r="AI406" t="n">
        <v>5</v>
      </c>
      <c r="AJ406" t="n">
        <v>3</v>
      </c>
      <c r="AK406" t="n">
        <v>9</v>
      </c>
      <c r="AL406" t="n">
        <v>0</v>
      </c>
      <c r="AM406" t="n">
        <v>0</v>
      </c>
      <c r="AN406" t="n">
        <v>0</v>
      </c>
      <c r="AO406" t="n">
        <v>0</v>
      </c>
      <c r="AP406" t="inlineStr">
        <is>
          <t>No</t>
        </is>
      </c>
      <c r="AQ406" t="inlineStr">
        <is>
          <t>Yes</t>
        </is>
      </c>
      <c r="AR406">
        <f>HYPERLINK("http://catalog.hathitrust.org/Record/004470351","HathiTrust Record")</f>
        <v/>
      </c>
      <c r="AS406">
        <f>HYPERLINK("https://creighton-primo.hosted.exlibrisgroup.com/primo-explore/search?tab=default_tab&amp;search_scope=EVERYTHING&amp;vid=01CRU&amp;lang=en_US&amp;offset=0&amp;query=any,contains,991005117599702656","Catalog Record")</f>
        <v/>
      </c>
      <c r="AT406">
        <f>HYPERLINK("http://www.worldcat.org/oclc/7464531","WorldCat Record")</f>
        <v/>
      </c>
      <c r="AU406" t="inlineStr">
        <is>
          <t>47314104:eng</t>
        </is>
      </c>
      <c r="AV406" t="inlineStr">
        <is>
          <t>7464531</t>
        </is>
      </c>
      <c r="AW406" t="inlineStr">
        <is>
          <t>991005117599702656</t>
        </is>
      </c>
      <c r="AX406" t="inlineStr">
        <is>
          <t>991005117599702656</t>
        </is>
      </c>
      <c r="AY406" t="inlineStr">
        <is>
          <t>2262262390002656</t>
        </is>
      </c>
      <c r="AZ406" t="inlineStr">
        <is>
          <t>BOOK</t>
        </is>
      </c>
      <c r="BB406" t="inlineStr">
        <is>
          <t>9780208019240</t>
        </is>
      </c>
      <c r="BC406" t="inlineStr">
        <is>
          <t>32285001376689</t>
        </is>
      </c>
      <c r="BD406" t="inlineStr">
        <is>
          <t>893424564</t>
        </is>
      </c>
    </row>
    <row r="407">
      <c r="A407" t="inlineStr">
        <is>
          <t>No</t>
        </is>
      </c>
      <c r="B407" t="inlineStr">
        <is>
          <t>LB1044.8 .C620</t>
        </is>
      </c>
      <c r="C407" t="inlineStr">
        <is>
          <t>0                      LB 1044800C  620</t>
        </is>
      </c>
      <c r="D407" t="inlineStr">
        <is>
          <t>TV production for education : a systems approach / Peter Combes &amp; John Tiffin.</t>
        </is>
      </c>
      <c r="F407" t="inlineStr">
        <is>
          <t>No</t>
        </is>
      </c>
      <c r="G407" t="inlineStr">
        <is>
          <t>1</t>
        </is>
      </c>
      <c r="H407" t="inlineStr">
        <is>
          <t>No</t>
        </is>
      </c>
      <c r="I407" t="inlineStr">
        <is>
          <t>No</t>
        </is>
      </c>
      <c r="J407" t="inlineStr">
        <is>
          <t>0</t>
        </is>
      </c>
      <c r="K407" t="inlineStr">
        <is>
          <t>Combes, Peter.</t>
        </is>
      </c>
      <c r="L407" t="inlineStr">
        <is>
          <t>London : Focal Press ; New York : Focal/Hastings, 1978.</t>
        </is>
      </c>
      <c r="M407" t="inlineStr">
        <is>
          <t>1978</t>
        </is>
      </c>
      <c r="N407" t="inlineStr">
        <is>
          <t>1st ed.</t>
        </is>
      </c>
      <c r="O407" t="inlineStr">
        <is>
          <t>eng</t>
        </is>
      </c>
      <c r="P407" t="inlineStr">
        <is>
          <t>enk</t>
        </is>
      </c>
      <c r="R407" t="inlineStr">
        <is>
          <t xml:space="preserve">LB </t>
        </is>
      </c>
      <c r="S407" t="n">
        <v>1</v>
      </c>
      <c r="T407" t="n">
        <v>1</v>
      </c>
      <c r="U407" t="inlineStr">
        <is>
          <t>2004-04-26</t>
        </is>
      </c>
      <c r="V407" t="inlineStr">
        <is>
          <t>2004-04-26</t>
        </is>
      </c>
      <c r="W407" t="inlineStr">
        <is>
          <t>1992-06-10</t>
        </is>
      </c>
      <c r="X407" t="inlineStr">
        <is>
          <t>1992-06-10</t>
        </is>
      </c>
      <c r="Y407" t="n">
        <v>286</v>
      </c>
      <c r="Z407" t="n">
        <v>179</v>
      </c>
      <c r="AA407" t="n">
        <v>186</v>
      </c>
      <c r="AB407" t="n">
        <v>3</v>
      </c>
      <c r="AC407" t="n">
        <v>3</v>
      </c>
      <c r="AD407" t="n">
        <v>11</v>
      </c>
      <c r="AE407" t="n">
        <v>11</v>
      </c>
      <c r="AF407" t="n">
        <v>3</v>
      </c>
      <c r="AG407" t="n">
        <v>3</v>
      </c>
      <c r="AH407" t="n">
        <v>2</v>
      </c>
      <c r="AI407" t="n">
        <v>2</v>
      </c>
      <c r="AJ407" t="n">
        <v>6</v>
      </c>
      <c r="AK407" t="n">
        <v>6</v>
      </c>
      <c r="AL407" t="n">
        <v>1</v>
      </c>
      <c r="AM407" t="n">
        <v>1</v>
      </c>
      <c r="AN407" t="n">
        <v>0</v>
      </c>
      <c r="AO407" t="n">
        <v>0</v>
      </c>
      <c r="AP407" t="inlineStr">
        <is>
          <t>No</t>
        </is>
      </c>
      <c r="AQ407" t="inlineStr">
        <is>
          <t>Yes</t>
        </is>
      </c>
      <c r="AR407">
        <f>HYPERLINK("http://catalog.hathitrust.org/Record/000214858","HathiTrust Record")</f>
        <v/>
      </c>
      <c r="AS407">
        <f>HYPERLINK("https://creighton-primo.hosted.exlibrisgroup.com/primo-explore/search?tab=default_tab&amp;search_scope=EVERYTHING&amp;vid=01CRU&amp;lang=en_US&amp;offset=0&amp;query=any,contains,991004596759702656","Catalog Record")</f>
        <v/>
      </c>
      <c r="AT407">
        <f>HYPERLINK("http://www.worldcat.org/oclc/4144690","WorldCat Record")</f>
        <v/>
      </c>
      <c r="AU407" t="inlineStr">
        <is>
          <t>902591152:eng</t>
        </is>
      </c>
      <c r="AV407" t="inlineStr">
        <is>
          <t>4144690</t>
        </is>
      </c>
      <c r="AW407" t="inlineStr">
        <is>
          <t>991004596759702656</t>
        </is>
      </c>
      <c r="AX407" t="inlineStr">
        <is>
          <t>991004596759702656</t>
        </is>
      </c>
      <c r="AY407" t="inlineStr">
        <is>
          <t>2262365690002656</t>
        </is>
      </c>
      <c r="AZ407" t="inlineStr">
        <is>
          <t>BOOK</t>
        </is>
      </c>
      <c r="BB407" t="inlineStr">
        <is>
          <t>9780803871786</t>
        </is>
      </c>
      <c r="BC407" t="inlineStr">
        <is>
          <t>32285001099117</t>
        </is>
      </c>
      <c r="BD407" t="inlineStr">
        <is>
          <t>893253872</t>
        </is>
      </c>
    </row>
    <row r="408">
      <c r="A408" t="inlineStr">
        <is>
          <t>No</t>
        </is>
      </c>
      <c r="B408" t="inlineStr">
        <is>
          <t>LB1044.8 .F69 1996</t>
        </is>
      </c>
      <c r="C408" t="inlineStr">
        <is>
          <t>0                      LB 1044800F  69          1996</t>
        </is>
      </c>
      <c r="D408" t="inlineStr">
        <is>
          <t>Harvesting minds : how TV commercials control kids / Roy F. Fox ; foreword by George Gerbner.</t>
        </is>
      </c>
      <c r="F408" t="inlineStr">
        <is>
          <t>No</t>
        </is>
      </c>
      <c r="G408" t="inlineStr">
        <is>
          <t>1</t>
        </is>
      </c>
      <c r="H408" t="inlineStr">
        <is>
          <t>No</t>
        </is>
      </c>
      <c r="I408" t="inlineStr">
        <is>
          <t>No</t>
        </is>
      </c>
      <c r="J408" t="inlineStr">
        <is>
          <t>0</t>
        </is>
      </c>
      <c r="K408" t="inlineStr">
        <is>
          <t>Fox, Roy F.</t>
        </is>
      </c>
      <c r="L408" t="inlineStr">
        <is>
          <t>Westport, Conn. : Praeger, 1996.</t>
        </is>
      </c>
      <c r="M408" t="inlineStr">
        <is>
          <t>1996</t>
        </is>
      </c>
      <c r="O408" t="inlineStr">
        <is>
          <t>eng</t>
        </is>
      </c>
      <c r="P408" t="inlineStr">
        <is>
          <t>ctu</t>
        </is>
      </c>
      <c r="R408" t="inlineStr">
        <is>
          <t xml:space="preserve">LB </t>
        </is>
      </c>
      <c r="S408" t="n">
        <v>7</v>
      </c>
      <c r="T408" t="n">
        <v>7</v>
      </c>
      <c r="U408" t="inlineStr">
        <is>
          <t>2004-04-26</t>
        </is>
      </c>
      <c r="V408" t="inlineStr">
        <is>
          <t>2004-04-26</t>
        </is>
      </c>
      <c r="W408" t="inlineStr">
        <is>
          <t>1996-11-25</t>
        </is>
      </c>
      <c r="X408" t="inlineStr">
        <is>
          <t>1996-11-25</t>
        </is>
      </c>
      <c r="Y408" t="n">
        <v>981</v>
      </c>
      <c r="Z408" t="n">
        <v>878</v>
      </c>
      <c r="AA408" t="n">
        <v>1262</v>
      </c>
      <c r="AB408" t="n">
        <v>5</v>
      </c>
      <c r="AC408" t="n">
        <v>20</v>
      </c>
      <c r="AD408" t="n">
        <v>35</v>
      </c>
      <c r="AE408" t="n">
        <v>44</v>
      </c>
      <c r="AF408" t="n">
        <v>16</v>
      </c>
      <c r="AG408" t="n">
        <v>16</v>
      </c>
      <c r="AH408" t="n">
        <v>7</v>
      </c>
      <c r="AI408" t="n">
        <v>8</v>
      </c>
      <c r="AJ408" t="n">
        <v>18</v>
      </c>
      <c r="AK408" t="n">
        <v>19</v>
      </c>
      <c r="AL408" t="n">
        <v>3</v>
      </c>
      <c r="AM408" t="n">
        <v>11</v>
      </c>
      <c r="AN408" t="n">
        <v>0</v>
      </c>
      <c r="AO408" t="n">
        <v>0</v>
      </c>
      <c r="AP408" t="inlineStr">
        <is>
          <t>No</t>
        </is>
      </c>
      <c r="AQ408" t="inlineStr">
        <is>
          <t>Yes</t>
        </is>
      </c>
      <c r="AR408">
        <f>HYPERLINK("http://catalog.hathitrust.org/Record/003102207","HathiTrust Record")</f>
        <v/>
      </c>
      <c r="AS408">
        <f>HYPERLINK("https://creighton-primo.hosted.exlibrisgroup.com/primo-explore/search?tab=default_tab&amp;search_scope=EVERYTHING&amp;vid=01CRU&amp;lang=en_US&amp;offset=0&amp;query=any,contains,991002617969702656","Catalog Record")</f>
        <v/>
      </c>
      <c r="AT408">
        <f>HYPERLINK("http://www.worldcat.org/oclc/34319864","WorldCat Record")</f>
        <v/>
      </c>
      <c r="AU408" t="inlineStr">
        <is>
          <t>43837:eng</t>
        </is>
      </c>
      <c r="AV408" t="inlineStr">
        <is>
          <t>34319864</t>
        </is>
      </c>
      <c r="AW408" t="inlineStr">
        <is>
          <t>991002617969702656</t>
        </is>
      </c>
      <c r="AX408" t="inlineStr">
        <is>
          <t>991002617969702656</t>
        </is>
      </c>
      <c r="AY408" t="inlineStr">
        <is>
          <t>2266540590002656</t>
        </is>
      </c>
      <c r="AZ408" t="inlineStr">
        <is>
          <t>BOOK</t>
        </is>
      </c>
      <c r="BB408" t="inlineStr">
        <is>
          <t>9780275952037</t>
        </is>
      </c>
      <c r="BC408" t="inlineStr">
        <is>
          <t>32285002385598</t>
        </is>
      </c>
      <c r="BD408" t="inlineStr">
        <is>
          <t>893716678</t>
        </is>
      </c>
    </row>
    <row r="409">
      <c r="A409" t="inlineStr">
        <is>
          <t>No</t>
        </is>
      </c>
      <c r="B409" t="inlineStr">
        <is>
          <t>LB1044.87 .B37 1996</t>
        </is>
      </c>
      <c r="C409" t="inlineStr">
        <is>
          <t>0                      LB 1044870B  37          1996</t>
        </is>
      </c>
      <c r="D409" t="inlineStr">
        <is>
          <t>The Internet and instruction : activities and ideas / Ann E. Barron, Karen S. Ivers.</t>
        </is>
      </c>
      <c r="F409" t="inlineStr">
        <is>
          <t>No</t>
        </is>
      </c>
      <c r="G409" t="inlineStr">
        <is>
          <t>1</t>
        </is>
      </c>
      <c r="H409" t="inlineStr">
        <is>
          <t>No</t>
        </is>
      </c>
      <c r="I409" t="inlineStr">
        <is>
          <t>No</t>
        </is>
      </c>
      <c r="J409" t="inlineStr">
        <is>
          <t>0</t>
        </is>
      </c>
      <c r="K409" t="inlineStr">
        <is>
          <t>Barron, Ann E.</t>
        </is>
      </c>
      <c r="L409" t="inlineStr">
        <is>
          <t>Englewood, Colo. : Libraries Unlimited, 1996.</t>
        </is>
      </c>
      <c r="M409" t="inlineStr">
        <is>
          <t>1996</t>
        </is>
      </c>
      <c r="O409" t="inlineStr">
        <is>
          <t>eng</t>
        </is>
      </c>
      <c r="P409" t="inlineStr">
        <is>
          <t>cou</t>
        </is>
      </c>
      <c r="R409" t="inlineStr">
        <is>
          <t xml:space="preserve">LB </t>
        </is>
      </c>
      <c r="S409" t="n">
        <v>4</v>
      </c>
      <c r="T409" t="n">
        <v>4</v>
      </c>
      <c r="U409" t="inlineStr">
        <is>
          <t>2007-05-10</t>
        </is>
      </c>
      <c r="V409" t="inlineStr">
        <is>
          <t>2007-05-10</t>
        </is>
      </c>
      <c r="W409" t="inlineStr">
        <is>
          <t>1996-11-01</t>
        </is>
      </c>
      <c r="X409" t="inlineStr">
        <is>
          <t>1996-11-01</t>
        </is>
      </c>
      <c r="Y409" t="n">
        <v>357</v>
      </c>
      <c r="Z409" t="n">
        <v>298</v>
      </c>
      <c r="AA409" t="n">
        <v>1330</v>
      </c>
      <c r="AB409" t="n">
        <v>3</v>
      </c>
      <c r="AC409" t="n">
        <v>7</v>
      </c>
      <c r="AD409" t="n">
        <v>9</v>
      </c>
      <c r="AE409" t="n">
        <v>35</v>
      </c>
      <c r="AF409" t="n">
        <v>3</v>
      </c>
      <c r="AG409" t="n">
        <v>16</v>
      </c>
      <c r="AH409" t="n">
        <v>1</v>
      </c>
      <c r="AI409" t="n">
        <v>5</v>
      </c>
      <c r="AJ409" t="n">
        <v>6</v>
      </c>
      <c r="AK409" t="n">
        <v>19</v>
      </c>
      <c r="AL409" t="n">
        <v>2</v>
      </c>
      <c r="AM409" t="n">
        <v>5</v>
      </c>
      <c r="AN409" t="n">
        <v>0</v>
      </c>
      <c r="AO409" t="n">
        <v>0</v>
      </c>
      <c r="AP409" t="inlineStr">
        <is>
          <t>No</t>
        </is>
      </c>
      <c r="AQ409" t="inlineStr">
        <is>
          <t>Yes</t>
        </is>
      </c>
      <c r="AR409">
        <f>HYPERLINK("http://catalog.hathitrust.org/Record/003065404","HathiTrust Record")</f>
        <v/>
      </c>
      <c r="AS409">
        <f>HYPERLINK("https://creighton-primo.hosted.exlibrisgroup.com/primo-explore/search?tab=default_tab&amp;search_scope=EVERYTHING&amp;vid=01CRU&amp;lang=en_US&amp;offset=0&amp;query=any,contains,991002575989702656","Catalog Record")</f>
        <v/>
      </c>
      <c r="AT409">
        <f>HYPERLINK("http://www.worldcat.org/oclc/33664319","WorldCat Record")</f>
        <v/>
      </c>
      <c r="AU409" t="inlineStr">
        <is>
          <t>799499689:eng</t>
        </is>
      </c>
      <c r="AV409" t="inlineStr">
        <is>
          <t>33664319</t>
        </is>
      </c>
      <c r="AW409" t="inlineStr">
        <is>
          <t>991002575989702656</t>
        </is>
      </c>
      <c r="AX409" t="inlineStr">
        <is>
          <t>991002575989702656</t>
        </is>
      </c>
      <c r="AY409" t="inlineStr">
        <is>
          <t>2258984790002656</t>
        </is>
      </c>
      <c r="AZ409" t="inlineStr">
        <is>
          <t>BOOK</t>
        </is>
      </c>
      <c r="BB409" t="inlineStr">
        <is>
          <t>9781563083310</t>
        </is>
      </c>
      <c r="BC409" t="inlineStr">
        <is>
          <t>32285002370715</t>
        </is>
      </c>
      <c r="BD409" t="inlineStr">
        <is>
          <t>893804763</t>
        </is>
      </c>
    </row>
    <row r="410">
      <c r="A410" t="inlineStr">
        <is>
          <t>No</t>
        </is>
      </c>
      <c r="B410" t="inlineStr">
        <is>
          <t>LB1044.87 .H45 1996</t>
        </is>
      </c>
      <c r="C410" t="inlineStr">
        <is>
          <t>0                      LB 1044870H  45          1996</t>
        </is>
      </c>
      <c r="D410" t="inlineStr">
        <is>
          <t>The teacher's complete &amp; easy guide to the Internet / Ann Heide, Linda Stilborne ; supported by Ingenia Communications Corporation ; technical advice, Craig McKie.</t>
        </is>
      </c>
      <c r="F410" t="inlineStr">
        <is>
          <t>No</t>
        </is>
      </c>
      <c r="G410" t="inlineStr">
        <is>
          <t>1</t>
        </is>
      </c>
      <c r="H410" t="inlineStr">
        <is>
          <t>No</t>
        </is>
      </c>
      <c r="I410" t="inlineStr">
        <is>
          <t>No</t>
        </is>
      </c>
      <c r="J410" t="inlineStr">
        <is>
          <t>0</t>
        </is>
      </c>
      <c r="K410" t="inlineStr">
        <is>
          <t>Heide, Ann, 1948-</t>
        </is>
      </c>
      <c r="L410" t="inlineStr">
        <is>
          <t>Toronto, Ont. : Trifolium Books, c1996.</t>
        </is>
      </c>
      <c r="M410" t="inlineStr">
        <is>
          <t>1996</t>
        </is>
      </c>
      <c r="O410" t="inlineStr">
        <is>
          <t>eng</t>
        </is>
      </c>
      <c r="P410" t="inlineStr">
        <is>
          <t>onc</t>
        </is>
      </c>
      <c r="R410" t="inlineStr">
        <is>
          <t xml:space="preserve">LB </t>
        </is>
      </c>
      <c r="S410" t="n">
        <v>1</v>
      </c>
      <c r="T410" t="n">
        <v>1</v>
      </c>
      <c r="U410" t="inlineStr">
        <is>
          <t>2004-07-11</t>
        </is>
      </c>
      <c r="V410" t="inlineStr">
        <is>
          <t>2004-07-11</t>
        </is>
      </c>
      <c r="W410" t="inlineStr">
        <is>
          <t>1998-11-10</t>
        </is>
      </c>
      <c r="X410" t="inlineStr">
        <is>
          <t>1998-11-10</t>
        </is>
      </c>
      <c r="Y410" t="n">
        <v>263</v>
      </c>
      <c r="Z410" t="n">
        <v>213</v>
      </c>
      <c r="AA410" t="n">
        <v>389</v>
      </c>
      <c r="AB410" t="n">
        <v>2</v>
      </c>
      <c r="AC410" t="n">
        <v>4</v>
      </c>
      <c r="AD410" t="n">
        <v>8</v>
      </c>
      <c r="AE410" t="n">
        <v>17</v>
      </c>
      <c r="AF410" t="n">
        <v>2</v>
      </c>
      <c r="AG410" t="n">
        <v>7</v>
      </c>
      <c r="AH410" t="n">
        <v>2</v>
      </c>
      <c r="AI410" t="n">
        <v>3</v>
      </c>
      <c r="AJ410" t="n">
        <v>6</v>
      </c>
      <c r="AK410" t="n">
        <v>8</v>
      </c>
      <c r="AL410" t="n">
        <v>1</v>
      </c>
      <c r="AM410" t="n">
        <v>3</v>
      </c>
      <c r="AN410" t="n">
        <v>0</v>
      </c>
      <c r="AO410" t="n">
        <v>0</v>
      </c>
      <c r="AP410" t="inlineStr">
        <is>
          <t>No</t>
        </is>
      </c>
      <c r="AQ410" t="inlineStr">
        <is>
          <t>Yes</t>
        </is>
      </c>
      <c r="AR410">
        <f>HYPERLINK("http://catalog.hathitrust.org/Record/003949578","HathiTrust Record")</f>
        <v/>
      </c>
      <c r="AS410">
        <f>HYPERLINK("https://creighton-primo.hosted.exlibrisgroup.com/primo-explore/search?tab=default_tab&amp;search_scope=EVERYTHING&amp;vid=01CRU&amp;lang=en_US&amp;offset=0&amp;query=any,contains,991002702539702656","Catalog Record")</f>
        <v/>
      </c>
      <c r="AT410">
        <f>HYPERLINK("http://www.worldcat.org/oclc/35283950","WorldCat Record")</f>
        <v/>
      </c>
      <c r="AU410" t="inlineStr">
        <is>
          <t>625771:eng</t>
        </is>
      </c>
      <c r="AV410" t="inlineStr">
        <is>
          <t>35283950</t>
        </is>
      </c>
      <c r="AW410" t="inlineStr">
        <is>
          <t>991002702539702656</t>
        </is>
      </c>
      <c r="AX410" t="inlineStr">
        <is>
          <t>991002702539702656</t>
        </is>
      </c>
      <c r="AY410" t="inlineStr">
        <is>
          <t>2255754790002656</t>
        </is>
      </c>
      <c r="AZ410" t="inlineStr">
        <is>
          <t>BOOK</t>
        </is>
      </c>
      <c r="BB410" t="inlineStr">
        <is>
          <t>9781895579857</t>
        </is>
      </c>
      <c r="BC410" t="inlineStr">
        <is>
          <t>32285003487377</t>
        </is>
      </c>
      <c r="BD410" t="inlineStr">
        <is>
          <t>893809627</t>
        </is>
      </c>
    </row>
    <row r="411">
      <c r="A411" t="inlineStr">
        <is>
          <t>No</t>
        </is>
      </c>
      <c r="B411" t="inlineStr">
        <is>
          <t>LB1044.87 .K57 2007</t>
        </is>
      </c>
      <c r="C411" t="inlineStr">
        <is>
          <t>0                      LB 1044870K  57          2007</t>
        </is>
      </c>
      <c r="D411" t="inlineStr">
        <is>
          <t>Podcasting for teachers : using a new technology to revolutionize teaching and learning / by Kathleen P. King and Mark Gura.</t>
        </is>
      </c>
      <c r="F411" t="inlineStr">
        <is>
          <t>No</t>
        </is>
      </c>
      <c r="G411" t="inlineStr">
        <is>
          <t>1</t>
        </is>
      </c>
      <c r="H411" t="inlineStr">
        <is>
          <t>No</t>
        </is>
      </c>
      <c r="I411" t="inlineStr">
        <is>
          <t>No</t>
        </is>
      </c>
      <c r="J411" t="inlineStr">
        <is>
          <t>0</t>
        </is>
      </c>
      <c r="K411" t="inlineStr">
        <is>
          <t>King, Kathleen P., 1958-</t>
        </is>
      </c>
      <c r="L411" t="inlineStr">
        <is>
          <t>Charlotte, NC : IAP, c2007.</t>
        </is>
      </c>
      <c r="M411" t="inlineStr">
        <is>
          <t>2007</t>
        </is>
      </c>
      <c r="O411" t="inlineStr">
        <is>
          <t>eng</t>
        </is>
      </c>
      <c r="P411" t="inlineStr">
        <is>
          <t>ncu</t>
        </is>
      </c>
      <c r="Q411" t="inlineStr">
        <is>
          <t>Emerging technologies for evolving learners</t>
        </is>
      </c>
      <c r="R411" t="inlineStr">
        <is>
          <t xml:space="preserve">LB </t>
        </is>
      </c>
      <c r="S411" t="n">
        <v>3</v>
      </c>
      <c r="T411" t="n">
        <v>3</v>
      </c>
      <c r="U411" t="inlineStr">
        <is>
          <t>2010-03-22</t>
        </is>
      </c>
      <c r="V411" t="inlineStr">
        <is>
          <t>2010-03-22</t>
        </is>
      </c>
      <c r="W411" t="inlineStr">
        <is>
          <t>2008-02-12</t>
        </is>
      </c>
      <c r="X411" t="inlineStr">
        <is>
          <t>2008-02-12</t>
        </is>
      </c>
      <c r="Y411" t="n">
        <v>247</v>
      </c>
      <c r="Z411" t="n">
        <v>181</v>
      </c>
      <c r="AA411" t="n">
        <v>264</v>
      </c>
      <c r="AB411" t="n">
        <v>1</v>
      </c>
      <c r="AC411" t="n">
        <v>3</v>
      </c>
      <c r="AD411" t="n">
        <v>6</v>
      </c>
      <c r="AE411" t="n">
        <v>9</v>
      </c>
      <c r="AF411" t="n">
        <v>1</v>
      </c>
      <c r="AG411" t="n">
        <v>2</v>
      </c>
      <c r="AH411" t="n">
        <v>2</v>
      </c>
      <c r="AI411" t="n">
        <v>2</v>
      </c>
      <c r="AJ411" t="n">
        <v>5</v>
      </c>
      <c r="AK411" t="n">
        <v>6</v>
      </c>
      <c r="AL411" t="n">
        <v>0</v>
      </c>
      <c r="AM411" t="n">
        <v>2</v>
      </c>
      <c r="AN411" t="n">
        <v>0</v>
      </c>
      <c r="AO411" t="n">
        <v>0</v>
      </c>
      <c r="AP411" t="inlineStr">
        <is>
          <t>No</t>
        </is>
      </c>
      <c r="AQ411" t="inlineStr">
        <is>
          <t>No</t>
        </is>
      </c>
      <c r="AS411">
        <f>HYPERLINK("https://creighton-primo.hosted.exlibrisgroup.com/primo-explore/search?tab=default_tab&amp;search_scope=EVERYTHING&amp;vid=01CRU&amp;lang=en_US&amp;offset=0&amp;query=any,contains,991005129639702656","Catalog Record")</f>
        <v/>
      </c>
      <c r="AT411">
        <f>HYPERLINK("http://www.worldcat.org/oclc/85162064","WorldCat Record")</f>
        <v/>
      </c>
      <c r="AU411" t="inlineStr">
        <is>
          <t>197144168:eng</t>
        </is>
      </c>
      <c r="AV411" t="inlineStr">
        <is>
          <t>85162064</t>
        </is>
      </c>
      <c r="AW411" t="inlineStr">
        <is>
          <t>991005129639702656</t>
        </is>
      </c>
      <c r="AX411" t="inlineStr">
        <is>
          <t>991005129639702656</t>
        </is>
      </c>
      <c r="AY411" t="inlineStr">
        <is>
          <t>2267517450002656</t>
        </is>
      </c>
      <c r="AZ411" t="inlineStr">
        <is>
          <t>BOOK</t>
        </is>
      </c>
      <c r="BB411" t="inlineStr">
        <is>
          <t>9781593116583</t>
        </is>
      </c>
      <c r="BC411" t="inlineStr">
        <is>
          <t>32285005393045</t>
        </is>
      </c>
      <c r="BD411" t="inlineStr">
        <is>
          <t>893501371</t>
        </is>
      </c>
    </row>
    <row r="412">
      <c r="A412" t="inlineStr">
        <is>
          <t>No</t>
        </is>
      </c>
      <c r="B412" t="inlineStr">
        <is>
          <t>LB1044.87 .M324 2003</t>
        </is>
      </c>
      <c r="C412" t="inlineStr">
        <is>
          <t>0                      LB 1044870M  324         2003</t>
        </is>
      </c>
      <c r="D412" t="inlineStr">
        <is>
          <t>Web pages for your classroom : the easy way! / Sandra K. McCorkle.</t>
        </is>
      </c>
      <c r="F412" t="inlineStr">
        <is>
          <t>No</t>
        </is>
      </c>
      <c r="G412" t="inlineStr">
        <is>
          <t>1</t>
        </is>
      </c>
      <c r="H412" t="inlineStr">
        <is>
          <t>No</t>
        </is>
      </c>
      <c r="I412" t="inlineStr">
        <is>
          <t>No</t>
        </is>
      </c>
      <c r="J412" t="inlineStr">
        <is>
          <t>0</t>
        </is>
      </c>
      <c r="K412" t="inlineStr">
        <is>
          <t>McCorkle, Sandra K.</t>
        </is>
      </c>
      <c r="L412" t="inlineStr">
        <is>
          <t>Westport, Conn. : Libraries Unlimited, c2003.</t>
        </is>
      </c>
      <c r="M412" t="inlineStr">
        <is>
          <t>2003</t>
        </is>
      </c>
      <c r="O412" t="inlineStr">
        <is>
          <t>eng</t>
        </is>
      </c>
      <c r="P412" t="inlineStr">
        <is>
          <t>ctu</t>
        </is>
      </c>
      <c r="R412" t="inlineStr">
        <is>
          <t xml:space="preserve">LB </t>
        </is>
      </c>
      <c r="S412" t="n">
        <v>3</v>
      </c>
      <c r="T412" t="n">
        <v>3</v>
      </c>
      <c r="U412" t="inlineStr">
        <is>
          <t>2004-07-09</t>
        </is>
      </c>
      <c r="V412" t="inlineStr">
        <is>
          <t>2004-07-09</t>
        </is>
      </c>
      <c r="W412" t="inlineStr">
        <is>
          <t>2004-01-06</t>
        </is>
      </c>
      <c r="X412" t="inlineStr">
        <is>
          <t>2004-01-06</t>
        </is>
      </c>
      <c r="Y412" t="n">
        <v>120</v>
      </c>
      <c r="Z412" t="n">
        <v>101</v>
      </c>
      <c r="AA412" t="n">
        <v>1072</v>
      </c>
      <c r="AB412" t="n">
        <v>1</v>
      </c>
      <c r="AC412" t="n">
        <v>28</v>
      </c>
      <c r="AD412" t="n">
        <v>3</v>
      </c>
      <c r="AE412" t="n">
        <v>29</v>
      </c>
      <c r="AF412" t="n">
        <v>1</v>
      </c>
      <c r="AG412" t="n">
        <v>9</v>
      </c>
      <c r="AH412" t="n">
        <v>0</v>
      </c>
      <c r="AI412" t="n">
        <v>4</v>
      </c>
      <c r="AJ412" t="n">
        <v>3</v>
      </c>
      <c r="AK412" t="n">
        <v>9</v>
      </c>
      <c r="AL412" t="n">
        <v>0</v>
      </c>
      <c r="AM412" t="n">
        <v>13</v>
      </c>
      <c r="AN412" t="n">
        <v>0</v>
      </c>
      <c r="AO412" t="n">
        <v>0</v>
      </c>
      <c r="AP412" t="inlineStr">
        <is>
          <t>No</t>
        </is>
      </c>
      <c r="AQ412" t="inlineStr">
        <is>
          <t>No</t>
        </is>
      </c>
      <c r="AS412">
        <f>HYPERLINK("https://creighton-primo.hosted.exlibrisgroup.com/primo-explore/search?tab=default_tab&amp;search_scope=EVERYTHING&amp;vid=01CRU&amp;lang=en_US&amp;offset=0&amp;query=any,contains,991004170479702656","Catalog Record")</f>
        <v/>
      </c>
      <c r="AT412">
        <f>HYPERLINK("http://www.worldcat.org/oclc/52127927","WorldCat Record")</f>
        <v/>
      </c>
      <c r="AU412" t="inlineStr">
        <is>
          <t>796213463:eng</t>
        </is>
      </c>
      <c r="AV412" t="inlineStr">
        <is>
          <t>52127927</t>
        </is>
      </c>
      <c r="AW412" t="inlineStr">
        <is>
          <t>991004170479702656</t>
        </is>
      </c>
      <c r="AX412" t="inlineStr">
        <is>
          <t>991004170479702656</t>
        </is>
      </c>
      <c r="AY412" t="inlineStr">
        <is>
          <t>2262656750002656</t>
        </is>
      </c>
      <c r="AZ412" t="inlineStr">
        <is>
          <t>BOOK</t>
        </is>
      </c>
      <c r="BB412" t="inlineStr">
        <is>
          <t>9781591580096</t>
        </is>
      </c>
      <c r="BC412" t="inlineStr">
        <is>
          <t>32285004889308</t>
        </is>
      </c>
      <c r="BD412" t="inlineStr">
        <is>
          <t>893343541</t>
        </is>
      </c>
    </row>
    <row r="413">
      <c r="A413" t="inlineStr">
        <is>
          <t>No</t>
        </is>
      </c>
      <c r="B413" t="inlineStr">
        <is>
          <t>LB1044.87 .N68 2008</t>
        </is>
      </c>
      <c r="C413" t="inlineStr">
        <is>
          <t>0                      LB 1044870N  68          2008</t>
        </is>
      </c>
      <c r="D413" t="inlineStr">
        <is>
          <t>Web literacy for educators / Alan November.</t>
        </is>
      </c>
      <c r="F413" t="inlineStr">
        <is>
          <t>No</t>
        </is>
      </c>
      <c r="G413" t="inlineStr">
        <is>
          <t>1</t>
        </is>
      </c>
      <c r="H413" t="inlineStr">
        <is>
          <t>No</t>
        </is>
      </c>
      <c r="I413" t="inlineStr">
        <is>
          <t>No</t>
        </is>
      </c>
      <c r="J413" t="inlineStr">
        <is>
          <t>0</t>
        </is>
      </c>
      <c r="K413" t="inlineStr">
        <is>
          <t>November, Alan C.</t>
        </is>
      </c>
      <c r="L413" t="inlineStr">
        <is>
          <t>Thousand Oaks, CA : Corwin Press, c2008.</t>
        </is>
      </c>
      <c r="M413" t="inlineStr">
        <is>
          <t>2008</t>
        </is>
      </c>
      <c r="O413" t="inlineStr">
        <is>
          <t>eng</t>
        </is>
      </c>
      <c r="P413" t="inlineStr">
        <is>
          <t>cau</t>
        </is>
      </c>
      <c r="R413" t="inlineStr">
        <is>
          <t xml:space="preserve">LB </t>
        </is>
      </c>
      <c r="S413" t="n">
        <v>1</v>
      </c>
      <c r="T413" t="n">
        <v>1</v>
      </c>
      <c r="U413" t="inlineStr">
        <is>
          <t>2009-01-06</t>
        </is>
      </c>
      <c r="V413" t="inlineStr">
        <is>
          <t>2009-01-06</t>
        </is>
      </c>
      <c r="W413" t="inlineStr">
        <is>
          <t>2008-07-21</t>
        </is>
      </c>
      <c r="X413" t="inlineStr">
        <is>
          <t>2008-07-21</t>
        </is>
      </c>
      <c r="Y413" t="n">
        <v>404</v>
      </c>
      <c r="Z413" t="n">
        <v>308</v>
      </c>
      <c r="AA413" t="n">
        <v>333</v>
      </c>
      <c r="AB413" t="n">
        <v>4</v>
      </c>
      <c r="AC413" t="n">
        <v>5</v>
      </c>
      <c r="AD413" t="n">
        <v>14</v>
      </c>
      <c r="AE413" t="n">
        <v>16</v>
      </c>
      <c r="AF413" t="n">
        <v>4</v>
      </c>
      <c r="AG413" t="n">
        <v>5</v>
      </c>
      <c r="AH413" t="n">
        <v>2</v>
      </c>
      <c r="AI413" t="n">
        <v>3</v>
      </c>
      <c r="AJ413" t="n">
        <v>8</v>
      </c>
      <c r="AK413" t="n">
        <v>8</v>
      </c>
      <c r="AL413" t="n">
        <v>3</v>
      </c>
      <c r="AM413" t="n">
        <v>4</v>
      </c>
      <c r="AN413" t="n">
        <v>0</v>
      </c>
      <c r="AO413" t="n">
        <v>0</v>
      </c>
      <c r="AP413" t="inlineStr">
        <is>
          <t>No</t>
        </is>
      </c>
      <c r="AQ413" t="inlineStr">
        <is>
          <t>No</t>
        </is>
      </c>
      <c r="AS413">
        <f>HYPERLINK("https://creighton-primo.hosted.exlibrisgroup.com/primo-explore/search?tab=default_tab&amp;search_scope=EVERYTHING&amp;vid=01CRU&amp;lang=en_US&amp;offset=0&amp;query=any,contains,991005242639702656","Catalog Record")</f>
        <v/>
      </c>
      <c r="AT413">
        <f>HYPERLINK("http://www.worldcat.org/oclc/181862859","WorldCat Record")</f>
        <v/>
      </c>
      <c r="AU413" t="inlineStr">
        <is>
          <t>116924933:eng</t>
        </is>
      </c>
      <c r="AV413" t="inlineStr">
        <is>
          <t>181862859</t>
        </is>
      </c>
      <c r="AW413" t="inlineStr">
        <is>
          <t>991005242639702656</t>
        </is>
      </c>
      <c r="AX413" t="inlineStr">
        <is>
          <t>991005242639702656</t>
        </is>
      </c>
      <c r="AY413" t="inlineStr">
        <is>
          <t>2258025620002656</t>
        </is>
      </c>
      <c r="AZ413" t="inlineStr">
        <is>
          <t>BOOK</t>
        </is>
      </c>
      <c r="BB413" t="inlineStr">
        <is>
          <t>9781412958424</t>
        </is>
      </c>
      <c r="BC413" t="inlineStr">
        <is>
          <t>32285005448328</t>
        </is>
      </c>
      <c r="BD413" t="inlineStr">
        <is>
          <t>893320309</t>
        </is>
      </c>
    </row>
    <row r="414">
      <c r="A414" t="inlineStr">
        <is>
          <t>No</t>
        </is>
      </c>
      <c r="B414" t="inlineStr">
        <is>
          <t>LB1044.87 .O44 2005</t>
        </is>
      </c>
      <c r="C414" t="inlineStr">
        <is>
          <t>0                      LB 1044870O  44          2005</t>
        </is>
      </c>
      <c r="D414" t="inlineStr">
        <is>
          <t>Online learning : personal reflections on the transformation of education / Greg Kearsley, editor.</t>
        </is>
      </c>
      <c r="F414" t="inlineStr">
        <is>
          <t>No</t>
        </is>
      </c>
      <c r="G414" t="inlineStr">
        <is>
          <t>1</t>
        </is>
      </c>
      <c r="H414" t="inlineStr">
        <is>
          <t>No</t>
        </is>
      </c>
      <c r="I414" t="inlineStr">
        <is>
          <t>No</t>
        </is>
      </c>
      <c r="J414" t="inlineStr">
        <is>
          <t>0</t>
        </is>
      </c>
      <c r="L414" t="inlineStr">
        <is>
          <t>Englewood Cliffs, N.J. : Educational Technology Publications, c2005.</t>
        </is>
      </c>
      <c r="M414" t="inlineStr">
        <is>
          <t>2005</t>
        </is>
      </c>
      <c r="O414" t="inlineStr">
        <is>
          <t>eng</t>
        </is>
      </c>
      <c r="P414" t="inlineStr">
        <is>
          <t>nju</t>
        </is>
      </c>
      <c r="R414" t="inlineStr">
        <is>
          <t xml:space="preserve">LB </t>
        </is>
      </c>
      <c r="S414" t="n">
        <v>1</v>
      </c>
      <c r="T414" t="n">
        <v>1</v>
      </c>
      <c r="U414" t="inlineStr">
        <is>
          <t>2006-09-05</t>
        </is>
      </c>
      <c r="V414" t="inlineStr">
        <is>
          <t>2006-09-05</t>
        </is>
      </c>
      <c r="W414" t="inlineStr">
        <is>
          <t>2006-09-05</t>
        </is>
      </c>
      <c r="X414" t="inlineStr">
        <is>
          <t>2006-09-05</t>
        </is>
      </c>
      <c r="Y414" t="n">
        <v>455</v>
      </c>
      <c r="Z414" t="n">
        <v>401</v>
      </c>
      <c r="AA414" t="n">
        <v>406</v>
      </c>
      <c r="AB414" t="n">
        <v>5</v>
      </c>
      <c r="AC414" t="n">
        <v>5</v>
      </c>
      <c r="AD414" t="n">
        <v>20</v>
      </c>
      <c r="AE414" t="n">
        <v>20</v>
      </c>
      <c r="AF414" t="n">
        <v>10</v>
      </c>
      <c r="AG414" t="n">
        <v>10</v>
      </c>
      <c r="AH414" t="n">
        <v>2</v>
      </c>
      <c r="AI414" t="n">
        <v>2</v>
      </c>
      <c r="AJ414" t="n">
        <v>8</v>
      </c>
      <c r="AK414" t="n">
        <v>8</v>
      </c>
      <c r="AL414" t="n">
        <v>4</v>
      </c>
      <c r="AM414" t="n">
        <v>4</v>
      </c>
      <c r="AN414" t="n">
        <v>0</v>
      </c>
      <c r="AO414" t="n">
        <v>0</v>
      </c>
      <c r="AP414" t="inlineStr">
        <is>
          <t>No</t>
        </is>
      </c>
      <c r="AQ414" t="inlineStr">
        <is>
          <t>No</t>
        </is>
      </c>
      <c r="AS414">
        <f>HYPERLINK("https://creighton-primo.hosted.exlibrisgroup.com/primo-explore/search?tab=default_tab&amp;search_scope=EVERYTHING&amp;vid=01CRU&amp;lang=en_US&amp;offset=0&amp;query=any,contains,991004857259702656","Catalog Record")</f>
        <v/>
      </c>
      <c r="AT414">
        <f>HYPERLINK("http://www.worldcat.org/oclc/55877895","WorldCat Record")</f>
        <v/>
      </c>
      <c r="AU414" t="inlineStr">
        <is>
          <t>2031922:eng</t>
        </is>
      </c>
      <c r="AV414" t="inlineStr">
        <is>
          <t>55877895</t>
        </is>
      </c>
      <c r="AW414" t="inlineStr">
        <is>
          <t>991004857259702656</t>
        </is>
      </c>
      <c r="AX414" t="inlineStr">
        <is>
          <t>991004857259702656</t>
        </is>
      </c>
      <c r="AY414" t="inlineStr">
        <is>
          <t>2271378290002656</t>
        </is>
      </c>
      <c r="AZ414" t="inlineStr">
        <is>
          <t>BOOK</t>
        </is>
      </c>
      <c r="BB414" t="inlineStr">
        <is>
          <t>9780877783060</t>
        </is>
      </c>
      <c r="BC414" t="inlineStr">
        <is>
          <t>32285005221683</t>
        </is>
      </c>
      <c r="BD414" t="inlineStr">
        <is>
          <t>893612857</t>
        </is>
      </c>
    </row>
    <row r="415">
      <c r="A415" t="inlineStr">
        <is>
          <t>No</t>
        </is>
      </c>
      <c r="B415" t="inlineStr">
        <is>
          <t>LB1044.87 .P34 2001</t>
        </is>
      </c>
      <c r="C415" t="inlineStr">
        <is>
          <t>0                      LB 1044870P  34          2001</t>
        </is>
      </c>
      <c r="D415" t="inlineStr">
        <is>
          <t>Lessons from the cyberspace classroom : the realities of online teaching / Rena M. Palloff, Keith Pratt.</t>
        </is>
      </c>
      <c r="F415" t="inlineStr">
        <is>
          <t>No</t>
        </is>
      </c>
      <c r="G415" t="inlineStr">
        <is>
          <t>1</t>
        </is>
      </c>
      <c r="H415" t="inlineStr">
        <is>
          <t>No</t>
        </is>
      </c>
      <c r="I415" t="inlineStr">
        <is>
          <t>No</t>
        </is>
      </c>
      <c r="J415" t="inlineStr">
        <is>
          <t>0</t>
        </is>
      </c>
      <c r="K415" t="inlineStr">
        <is>
          <t>Palloff, Rena M., 1950-</t>
        </is>
      </c>
      <c r="L415" t="inlineStr">
        <is>
          <t>San Francisco : Jossey-Bass, c2001.</t>
        </is>
      </c>
      <c r="M415" t="inlineStr">
        <is>
          <t>2001</t>
        </is>
      </c>
      <c r="O415" t="inlineStr">
        <is>
          <t>eng</t>
        </is>
      </c>
      <c r="P415" t="inlineStr">
        <is>
          <t>cau</t>
        </is>
      </c>
      <c r="Q415" t="inlineStr">
        <is>
          <t>The Jossey-Bass higher and adult education series</t>
        </is>
      </c>
      <c r="R415" t="inlineStr">
        <is>
          <t xml:space="preserve">LB </t>
        </is>
      </c>
      <c r="S415" t="n">
        <v>9</v>
      </c>
      <c r="T415" t="n">
        <v>9</v>
      </c>
      <c r="U415" t="inlineStr">
        <is>
          <t>2010-09-01</t>
        </is>
      </c>
      <c r="V415" t="inlineStr">
        <is>
          <t>2010-09-01</t>
        </is>
      </c>
      <c r="W415" t="inlineStr">
        <is>
          <t>2003-11-24</t>
        </is>
      </c>
      <c r="X415" t="inlineStr">
        <is>
          <t>2003-11-24</t>
        </is>
      </c>
      <c r="Y415" t="n">
        <v>1292</v>
      </c>
      <c r="Z415" t="n">
        <v>1109</v>
      </c>
      <c r="AA415" t="n">
        <v>1894</v>
      </c>
      <c r="AB415" t="n">
        <v>6</v>
      </c>
      <c r="AC415" t="n">
        <v>45</v>
      </c>
      <c r="AD415" t="n">
        <v>40</v>
      </c>
      <c r="AE415" t="n">
        <v>57</v>
      </c>
      <c r="AF415" t="n">
        <v>20</v>
      </c>
      <c r="AG415" t="n">
        <v>23</v>
      </c>
      <c r="AH415" t="n">
        <v>5</v>
      </c>
      <c r="AI415" t="n">
        <v>8</v>
      </c>
      <c r="AJ415" t="n">
        <v>16</v>
      </c>
      <c r="AK415" t="n">
        <v>19</v>
      </c>
      <c r="AL415" t="n">
        <v>5</v>
      </c>
      <c r="AM415" t="n">
        <v>14</v>
      </c>
      <c r="AN415" t="n">
        <v>2</v>
      </c>
      <c r="AO415" t="n">
        <v>3</v>
      </c>
      <c r="AP415" t="inlineStr">
        <is>
          <t>No</t>
        </is>
      </c>
      <c r="AQ415" t="inlineStr">
        <is>
          <t>Yes</t>
        </is>
      </c>
      <c r="AR415">
        <f>HYPERLINK("http://catalog.hathitrust.org/Record/003558080","HathiTrust Record")</f>
        <v/>
      </c>
      <c r="AS415">
        <f>HYPERLINK("https://creighton-primo.hosted.exlibrisgroup.com/primo-explore/search?tab=default_tab&amp;search_scope=EVERYTHING&amp;vid=01CRU&amp;lang=en_US&amp;offset=0&amp;query=any,contains,991004188719702656","Catalog Record")</f>
        <v/>
      </c>
      <c r="AT415">
        <f>HYPERLINK("http://www.worldcat.org/oclc/45066400","WorldCat Record")</f>
        <v/>
      </c>
      <c r="AU415" t="inlineStr">
        <is>
          <t>793876665:eng</t>
        </is>
      </c>
      <c r="AV415" t="inlineStr">
        <is>
          <t>45066400</t>
        </is>
      </c>
      <c r="AW415" t="inlineStr">
        <is>
          <t>991004188719702656</t>
        </is>
      </c>
      <c r="AX415" t="inlineStr">
        <is>
          <t>991004188719702656</t>
        </is>
      </c>
      <c r="AY415" t="inlineStr">
        <is>
          <t>2270397030002656</t>
        </is>
      </c>
      <c r="AZ415" t="inlineStr">
        <is>
          <t>BOOK</t>
        </is>
      </c>
      <c r="BB415" t="inlineStr">
        <is>
          <t>9780787955199</t>
        </is>
      </c>
      <c r="BC415" t="inlineStr">
        <is>
          <t>32285004841168</t>
        </is>
      </c>
      <c r="BD415" t="inlineStr">
        <is>
          <t>893442325</t>
        </is>
      </c>
    </row>
    <row r="416">
      <c r="A416" t="inlineStr">
        <is>
          <t>No</t>
        </is>
      </c>
      <c r="B416" t="inlineStr">
        <is>
          <t>LB1044.87 .P37 2002</t>
        </is>
      </c>
      <c r="C416" t="inlineStr">
        <is>
          <t>0                      LB 1044870P  37          2002</t>
        </is>
      </c>
      <c r="D416" t="inlineStr">
        <is>
          <t>Cyberteaching : instructional technology on the modern campus / Morriss H. Partee.</t>
        </is>
      </c>
      <c r="F416" t="inlineStr">
        <is>
          <t>No</t>
        </is>
      </c>
      <c r="G416" t="inlineStr">
        <is>
          <t>1</t>
        </is>
      </c>
      <c r="H416" t="inlineStr">
        <is>
          <t>No</t>
        </is>
      </c>
      <c r="I416" t="inlineStr">
        <is>
          <t>No</t>
        </is>
      </c>
      <c r="J416" t="inlineStr">
        <is>
          <t>0</t>
        </is>
      </c>
      <c r="K416" t="inlineStr">
        <is>
          <t>Partee, Morriss Henry, 1938-</t>
        </is>
      </c>
      <c r="L416" t="inlineStr">
        <is>
          <t>Lanham, Md. : University of Press of America, c2002.</t>
        </is>
      </c>
      <c r="M416" t="inlineStr">
        <is>
          <t>2002</t>
        </is>
      </c>
      <c r="O416" t="inlineStr">
        <is>
          <t>eng</t>
        </is>
      </c>
      <c r="P416" t="inlineStr">
        <is>
          <t>mdu</t>
        </is>
      </c>
      <c r="R416" t="inlineStr">
        <is>
          <t xml:space="preserve">LB </t>
        </is>
      </c>
      <c r="S416" t="n">
        <v>4</v>
      </c>
      <c r="T416" t="n">
        <v>4</v>
      </c>
      <c r="U416" t="inlineStr">
        <is>
          <t>2004-07-21</t>
        </is>
      </c>
      <c r="V416" t="inlineStr">
        <is>
          <t>2004-07-21</t>
        </is>
      </c>
      <c r="W416" t="inlineStr">
        <is>
          <t>2002-10-22</t>
        </is>
      </c>
      <c r="X416" t="inlineStr">
        <is>
          <t>2002-10-22</t>
        </is>
      </c>
      <c r="Y416" t="n">
        <v>200</v>
      </c>
      <c r="Z416" t="n">
        <v>167</v>
      </c>
      <c r="AA416" t="n">
        <v>173</v>
      </c>
      <c r="AB416" t="n">
        <v>2</v>
      </c>
      <c r="AC416" t="n">
        <v>2</v>
      </c>
      <c r="AD416" t="n">
        <v>4</v>
      </c>
      <c r="AE416" t="n">
        <v>4</v>
      </c>
      <c r="AF416" t="n">
        <v>1</v>
      </c>
      <c r="AG416" t="n">
        <v>1</v>
      </c>
      <c r="AH416" t="n">
        <v>1</v>
      </c>
      <c r="AI416" t="n">
        <v>1</v>
      </c>
      <c r="AJ416" t="n">
        <v>2</v>
      </c>
      <c r="AK416" t="n">
        <v>2</v>
      </c>
      <c r="AL416" t="n">
        <v>1</v>
      </c>
      <c r="AM416" t="n">
        <v>1</v>
      </c>
      <c r="AN416" t="n">
        <v>0</v>
      </c>
      <c r="AO416" t="n">
        <v>0</v>
      </c>
      <c r="AP416" t="inlineStr">
        <is>
          <t>No</t>
        </is>
      </c>
      <c r="AQ416" t="inlineStr">
        <is>
          <t>No</t>
        </is>
      </c>
      <c r="AS416">
        <f>HYPERLINK("https://creighton-primo.hosted.exlibrisgroup.com/primo-explore/search?tab=default_tab&amp;search_scope=EVERYTHING&amp;vid=01CRU&amp;lang=en_US&amp;offset=0&amp;query=any,contains,991003877399702656","Catalog Record")</f>
        <v/>
      </c>
      <c r="AT416">
        <f>HYPERLINK("http://www.worldcat.org/oclc/52266414","WorldCat Record")</f>
        <v/>
      </c>
      <c r="AU416" t="inlineStr">
        <is>
          <t>1044301:eng</t>
        </is>
      </c>
      <c r="AV416" t="inlineStr">
        <is>
          <t>52266414</t>
        </is>
      </c>
      <c r="AW416" t="inlineStr">
        <is>
          <t>991003877399702656</t>
        </is>
      </c>
      <c r="AX416" t="inlineStr">
        <is>
          <t>991003877399702656</t>
        </is>
      </c>
      <c r="AY416" t="inlineStr">
        <is>
          <t>2261069630002656</t>
        </is>
      </c>
      <c r="AZ416" t="inlineStr">
        <is>
          <t>BOOK</t>
        </is>
      </c>
      <c r="BB416" t="inlineStr">
        <is>
          <t>9780761822448</t>
        </is>
      </c>
      <c r="BC416" t="inlineStr">
        <is>
          <t>32285004657051</t>
        </is>
      </c>
      <c r="BD416" t="inlineStr">
        <is>
          <t>893800278</t>
        </is>
      </c>
    </row>
    <row r="417">
      <c r="A417" t="inlineStr">
        <is>
          <t>No</t>
        </is>
      </c>
      <c r="B417" t="inlineStr">
        <is>
          <t>LB1044.87 .R53 2006</t>
        </is>
      </c>
      <c r="C417" t="inlineStr">
        <is>
          <t>0                      LB 1044870R  53          2006</t>
        </is>
      </c>
      <c r="D417" t="inlineStr">
        <is>
          <t>Blogs, wikis, podcasts, and other powerful web tools for classrooms / Will Richardson.</t>
        </is>
      </c>
      <c r="F417" t="inlineStr">
        <is>
          <t>No</t>
        </is>
      </c>
      <c r="G417" t="inlineStr">
        <is>
          <t>1</t>
        </is>
      </c>
      <c r="H417" t="inlineStr">
        <is>
          <t>No</t>
        </is>
      </c>
      <c r="I417" t="inlineStr">
        <is>
          <t>No</t>
        </is>
      </c>
      <c r="J417" t="inlineStr">
        <is>
          <t>0</t>
        </is>
      </c>
      <c r="K417" t="inlineStr">
        <is>
          <t>Richardson, Will.</t>
        </is>
      </c>
      <c r="L417" t="inlineStr">
        <is>
          <t>Thousand Oaks, Calif. : Corwin Press, c2006.</t>
        </is>
      </c>
      <c r="M417" t="inlineStr">
        <is>
          <t>2006</t>
        </is>
      </c>
      <c r="O417" t="inlineStr">
        <is>
          <t>eng</t>
        </is>
      </c>
      <c r="P417" t="inlineStr">
        <is>
          <t>cau</t>
        </is>
      </c>
      <c r="R417" t="inlineStr">
        <is>
          <t xml:space="preserve">LB </t>
        </is>
      </c>
      <c r="S417" t="n">
        <v>18</v>
      </c>
      <c r="T417" t="n">
        <v>18</v>
      </c>
      <c r="U417" t="inlineStr">
        <is>
          <t>2010-03-22</t>
        </is>
      </c>
      <c r="V417" t="inlineStr">
        <is>
          <t>2010-03-22</t>
        </is>
      </c>
      <c r="W417" t="inlineStr">
        <is>
          <t>2006-07-25</t>
        </is>
      </c>
      <c r="X417" t="inlineStr">
        <is>
          <t>2006-07-25</t>
        </is>
      </c>
      <c r="Y417" t="n">
        <v>1260</v>
      </c>
      <c r="Z417" t="n">
        <v>1045</v>
      </c>
      <c r="AA417" t="n">
        <v>1525</v>
      </c>
      <c r="AB417" t="n">
        <v>6</v>
      </c>
      <c r="AC417" t="n">
        <v>13</v>
      </c>
      <c r="AD417" t="n">
        <v>32</v>
      </c>
      <c r="AE417" t="n">
        <v>48</v>
      </c>
      <c r="AF417" t="n">
        <v>13</v>
      </c>
      <c r="AG417" t="n">
        <v>20</v>
      </c>
      <c r="AH417" t="n">
        <v>5</v>
      </c>
      <c r="AI417" t="n">
        <v>7</v>
      </c>
      <c r="AJ417" t="n">
        <v>16</v>
      </c>
      <c r="AK417" t="n">
        <v>19</v>
      </c>
      <c r="AL417" t="n">
        <v>5</v>
      </c>
      <c r="AM417" t="n">
        <v>12</v>
      </c>
      <c r="AN417" t="n">
        <v>1</v>
      </c>
      <c r="AO417" t="n">
        <v>1</v>
      </c>
      <c r="AP417" t="inlineStr">
        <is>
          <t>No</t>
        </is>
      </c>
      <c r="AQ417" t="inlineStr">
        <is>
          <t>No</t>
        </is>
      </c>
      <c r="AS417">
        <f>HYPERLINK("https://creighton-primo.hosted.exlibrisgroup.com/primo-explore/search?tab=default_tab&amp;search_scope=EVERYTHING&amp;vid=01CRU&amp;lang=en_US&amp;offset=0&amp;query=any,contains,991004859469702656","Catalog Record")</f>
        <v/>
      </c>
      <c r="AT417">
        <f>HYPERLINK("http://www.worldcat.org/oclc/62326782","WorldCat Record")</f>
        <v/>
      </c>
      <c r="AU417" t="inlineStr">
        <is>
          <t>46768326:eng</t>
        </is>
      </c>
      <c r="AV417" t="inlineStr">
        <is>
          <t>62326782</t>
        </is>
      </c>
      <c r="AW417" t="inlineStr">
        <is>
          <t>991004859469702656</t>
        </is>
      </c>
      <c r="AX417" t="inlineStr">
        <is>
          <t>991004859469702656</t>
        </is>
      </c>
      <c r="AY417" t="inlineStr">
        <is>
          <t>2272178040002656</t>
        </is>
      </c>
      <c r="AZ417" t="inlineStr">
        <is>
          <t>BOOK</t>
        </is>
      </c>
      <c r="BB417" t="inlineStr">
        <is>
          <t>9781412927666</t>
        </is>
      </c>
      <c r="BC417" t="inlineStr">
        <is>
          <t>32285005197974</t>
        </is>
      </c>
      <c r="BD417" t="inlineStr">
        <is>
          <t>893889381</t>
        </is>
      </c>
    </row>
    <row r="418">
      <c r="A418" t="inlineStr">
        <is>
          <t>No</t>
        </is>
      </c>
      <c r="B418" t="inlineStr">
        <is>
          <t>LB1044.87 .S35 2001</t>
        </is>
      </c>
      <c r="C418" t="inlineStr">
        <is>
          <t>0                      LB 1044870S  35          2001</t>
        </is>
      </c>
      <c r="D418" t="inlineStr">
        <is>
          <t>Internet &amp; computer ethics for kids (and parents &amp; teachers who haven't got a clue) / written by Winn Schwartau ; illustrated by D.L. Busch.</t>
        </is>
      </c>
      <c r="F418" t="inlineStr">
        <is>
          <t>No</t>
        </is>
      </c>
      <c r="G418" t="inlineStr">
        <is>
          <t>1</t>
        </is>
      </c>
      <c r="H418" t="inlineStr">
        <is>
          <t>No</t>
        </is>
      </c>
      <c r="I418" t="inlineStr">
        <is>
          <t>No</t>
        </is>
      </c>
      <c r="J418" t="inlineStr">
        <is>
          <t>0</t>
        </is>
      </c>
      <c r="K418" t="inlineStr">
        <is>
          <t>Schwartau, Winn.</t>
        </is>
      </c>
      <c r="L418" t="inlineStr">
        <is>
          <t>Seminole, Fla. : Interpact Press, c2001.</t>
        </is>
      </c>
      <c r="M418" t="inlineStr">
        <is>
          <t>2001</t>
        </is>
      </c>
      <c r="O418" t="inlineStr">
        <is>
          <t>eng</t>
        </is>
      </c>
      <c r="P418" t="inlineStr">
        <is>
          <t>flu</t>
        </is>
      </c>
      <c r="R418" t="inlineStr">
        <is>
          <t xml:space="preserve">LB </t>
        </is>
      </c>
      <c r="S418" t="n">
        <v>1</v>
      </c>
      <c r="T418" t="n">
        <v>1</v>
      </c>
      <c r="U418" t="inlineStr">
        <is>
          <t>2003-11-01</t>
        </is>
      </c>
      <c r="V418" t="inlineStr">
        <is>
          <t>2003-11-01</t>
        </is>
      </c>
      <c r="W418" t="inlineStr">
        <is>
          <t>2003-11-01</t>
        </is>
      </c>
      <c r="X418" t="inlineStr">
        <is>
          <t>2003-11-01</t>
        </is>
      </c>
      <c r="Y418" t="n">
        <v>78</v>
      </c>
      <c r="Z418" t="n">
        <v>72</v>
      </c>
      <c r="AA418" t="n">
        <v>77</v>
      </c>
      <c r="AB418" t="n">
        <v>9</v>
      </c>
      <c r="AC418" t="n">
        <v>9</v>
      </c>
      <c r="AD418" t="n">
        <v>2</v>
      </c>
      <c r="AE418" t="n">
        <v>2</v>
      </c>
      <c r="AF418" t="n">
        <v>1</v>
      </c>
      <c r="AG418" t="n">
        <v>1</v>
      </c>
      <c r="AH418" t="n">
        <v>0</v>
      </c>
      <c r="AI418" t="n">
        <v>0</v>
      </c>
      <c r="AJ418" t="n">
        <v>0</v>
      </c>
      <c r="AK418" t="n">
        <v>0</v>
      </c>
      <c r="AL418" t="n">
        <v>1</v>
      </c>
      <c r="AM418" t="n">
        <v>1</v>
      </c>
      <c r="AN418" t="n">
        <v>0</v>
      </c>
      <c r="AO418" t="n">
        <v>0</v>
      </c>
      <c r="AP418" t="inlineStr">
        <is>
          <t>No</t>
        </is>
      </c>
      <c r="AQ418" t="inlineStr">
        <is>
          <t>No</t>
        </is>
      </c>
      <c r="AS418">
        <f>HYPERLINK("https://creighton-primo.hosted.exlibrisgroup.com/primo-explore/search?tab=default_tab&amp;search_scope=EVERYTHING&amp;vid=01CRU&amp;lang=en_US&amp;offset=0&amp;query=any,contains,991004054739702656","Catalog Record")</f>
        <v/>
      </c>
      <c r="AT418">
        <f>HYPERLINK("http://www.worldcat.org/oclc/47646295","WorldCat Record")</f>
        <v/>
      </c>
      <c r="AU418" t="inlineStr">
        <is>
          <t>5117035561:eng</t>
        </is>
      </c>
      <c r="AV418" t="inlineStr">
        <is>
          <t>47646295</t>
        </is>
      </c>
      <c r="AW418" t="inlineStr">
        <is>
          <t>991004054739702656</t>
        </is>
      </c>
      <c r="AX418" t="inlineStr">
        <is>
          <t>991004054739702656</t>
        </is>
      </c>
      <c r="AY418" t="inlineStr">
        <is>
          <t>2267720230002656</t>
        </is>
      </c>
      <c r="AZ418" t="inlineStr">
        <is>
          <t>BOOK</t>
        </is>
      </c>
      <c r="BB418" t="inlineStr">
        <is>
          <t>9780962870057</t>
        </is>
      </c>
      <c r="BC418" t="inlineStr">
        <is>
          <t>32285004747019</t>
        </is>
      </c>
      <c r="BD418" t="inlineStr">
        <is>
          <t>893624291</t>
        </is>
      </c>
    </row>
    <row r="419">
      <c r="A419" t="inlineStr">
        <is>
          <t>No</t>
        </is>
      </c>
      <c r="B419" t="inlineStr">
        <is>
          <t>LB1044.875 .E53 1998</t>
        </is>
      </c>
      <c r="C419" t="inlineStr">
        <is>
          <t>0                      LB 1044875E  53          1998</t>
        </is>
      </c>
      <c r="D419" t="inlineStr">
        <is>
          <t>Electronic collaborators : learner-centered technologies for literacy, apprenticeship, and discourse / edited by Curtis Jay Bonk, Kira S. King.</t>
        </is>
      </c>
      <c r="F419" t="inlineStr">
        <is>
          <t>No</t>
        </is>
      </c>
      <c r="G419" t="inlineStr">
        <is>
          <t>1</t>
        </is>
      </c>
      <c r="H419" t="inlineStr">
        <is>
          <t>No</t>
        </is>
      </c>
      <c r="I419" t="inlineStr">
        <is>
          <t>No</t>
        </is>
      </c>
      <c r="J419" t="inlineStr">
        <is>
          <t>0</t>
        </is>
      </c>
      <c r="L419" t="inlineStr">
        <is>
          <t>Mahwah, N.J. : L. Erlbuam Associates, 1998.</t>
        </is>
      </c>
      <c r="M419" t="inlineStr">
        <is>
          <t>1998</t>
        </is>
      </c>
      <c r="O419" t="inlineStr">
        <is>
          <t>eng</t>
        </is>
      </c>
      <c r="P419" t="inlineStr">
        <is>
          <t>nju</t>
        </is>
      </c>
      <c r="R419" t="inlineStr">
        <is>
          <t xml:space="preserve">LB </t>
        </is>
      </c>
      <c r="S419" t="n">
        <v>2</v>
      </c>
      <c r="T419" t="n">
        <v>2</v>
      </c>
      <c r="U419" t="inlineStr">
        <is>
          <t>2007-04-27</t>
        </is>
      </c>
      <c r="V419" t="inlineStr">
        <is>
          <t>2007-04-27</t>
        </is>
      </c>
      <c r="W419" t="inlineStr">
        <is>
          <t>2000-09-27</t>
        </is>
      </c>
      <c r="X419" t="inlineStr">
        <is>
          <t>2000-09-27</t>
        </is>
      </c>
      <c r="Y419" t="n">
        <v>432</v>
      </c>
      <c r="Z419" t="n">
        <v>364</v>
      </c>
      <c r="AA419" t="n">
        <v>392</v>
      </c>
      <c r="AB419" t="n">
        <v>2</v>
      </c>
      <c r="AC419" t="n">
        <v>2</v>
      </c>
      <c r="AD419" t="n">
        <v>20</v>
      </c>
      <c r="AE419" t="n">
        <v>20</v>
      </c>
      <c r="AF419" t="n">
        <v>9</v>
      </c>
      <c r="AG419" t="n">
        <v>9</v>
      </c>
      <c r="AH419" t="n">
        <v>2</v>
      </c>
      <c r="AI419" t="n">
        <v>2</v>
      </c>
      <c r="AJ419" t="n">
        <v>12</v>
      </c>
      <c r="AK419" t="n">
        <v>12</v>
      </c>
      <c r="AL419" t="n">
        <v>1</v>
      </c>
      <c r="AM419" t="n">
        <v>1</v>
      </c>
      <c r="AN419" t="n">
        <v>0</v>
      </c>
      <c r="AO419" t="n">
        <v>0</v>
      </c>
      <c r="AP419" t="inlineStr">
        <is>
          <t>No</t>
        </is>
      </c>
      <c r="AQ419" t="inlineStr">
        <is>
          <t>Yes</t>
        </is>
      </c>
      <c r="AR419">
        <f>HYPERLINK("http://catalog.hathitrust.org/Record/004583871","HathiTrust Record")</f>
        <v/>
      </c>
      <c r="AS419">
        <f>HYPERLINK("https://creighton-primo.hosted.exlibrisgroup.com/primo-explore/search?tab=default_tab&amp;search_scope=EVERYTHING&amp;vid=01CRU&amp;lang=en_US&amp;offset=0&amp;query=any,contains,991000025089702656","Catalog Record")</f>
        <v/>
      </c>
      <c r="AT419">
        <f>HYPERLINK("http://www.worldcat.org/oclc/38257913","WorldCat Record")</f>
        <v/>
      </c>
      <c r="AU419" t="inlineStr">
        <is>
          <t>837042323:eng</t>
        </is>
      </c>
      <c r="AV419" t="inlineStr">
        <is>
          <t>38257913</t>
        </is>
      </c>
      <c r="AW419" t="inlineStr">
        <is>
          <t>991000025089702656</t>
        </is>
      </c>
      <c r="AX419" t="inlineStr">
        <is>
          <t>991000025089702656</t>
        </is>
      </c>
      <c r="AY419" t="inlineStr">
        <is>
          <t>2270807760002656</t>
        </is>
      </c>
      <c r="AZ419" t="inlineStr">
        <is>
          <t>BOOK</t>
        </is>
      </c>
      <c r="BB419" t="inlineStr">
        <is>
          <t>9780805827965</t>
        </is>
      </c>
      <c r="BC419" t="inlineStr">
        <is>
          <t>32285003765228</t>
        </is>
      </c>
      <c r="BD419" t="inlineStr">
        <is>
          <t>893708023</t>
        </is>
      </c>
    </row>
    <row r="420">
      <c r="A420" t="inlineStr">
        <is>
          <t>No</t>
        </is>
      </c>
      <c r="B420" t="inlineStr">
        <is>
          <t>LB1044.88 .B45 2007</t>
        </is>
      </c>
      <c r="C420" t="inlineStr">
        <is>
          <t>0                      LB 1044880B  45          2007</t>
        </is>
      </c>
      <c r="D420" t="inlineStr">
        <is>
          <t>A guide to graphic organizers : helping students organize and process content for deeper learning / James Bellanca.</t>
        </is>
      </c>
      <c r="F420" t="inlineStr">
        <is>
          <t>No</t>
        </is>
      </c>
      <c r="G420" t="inlineStr">
        <is>
          <t>1</t>
        </is>
      </c>
      <c r="H420" t="inlineStr">
        <is>
          <t>No</t>
        </is>
      </c>
      <c r="I420" t="inlineStr">
        <is>
          <t>No</t>
        </is>
      </c>
      <c r="J420" t="inlineStr">
        <is>
          <t>0</t>
        </is>
      </c>
      <c r="K420" t="inlineStr">
        <is>
          <t>Bellanca, James A., 1937-</t>
        </is>
      </c>
      <c r="L420" t="inlineStr">
        <is>
          <t>Thousand Oaks, Calif. : Corwin Press, c2007.</t>
        </is>
      </c>
      <c r="M420" t="inlineStr">
        <is>
          <t>2007</t>
        </is>
      </c>
      <c r="N420" t="inlineStr">
        <is>
          <t>2nd ed.</t>
        </is>
      </c>
      <c r="O420" t="inlineStr">
        <is>
          <t>eng</t>
        </is>
      </c>
      <c r="P420" t="inlineStr">
        <is>
          <t>cau</t>
        </is>
      </c>
      <c r="R420" t="inlineStr">
        <is>
          <t xml:space="preserve">LB </t>
        </is>
      </c>
      <c r="S420" t="n">
        <v>1</v>
      </c>
      <c r="T420" t="n">
        <v>1</v>
      </c>
      <c r="U420" t="inlineStr">
        <is>
          <t>2007-10-24</t>
        </is>
      </c>
      <c r="V420" t="inlineStr">
        <is>
          <t>2007-10-24</t>
        </is>
      </c>
      <c r="W420" t="inlineStr">
        <is>
          <t>2007-10-24</t>
        </is>
      </c>
      <c r="X420" t="inlineStr">
        <is>
          <t>2007-10-24</t>
        </is>
      </c>
      <c r="Y420" t="n">
        <v>225</v>
      </c>
      <c r="Z420" t="n">
        <v>183</v>
      </c>
      <c r="AA420" t="n">
        <v>183</v>
      </c>
      <c r="AB420" t="n">
        <v>1</v>
      </c>
      <c r="AC420" t="n">
        <v>1</v>
      </c>
      <c r="AD420" t="n">
        <v>11</v>
      </c>
      <c r="AE420" t="n">
        <v>11</v>
      </c>
      <c r="AF420" t="n">
        <v>6</v>
      </c>
      <c r="AG420" t="n">
        <v>6</v>
      </c>
      <c r="AH420" t="n">
        <v>1</v>
      </c>
      <c r="AI420" t="n">
        <v>1</v>
      </c>
      <c r="AJ420" t="n">
        <v>10</v>
      </c>
      <c r="AK420" t="n">
        <v>10</v>
      </c>
      <c r="AL420" t="n">
        <v>0</v>
      </c>
      <c r="AM420" t="n">
        <v>0</v>
      </c>
      <c r="AN420" t="n">
        <v>0</v>
      </c>
      <c r="AO420" t="n">
        <v>0</v>
      </c>
      <c r="AP420" t="inlineStr">
        <is>
          <t>No</t>
        </is>
      </c>
      <c r="AQ420" t="inlineStr">
        <is>
          <t>No</t>
        </is>
      </c>
      <c r="AS420">
        <f>HYPERLINK("https://creighton-primo.hosted.exlibrisgroup.com/primo-explore/search?tab=default_tab&amp;search_scope=EVERYTHING&amp;vid=01CRU&amp;lang=en_US&amp;offset=0&amp;query=any,contains,991005129809702656","Catalog Record")</f>
        <v/>
      </c>
      <c r="AT420">
        <f>HYPERLINK("http://www.worldcat.org/oclc/77573902","WorldCat Record")</f>
        <v/>
      </c>
      <c r="AU420" t="inlineStr">
        <is>
          <t>984314188:eng</t>
        </is>
      </c>
      <c r="AV420" t="inlineStr">
        <is>
          <t>77573902</t>
        </is>
      </c>
      <c r="AW420" t="inlineStr">
        <is>
          <t>991005129809702656</t>
        </is>
      </c>
      <c r="AX420" t="inlineStr">
        <is>
          <t>991005129809702656</t>
        </is>
      </c>
      <c r="AY420" t="inlineStr">
        <is>
          <t>2268702080002656</t>
        </is>
      </c>
      <c r="AZ420" t="inlineStr">
        <is>
          <t>BOOK</t>
        </is>
      </c>
      <c r="BB420" t="inlineStr">
        <is>
          <t>9781412952996</t>
        </is>
      </c>
      <c r="BC420" t="inlineStr">
        <is>
          <t>32285005360887</t>
        </is>
      </c>
      <c r="BD420" t="inlineStr">
        <is>
          <t>893263623</t>
        </is>
      </c>
    </row>
    <row r="421">
      <c r="A421" t="inlineStr">
        <is>
          <t>No</t>
        </is>
      </c>
      <c r="B421" t="inlineStr">
        <is>
          <t>LB1044.9.P49 N47 2003</t>
        </is>
      </c>
      <c r="C421" t="inlineStr">
        <is>
          <t>0                      LB 1044900P  49                 N  47          2003</t>
        </is>
      </c>
      <c r="D421" t="inlineStr">
        <is>
          <t>Picture books plus : 100 extension activities in art, drama, music, math, and science / Sue McCleaf Nespeca, Joan B. Reeve.</t>
        </is>
      </c>
      <c r="F421" t="inlineStr">
        <is>
          <t>No</t>
        </is>
      </c>
      <c r="G421" t="inlineStr">
        <is>
          <t>1</t>
        </is>
      </c>
      <c r="H421" t="inlineStr">
        <is>
          <t>No</t>
        </is>
      </c>
      <c r="I421" t="inlineStr">
        <is>
          <t>No</t>
        </is>
      </c>
      <c r="J421" t="inlineStr">
        <is>
          <t>0</t>
        </is>
      </c>
      <c r="K421" t="inlineStr">
        <is>
          <t>Nespeca, Sue McCleaf.</t>
        </is>
      </c>
      <c r="L421" t="inlineStr">
        <is>
          <t>Chicago : American Library Association, 2003.</t>
        </is>
      </c>
      <c r="M421" t="inlineStr">
        <is>
          <t>2003</t>
        </is>
      </c>
      <c r="O421" t="inlineStr">
        <is>
          <t>eng</t>
        </is>
      </c>
      <c r="P421" t="inlineStr">
        <is>
          <t>ilu</t>
        </is>
      </c>
      <c r="R421" t="inlineStr">
        <is>
          <t xml:space="preserve">LB </t>
        </is>
      </c>
      <c r="S421" t="n">
        <v>2</v>
      </c>
      <c r="T421" t="n">
        <v>2</v>
      </c>
      <c r="U421" t="inlineStr">
        <is>
          <t>2004-08-04</t>
        </is>
      </c>
      <c r="V421" t="inlineStr">
        <is>
          <t>2004-08-04</t>
        </is>
      </c>
      <c r="W421" t="inlineStr">
        <is>
          <t>2003-07-30</t>
        </is>
      </c>
      <c r="X421" t="inlineStr">
        <is>
          <t>2003-07-30</t>
        </is>
      </c>
      <c r="Y421" t="n">
        <v>689</v>
      </c>
      <c r="Z421" t="n">
        <v>640</v>
      </c>
      <c r="AA421" t="n">
        <v>1435</v>
      </c>
      <c r="AB421" t="n">
        <v>11</v>
      </c>
      <c r="AC421" t="n">
        <v>22</v>
      </c>
      <c r="AD421" t="n">
        <v>15</v>
      </c>
      <c r="AE421" t="n">
        <v>42</v>
      </c>
      <c r="AF421" t="n">
        <v>6</v>
      </c>
      <c r="AG421" t="n">
        <v>14</v>
      </c>
      <c r="AH421" t="n">
        <v>2</v>
      </c>
      <c r="AI421" t="n">
        <v>7</v>
      </c>
      <c r="AJ421" t="n">
        <v>5</v>
      </c>
      <c r="AK421" t="n">
        <v>13</v>
      </c>
      <c r="AL421" t="n">
        <v>4</v>
      </c>
      <c r="AM421" t="n">
        <v>14</v>
      </c>
      <c r="AN421" t="n">
        <v>0</v>
      </c>
      <c r="AO421" t="n">
        <v>2</v>
      </c>
      <c r="AP421" t="inlineStr">
        <is>
          <t>No</t>
        </is>
      </c>
      <c r="AQ421" t="inlineStr">
        <is>
          <t>No</t>
        </is>
      </c>
      <c r="AS421">
        <f>HYPERLINK("https://creighton-primo.hosted.exlibrisgroup.com/primo-explore/search?tab=default_tab&amp;search_scope=EVERYTHING&amp;vid=01CRU&amp;lang=en_US&amp;offset=0&amp;query=any,contains,991004081999702656","Catalog Record")</f>
        <v/>
      </c>
      <c r="AT421">
        <f>HYPERLINK("http://www.worldcat.org/oclc/50447904","WorldCat Record")</f>
        <v/>
      </c>
      <c r="AU421" t="inlineStr">
        <is>
          <t>314968753:eng</t>
        </is>
      </c>
      <c r="AV421" t="inlineStr">
        <is>
          <t>50447904</t>
        </is>
      </c>
      <c r="AW421" t="inlineStr">
        <is>
          <t>991004081999702656</t>
        </is>
      </c>
      <c r="AX421" t="inlineStr">
        <is>
          <t>991004081999702656</t>
        </is>
      </c>
      <c r="AY421" t="inlineStr">
        <is>
          <t>2271430510002656</t>
        </is>
      </c>
      <c r="AZ421" t="inlineStr">
        <is>
          <t>BOOK</t>
        </is>
      </c>
      <c r="BB421" t="inlineStr">
        <is>
          <t>9780838908402</t>
        </is>
      </c>
      <c r="BC421" t="inlineStr">
        <is>
          <t>32285004756960</t>
        </is>
      </c>
      <c r="BD421" t="inlineStr">
        <is>
          <t>893235038</t>
        </is>
      </c>
    </row>
    <row r="422">
      <c r="A422" t="inlineStr">
        <is>
          <t>No</t>
        </is>
      </c>
      <c r="B422" t="inlineStr">
        <is>
          <t>LB1044.9.T38 C65 2009</t>
        </is>
      </c>
      <c r="C422" t="inlineStr">
        <is>
          <t>0                      LB 1044900T  38                 C  65          2009</t>
        </is>
      </c>
      <c r="D422" t="inlineStr">
        <is>
          <t>Videoconferencing for K-12 classrooms : a program development guide / Camille Cole, Kecia Ray, Jan Zanetis.</t>
        </is>
      </c>
      <c r="F422" t="inlineStr">
        <is>
          <t>No</t>
        </is>
      </c>
      <c r="G422" t="inlineStr">
        <is>
          <t>1</t>
        </is>
      </c>
      <c r="H422" t="inlineStr">
        <is>
          <t>No</t>
        </is>
      </c>
      <c r="I422" t="inlineStr">
        <is>
          <t>No</t>
        </is>
      </c>
      <c r="J422" t="inlineStr">
        <is>
          <t>0</t>
        </is>
      </c>
      <c r="K422" t="inlineStr">
        <is>
          <t>Cole, Camille.</t>
        </is>
      </c>
      <c r="L422" t="inlineStr">
        <is>
          <t>Eugene, Or. : International Society for Technology in Education, c2009.</t>
        </is>
      </c>
      <c r="M422" t="inlineStr">
        <is>
          <t>2009</t>
        </is>
      </c>
      <c r="N422" t="inlineStr">
        <is>
          <t>2nd ed.</t>
        </is>
      </c>
      <c r="O422" t="inlineStr">
        <is>
          <t>eng</t>
        </is>
      </c>
      <c r="P422" t="inlineStr">
        <is>
          <t>oru</t>
        </is>
      </c>
      <c r="R422" t="inlineStr">
        <is>
          <t xml:space="preserve">LB </t>
        </is>
      </c>
      <c r="S422" t="n">
        <v>1</v>
      </c>
      <c r="T422" t="n">
        <v>1</v>
      </c>
      <c r="U422" t="inlineStr">
        <is>
          <t>2009-08-04</t>
        </is>
      </c>
      <c r="V422" t="inlineStr">
        <is>
          <t>2009-08-04</t>
        </is>
      </c>
      <c r="W422" t="inlineStr">
        <is>
          <t>2009-08-04</t>
        </is>
      </c>
      <c r="X422" t="inlineStr">
        <is>
          <t>2009-08-04</t>
        </is>
      </c>
      <c r="Y422" t="n">
        <v>78</v>
      </c>
      <c r="Z422" t="n">
        <v>62</v>
      </c>
      <c r="AA422" t="n">
        <v>156</v>
      </c>
      <c r="AB422" t="n">
        <v>1</v>
      </c>
      <c r="AC422" t="n">
        <v>2</v>
      </c>
      <c r="AD422" t="n">
        <v>2</v>
      </c>
      <c r="AE422" t="n">
        <v>7</v>
      </c>
      <c r="AF422" t="n">
        <v>2</v>
      </c>
      <c r="AG422" t="n">
        <v>3</v>
      </c>
      <c r="AH422" t="n">
        <v>0</v>
      </c>
      <c r="AI422" t="n">
        <v>1</v>
      </c>
      <c r="AJ422" t="n">
        <v>1</v>
      </c>
      <c r="AK422" t="n">
        <v>4</v>
      </c>
      <c r="AL422" t="n">
        <v>0</v>
      </c>
      <c r="AM422" t="n">
        <v>1</v>
      </c>
      <c r="AN422" t="n">
        <v>0</v>
      </c>
      <c r="AO422" t="n">
        <v>0</v>
      </c>
      <c r="AP422" t="inlineStr">
        <is>
          <t>No</t>
        </is>
      </c>
      <c r="AQ422" t="inlineStr">
        <is>
          <t>No</t>
        </is>
      </c>
      <c r="AS422">
        <f>HYPERLINK("https://creighton-primo.hosted.exlibrisgroup.com/primo-explore/search?tab=default_tab&amp;search_scope=EVERYTHING&amp;vid=01CRU&amp;lang=en_US&amp;offset=0&amp;query=any,contains,991005327219702656","Catalog Record")</f>
        <v/>
      </c>
      <c r="AT422">
        <f>HYPERLINK("http://www.worldcat.org/oclc/276817953","WorldCat Record")</f>
        <v/>
      </c>
      <c r="AU422" t="inlineStr">
        <is>
          <t>198594158:eng</t>
        </is>
      </c>
      <c r="AV422" t="inlineStr">
        <is>
          <t>276817953</t>
        </is>
      </c>
      <c r="AW422" t="inlineStr">
        <is>
          <t>991005327219702656</t>
        </is>
      </c>
      <c r="AX422" t="inlineStr">
        <is>
          <t>991005327219702656</t>
        </is>
      </c>
      <c r="AY422" t="inlineStr">
        <is>
          <t>2268052830002656</t>
        </is>
      </c>
      <c r="AZ422" t="inlineStr">
        <is>
          <t>BOOK</t>
        </is>
      </c>
      <c r="BB422" t="inlineStr">
        <is>
          <t>9781564842565</t>
        </is>
      </c>
      <c r="BC422" t="inlineStr">
        <is>
          <t>32285005540371</t>
        </is>
      </c>
      <c r="BD422" t="inlineStr">
        <is>
          <t>893707649</t>
        </is>
      </c>
    </row>
    <row r="423">
      <c r="A423" t="inlineStr">
        <is>
          <t>No</t>
        </is>
      </c>
      <c r="B423" t="inlineStr">
        <is>
          <t>LB1045 .J38</t>
        </is>
      </c>
      <c r="C423" t="inlineStr">
        <is>
          <t>0                      LB 1045000J  38</t>
        </is>
      </c>
      <c r="D423" t="inlineStr">
        <is>
          <t>Involvement bulletin boards and other motivational reading activities / M. Ellen Jay.</t>
        </is>
      </c>
      <c r="F423" t="inlineStr">
        <is>
          <t>No</t>
        </is>
      </c>
      <c r="G423" t="inlineStr">
        <is>
          <t>1</t>
        </is>
      </c>
      <c r="H423" t="inlineStr">
        <is>
          <t>No</t>
        </is>
      </c>
      <c r="I423" t="inlineStr">
        <is>
          <t>No</t>
        </is>
      </c>
      <c r="J423" t="inlineStr">
        <is>
          <t>0</t>
        </is>
      </c>
      <c r="K423" t="inlineStr">
        <is>
          <t>Jay, M. Ellen.</t>
        </is>
      </c>
      <c r="L423" t="inlineStr">
        <is>
          <t>Syracuse, N.Y. : Gaylord Bros., 1976.</t>
        </is>
      </c>
      <c r="M423" t="inlineStr">
        <is>
          <t>1976</t>
        </is>
      </c>
      <c r="O423" t="inlineStr">
        <is>
          <t>eng</t>
        </is>
      </c>
      <c r="P423" t="inlineStr">
        <is>
          <t>nyu</t>
        </is>
      </c>
      <c r="R423" t="inlineStr">
        <is>
          <t xml:space="preserve">LB </t>
        </is>
      </c>
      <c r="S423" t="n">
        <v>6</v>
      </c>
      <c r="T423" t="n">
        <v>6</v>
      </c>
      <c r="U423" t="inlineStr">
        <is>
          <t>2009-08-12</t>
        </is>
      </c>
      <c r="V423" t="inlineStr">
        <is>
          <t>2009-08-12</t>
        </is>
      </c>
      <c r="W423" t="inlineStr">
        <is>
          <t>1992-10-23</t>
        </is>
      </c>
      <c r="X423" t="inlineStr">
        <is>
          <t>1992-10-23</t>
        </is>
      </c>
      <c r="Y423" t="n">
        <v>153</v>
      </c>
      <c r="Z423" t="n">
        <v>144</v>
      </c>
      <c r="AA423" t="n">
        <v>322</v>
      </c>
      <c r="AB423" t="n">
        <v>4</v>
      </c>
      <c r="AC423" t="n">
        <v>7</v>
      </c>
      <c r="AD423" t="n">
        <v>3</v>
      </c>
      <c r="AE423" t="n">
        <v>8</v>
      </c>
      <c r="AF423" t="n">
        <v>0</v>
      </c>
      <c r="AG423" t="n">
        <v>0</v>
      </c>
      <c r="AH423" t="n">
        <v>0</v>
      </c>
      <c r="AI423" t="n">
        <v>1</v>
      </c>
      <c r="AJ423" t="n">
        <v>1</v>
      </c>
      <c r="AK423" t="n">
        <v>3</v>
      </c>
      <c r="AL423" t="n">
        <v>2</v>
      </c>
      <c r="AM423" t="n">
        <v>5</v>
      </c>
      <c r="AN423" t="n">
        <v>0</v>
      </c>
      <c r="AO423" t="n">
        <v>0</v>
      </c>
      <c r="AP423" t="inlineStr">
        <is>
          <t>No</t>
        </is>
      </c>
      <c r="AQ423" t="inlineStr">
        <is>
          <t>Yes</t>
        </is>
      </c>
      <c r="AR423">
        <f>HYPERLINK("http://catalog.hathitrust.org/Record/000723045","HathiTrust Record")</f>
        <v/>
      </c>
      <c r="AS423">
        <f>HYPERLINK("https://creighton-primo.hosted.exlibrisgroup.com/primo-explore/search?tab=default_tab&amp;search_scope=EVERYTHING&amp;vid=01CRU&amp;lang=en_US&amp;offset=0&amp;query=any,contains,991004101199702656","Catalog Record")</f>
        <v/>
      </c>
      <c r="AT423">
        <f>HYPERLINK("http://www.worldcat.org/oclc/2372660","WorldCat Record")</f>
        <v/>
      </c>
      <c r="AU423" t="inlineStr">
        <is>
          <t>4747013:eng</t>
        </is>
      </c>
      <c r="AV423" t="inlineStr">
        <is>
          <t>2372660</t>
        </is>
      </c>
      <c r="AW423" t="inlineStr">
        <is>
          <t>991004101199702656</t>
        </is>
      </c>
      <c r="AX423" t="inlineStr">
        <is>
          <t>991004101199702656</t>
        </is>
      </c>
      <c r="AY423" t="inlineStr">
        <is>
          <t>2255334880002656</t>
        </is>
      </c>
      <c r="AZ423" t="inlineStr">
        <is>
          <t>BOOK</t>
        </is>
      </c>
      <c r="BB423" t="inlineStr">
        <is>
          <t>9780915794072</t>
        </is>
      </c>
      <c r="BC423" t="inlineStr">
        <is>
          <t>32285001376770</t>
        </is>
      </c>
      <c r="BD423" t="inlineStr">
        <is>
          <t>893900795</t>
        </is>
      </c>
    </row>
    <row r="424">
      <c r="A424" t="inlineStr">
        <is>
          <t>No</t>
        </is>
      </c>
      <c r="B424" t="inlineStr">
        <is>
          <t>LB1045 .K68</t>
        </is>
      </c>
      <c r="C424" t="inlineStr">
        <is>
          <t>0                      LB 1045000K  68</t>
        </is>
      </c>
      <c r="D424" t="inlineStr">
        <is>
          <t>Baited bulletin boards a handbook for teachers.</t>
        </is>
      </c>
      <c r="F424" t="inlineStr">
        <is>
          <t>No</t>
        </is>
      </c>
      <c r="G424" t="inlineStr">
        <is>
          <t>1</t>
        </is>
      </c>
      <c r="H424" t="inlineStr">
        <is>
          <t>No</t>
        </is>
      </c>
      <c r="I424" t="inlineStr">
        <is>
          <t>No</t>
        </is>
      </c>
      <c r="J424" t="inlineStr">
        <is>
          <t>0</t>
        </is>
      </c>
      <c r="K424" t="inlineStr">
        <is>
          <t>Koskey, Thomas Arthur, 1920-1963.</t>
        </is>
      </c>
      <c r="L424" t="inlineStr">
        <is>
          <t>[Belmont, Calif., Fearon Publishers, 1954]</t>
        </is>
      </c>
      <c r="M424" t="inlineStr">
        <is>
          <t>1954</t>
        </is>
      </c>
      <c r="O424" t="inlineStr">
        <is>
          <t>eng</t>
        </is>
      </c>
      <c r="P424" t="inlineStr">
        <is>
          <t>cau</t>
        </is>
      </c>
      <c r="R424" t="inlineStr">
        <is>
          <t xml:space="preserve">LB </t>
        </is>
      </c>
      <c r="S424" t="n">
        <v>2</v>
      </c>
      <c r="T424" t="n">
        <v>2</v>
      </c>
      <c r="U424" t="inlineStr">
        <is>
          <t>2009-08-12</t>
        </is>
      </c>
      <c r="V424" t="inlineStr">
        <is>
          <t>2009-08-12</t>
        </is>
      </c>
      <c r="W424" t="inlineStr">
        <is>
          <t>1994-02-15</t>
        </is>
      </c>
      <c r="X424" t="inlineStr">
        <is>
          <t>1994-02-15</t>
        </is>
      </c>
      <c r="Y424" t="n">
        <v>145</v>
      </c>
      <c r="Z424" t="n">
        <v>136</v>
      </c>
      <c r="AA424" t="n">
        <v>151</v>
      </c>
      <c r="AB424" t="n">
        <v>3</v>
      </c>
      <c r="AC424" t="n">
        <v>3</v>
      </c>
      <c r="AD424" t="n">
        <v>3</v>
      </c>
      <c r="AE424" t="n">
        <v>3</v>
      </c>
      <c r="AF424" t="n">
        <v>0</v>
      </c>
      <c r="AG424" t="n">
        <v>0</v>
      </c>
      <c r="AH424" t="n">
        <v>0</v>
      </c>
      <c r="AI424" t="n">
        <v>0</v>
      </c>
      <c r="AJ424" t="n">
        <v>1</v>
      </c>
      <c r="AK424" t="n">
        <v>1</v>
      </c>
      <c r="AL424" t="n">
        <v>2</v>
      </c>
      <c r="AM424" t="n">
        <v>2</v>
      </c>
      <c r="AN424" t="n">
        <v>0</v>
      </c>
      <c r="AO424" t="n">
        <v>0</v>
      </c>
      <c r="AP424" t="inlineStr">
        <is>
          <t>Yes</t>
        </is>
      </c>
      <c r="AQ424" t="inlineStr">
        <is>
          <t>No</t>
        </is>
      </c>
      <c r="AR424">
        <f>HYPERLINK("http://catalog.hathitrust.org/Record/001279865","HathiTrust Record")</f>
        <v/>
      </c>
      <c r="AS424">
        <f>HYPERLINK("https://creighton-primo.hosted.exlibrisgroup.com/primo-explore/search?tab=default_tab&amp;search_scope=EVERYTHING&amp;vid=01CRU&amp;lang=en_US&amp;offset=0&amp;query=any,contains,991001546379702656","Catalog Record")</f>
        <v/>
      </c>
      <c r="AT424">
        <f>HYPERLINK("http://www.worldcat.org/oclc/232554","WorldCat Record")</f>
        <v/>
      </c>
      <c r="AU424" t="inlineStr">
        <is>
          <t>1358952:eng</t>
        </is>
      </c>
      <c r="AV424" t="inlineStr">
        <is>
          <t>232554</t>
        </is>
      </c>
      <c r="AW424" t="inlineStr">
        <is>
          <t>991001546379702656</t>
        </is>
      </c>
      <c r="AX424" t="inlineStr">
        <is>
          <t>991001546379702656</t>
        </is>
      </c>
      <c r="AY424" t="inlineStr">
        <is>
          <t>2258662490002656</t>
        </is>
      </c>
      <c r="AZ424" t="inlineStr">
        <is>
          <t>BOOK</t>
        </is>
      </c>
      <c r="BC424" t="inlineStr">
        <is>
          <t>32285001838431</t>
        </is>
      </c>
      <c r="BD424" t="inlineStr">
        <is>
          <t>893703084</t>
        </is>
      </c>
    </row>
    <row r="425">
      <c r="A425" t="inlineStr">
        <is>
          <t>No</t>
        </is>
      </c>
      <c r="B425" t="inlineStr">
        <is>
          <t>LB1047 .W65 1996</t>
        </is>
      </c>
      <c r="C425" t="inlineStr">
        <is>
          <t>0                      LB 1047000W  65          1996</t>
        </is>
      </c>
      <c r="D425" t="inlineStr">
        <is>
          <t>Women's voices in experiential education / [edited by] Karen Warren ; Association for Experiential Education.</t>
        </is>
      </c>
      <c r="F425" t="inlineStr">
        <is>
          <t>No</t>
        </is>
      </c>
      <c r="G425" t="inlineStr">
        <is>
          <t>1</t>
        </is>
      </c>
      <c r="H425" t="inlineStr">
        <is>
          <t>No</t>
        </is>
      </c>
      <c r="I425" t="inlineStr">
        <is>
          <t>No</t>
        </is>
      </c>
      <c r="J425" t="inlineStr">
        <is>
          <t>0</t>
        </is>
      </c>
      <c r="L425" t="inlineStr">
        <is>
          <t>Dubuque, Iowa : Kendall/Hunt, c1996.</t>
        </is>
      </c>
      <c r="M425" t="inlineStr">
        <is>
          <t>1996</t>
        </is>
      </c>
      <c r="O425" t="inlineStr">
        <is>
          <t>eng</t>
        </is>
      </c>
      <c r="P425" t="inlineStr">
        <is>
          <t>iau</t>
        </is>
      </c>
      <c r="R425" t="inlineStr">
        <is>
          <t xml:space="preserve">LB </t>
        </is>
      </c>
      <c r="S425" t="n">
        <v>4</v>
      </c>
      <c r="T425" t="n">
        <v>4</v>
      </c>
      <c r="U425" t="inlineStr">
        <is>
          <t>2009-06-03</t>
        </is>
      </c>
      <c r="V425" t="inlineStr">
        <is>
          <t>2009-06-03</t>
        </is>
      </c>
      <c r="W425" t="inlineStr">
        <is>
          <t>2001-12-12</t>
        </is>
      </c>
      <c r="X425" t="inlineStr">
        <is>
          <t>2001-12-12</t>
        </is>
      </c>
      <c r="Y425" t="n">
        <v>128</v>
      </c>
      <c r="Z425" t="n">
        <v>91</v>
      </c>
      <c r="AA425" t="n">
        <v>93</v>
      </c>
      <c r="AB425" t="n">
        <v>1</v>
      </c>
      <c r="AC425" t="n">
        <v>1</v>
      </c>
      <c r="AD425" t="n">
        <v>3</v>
      </c>
      <c r="AE425" t="n">
        <v>3</v>
      </c>
      <c r="AF425" t="n">
        <v>0</v>
      </c>
      <c r="AG425" t="n">
        <v>0</v>
      </c>
      <c r="AH425" t="n">
        <v>0</v>
      </c>
      <c r="AI425" t="n">
        <v>0</v>
      </c>
      <c r="AJ425" t="n">
        <v>3</v>
      </c>
      <c r="AK425" t="n">
        <v>3</v>
      </c>
      <c r="AL425" t="n">
        <v>0</v>
      </c>
      <c r="AM425" t="n">
        <v>0</v>
      </c>
      <c r="AN425" t="n">
        <v>0</v>
      </c>
      <c r="AO425" t="n">
        <v>0</v>
      </c>
      <c r="AP425" t="inlineStr">
        <is>
          <t>No</t>
        </is>
      </c>
      <c r="AQ425" t="inlineStr">
        <is>
          <t>No</t>
        </is>
      </c>
      <c r="AS425">
        <f>HYPERLINK("https://creighton-primo.hosted.exlibrisgroup.com/primo-explore/search?tab=default_tab&amp;search_scope=EVERYTHING&amp;vid=01CRU&amp;lang=en_US&amp;offset=0&amp;query=any,contains,991003681019702656","Catalog Record")</f>
        <v/>
      </c>
      <c r="AT425">
        <f>HYPERLINK("http://www.worldcat.org/oclc/35568346","WorldCat Record")</f>
        <v/>
      </c>
      <c r="AU425" t="inlineStr">
        <is>
          <t>40294537:eng</t>
        </is>
      </c>
      <c r="AV425" t="inlineStr">
        <is>
          <t>35568346</t>
        </is>
      </c>
      <c r="AW425" t="inlineStr">
        <is>
          <t>991003681019702656</t>
        </is>
      </c>
      <c r="AX425" t="inlineStr">
        <is>
          <t>991003681019702656</t>
        </is>
      </c>
      <c r="AY425" t="inlineStr">
        <is>
          <t>2256665500002656</t>
        </is>
      </c>
      <c r="AZ425" t="inlineStr">
        <is>
          <t>BOOK</t>
        </is>
      </c>
      <c r="BB425" t="inlineStr">
        <is>
          <t>9780787220594</t>
        </is>
      </c>
      <c r="BC425" t="inlineStr">
        <is>
          <t>32285004428172</t>
        </is>
      </c>
      <c r="BD425" t="inlineStr">
        <is>
          <t>893505863</t>
        </is>
      </c>
    </row>
    <row r="426">
      <c r="A426" t="inlineStr">
        <is>
          <t>No</t>
        </is>
      </c>
      <c r="B426" t="inlineStr">
        <is>
          <t>LB1048 .B46 2006</t>
        </is>
      </c>
      <c r="C426" t="inlineStr">
        <is>
          <t>0                      LB 1048000B  46          2006</t>
        </is>
      </c>
      <c r="D426" t="inlineStr">
        <is>
          <t>The case against homework : how homework is hurting our children and what we can do about it / Sara Bennett and Nancy Kalish.</t>
        </is>
      </c>
      <c r="F426" t="inlineStr">
        <is>
          <t>No</t>
        </is>
      </c>
      <c r="G426" t="inlineStr">
        <is>
          <t>1</t>
        </is>
      </c>
      <c r="H426" t="inlineStr">
        <is>
          <t>No</t>
        </is>
      </c>
      <c r="I426" t="inlineStr">
        <is>
          <t>No</t>
        </is>
      </c>
      <c r="J426" t="inlineStr">
        <is>
          <t>0</t>
        </is>
      </c>
      <c r="K426" t="inlineStr">
        <is>
          <t>Bennett, Sara.</t>
        </is>
      </c>
      <c r="L426" t="inlineStr">
        <is>
          <t>New York : Crown Publishers, c2006.</t>
        </is>
      </c>
      <c r="M426" t="inlineStr">
        <is>
          <t>2006</t>
        </is>
      </c>
      <c r="N426" t="inlineStr">
        <is>
          <t>1st ed.</t>
        </is>
      </c>
      <c r="O426" t="inlineStr">
        <is>
          <t>eng</t>
        </is>
      </c>
      <c r="P426" t="inlineStr">
        <is>
          <t>nyu</t>
        </is>
      </c>
      <c r="R426" t="inlineStr">
        <is>
          <t xml:space="preserve">LB </t>
        </is>
      </c>
      <c r="S426" t="n">
        <v>1</v>
      </c>
      <c r="T426" t="n">
        <v>1</v>
      </c>
      <c r="U426" t="inlineStr">
        <is>
          <t>2006-12-12</t>
        </is>
      </c>
      <c r="V426" t="inlineStr">
        <is>
          <t>2006-12-12</t>
        </is>
      </c>
      <c r="W426" t="inlineStr">
        <is>
          <t>2006-12-12</t>
        </is>
      </c>
      <c r="X426" t="inlineStr">
        <is>
          <t>2006-12-12</t>
        </is>
      </c>
      <c r="Y426" t="n">
        <v>455</v>
      </c>
      <c r="Z426" t="n">
        <v>406</v>
      </c>
      <c r="AA426" t="n">
        <v>502</v>
      </c>
      <c r="AB426" t="n">
        <v>3</v>
      </c>
      <c r="AC426" t="n">
        <v>3</v>
      </c>
      <c r="AD426" t="n">
        <v>9</v>
      </c>
      <c r="AE426" t="n">
        <v>10</v>
      </c>
      <c r="AF426" t="n">
        <v>3</v>
      </c>
      <c r="AG426" t="n">
        <v>4</v>
      </c>
      <c r="AH426" t="n">
        <v>0</v>
      </c>
      <c r="AI426" t="n">
        <v>0</v>
      </c>
      <c r="AJ426" t="n">
        <v>3</v>
      </c>
      <c r="AK426" t="n">
        <v>3</v>
      </c>
      <c r="AL426" t="n">
        <v>2</v>
      </c>
      <c r="AM426" t="n">
        <v>2</v>
      </c>
      <c r="AN426" t="n">
        <v>1</v>
      </c>
      <c r="AO426" t="n">
        <v>1</v>
      </c>
      <c r="AP426" t="inlineStr">
        <is>
          <t>No</t>
        </is>
      </c>
      <c r="AQ426" t="inlineStr">
        <is>
          <t>No</t>
        </is>
      </c>
      <c r="AS426">
        <f>HYPERLINK("https://creighton-primo.hosted.exlibrisgroup.com/primo-explore/search?tab=default_tab&amp;search_scope=EVERYTHING&amp;vid=01CRU&amp;lang=en_US&amp;offset=0&amp;query=any,contains,991004988949702656","Catalog Record")</f>
        <v/>
      </c>
      <c r="AT426">
        <f>HYPERLINK("http://www.worldcat.org/oclc/70219846","WorldCat Record")</f>
        <v/>
      </c>
      <c r="AU426" t="inlineStr">
        <is>
          <t>306373901:eng</t>
        </is>
      </c>
      <c r="AV426" t="inlineStr">
        <is>
          <t>70219846</t>
        </is>
      </c>
      <c r="AW426" t="inlineStr">
        <is>
          <t>991004988949702656</t>
        </is>
      </c>
      <c r="AX426" t="inlineStr">
        <is>
          <t>991004988949702656</t>
        </is>
      </c>
      <c r="AY426" t="inlineStr">
        <is>
          <t>2257686290002656</t>
        </is>
      </c>
      <c r="AZ426" t="inlineStr">
        <is>
          <t>BOOK</t>
        </is>
      </c>
      <c r="BB426" t="inlineStr">
        <is>
          <t>9780307340177</t>
        </is>
      </c>
      <c r="BC426" t="inlineStr">
        <is>
          <t>32285005266407</t>
        </is>
      </c>
      <c r="BD426" t="inlineStr">
        <is>
          <t>893236135</t>
        </is>
      </c>
    </row>
    <row r="427">
      <c r="A427" t="inlineStr">
        <is>
          <t>No</t>
        </is>
      </c>
      <c r="B427" t="inlineStr">
        <is>
          <t>LB1048.5 .C35 1997</t>
        </is>
      </c>
      <c r="C427" t="inlineStr">
        <is>
          <t>0                      LB 1048500C  35          1997</t>
        </is>
      </c>
      <c r="D427" t="inlineStr">
        <is>
          <t>Raising lifelong learners : a parent's guide / Lucy Calkins ; with appendices by Lydia Bellino.</t>
        </is>
      </c>
      <c r="F427" t="inlineStr">
        <is>
          <t>No</t>
        </is>
      </c>
      <c r="G427" t="inlineStr">
        <is>
          <t>1</t>
        </is>
      </c>
      <c r="H427" t="inlineStr">
        <is>
          <t>No</t>
        </is>
      </c>
      <c r="I427" t="inlineStr">
        <is>
          <t>No</t>
        </is>
      </c>
      <c r="J427" t="inlineStr">
        <is>
          <t>0</t>
        </is>
      </c>
      <c r="K427" t="inlineStr">
        <is>
          <t>Calkins, Lucy, 1951-</t>
        </is>
      </c>
      <c r="L427" t="inlineStr">
        <is>
          <t>Reading, Mass. : Addison-Wesley Pub. Co., c1997.</t>
        </is>
      </c>
      <c r="M427" t="inlineStr">
        <is>
          <t>1997</t>
        </is>
      </c>
      <c r="O427" t="inlineStr">
        <is>
          <t>eng</t>
        </is>
      </c>
      <c r="P427" t="inlineStr">
        <is>
          <t>mau</t>
        </is>
      </c>
      <c r="R427" t="inlineStr">
        <is>
          <t xml:space="preserve">LB </t>
        </is>
      </c>
      <c r="S427" t="n">
        <v>1</v>
      </c>
      <c r="T427" t="n">
        <v>1</v>
      </c>
      <c r="U427" t="inlineStr">
        <is>
          <t>2003-02-16</t>
        </is>
      </c>
      <c r="V427" t="inlineStr">
        <is>
          <t>2003-02-16</t>
        </is>
      </c>
      <c r="W427" t="inlineStr">
        <is>
          <t>1997-11-06</t>
        </is>
      </c>
      <c r="X427" t="inlineStr">
        <is>
          <t>1997-11-06</t>
        </is>
      </c>
      <c r="Y427" t="n">
        <v>733</v>
      </c>
      <c r="Z427" t="n">
        <v>687</v>
      </c>
      <c r="AA427" t="n">
        <v>876</v>
      </c>
      <c r="AB427" t="n">
        <v>11</v>
      </c>
      <c r="AC427" t="n">
        <v>13</v>
      </c>
      <c r="AD427" t="n">
        <v>11</v>
      </c>
      <c r="AE427" t="n">
        <v>13</v>
      </c>
      <c r="AF427" t="n">
        <v>3</v>
      </c>
      <c r="AG427" t="n">
        <v>3</v>
      </c>
      <c r="AH427" t="n">
        <v>1</v>
      </c>
      <c r="AI427" t="n">
        <v>3</v>
      </c>
      <c r="AJ427" t="n">
        <v>5</v>
      </c>
      <c r="AK427" t="n">
        <v>5</v>
      </c>
      <c r="AL427" t="n">
        <v>4</v>
      </c>
      <c r="AM427" t="n">
        <v>4</v>
      </c>
      <c r="AN427" t="n">
        <v>0</v>
      </c>
      <c r="AO427" t="n">
        <v>0</v>
      </c>
      <c r="AP427" t="inlineStr">
        <is>
          <t>No</t>
        </is>
      </c>
      <c r="AQ427" t="inlineStr">
        <is>
          <t>Yes</t>
        </is>
      </c>
      <c r="AR427">
        <f>HYPERLINK("http://catalog.hathitrust.org/Record/007040610","HathiTrust Record")</f>
        <v/>
      </c>
      <c r="AS427">
        <f>HYPERLINK("https://creighton-primo.hosted.exlibrisgroup.com/primo-explore/search?tab=default_tab&amp;search_scope=EVERYTHING&amp;vid=01CRU&amp;lang=en_US&amp;offset=0&amp;query=any,contains,991002796449702656","Catalog Record")</f>
        <v/>
      </c>
      <c r="AT427">
        <f>HYPERLINK("http://www.worldcat.org/oclc/36728088","WorldCat Record")</f>
        <v/>
      </c>
      <c r="AU427" t="inlineStr">
        <is>
          <t>903455188:eng</t>
        </is>
      </c>
      <c r="AV427" t="inlineStr">
        <is>
          <t>36728088</t>
        </is>
      </c>
      <c r="AW427" t="inlineStr">
        <is>
          <t>991002796449702656</t>
        </is>
      </c>
      <c r="AX427" t="inlineStr">
        <is>
          <t>991002796449702656</t>
        </is>
      </c>
      <c r="AY427" t="inlineStr">
        <is>
          <t>2255167130002656</t>
        </is>
      </c>
      <c r="AZ427" t="inlineStr">
        <is>
          <t>BOOK</t>
        </is>
      </c>
      <c r="BB427" t="inlineStr">
        <is>
          <t>9780201127492</t>
        </is>
      </c>
      <c r="BC427" t="inlineStr">
        <is>
          <t>32285003277182</t>
        </is>
      </c>
      <c r="BD427" t="inlineStr">
        <is>
          <t>893323386</t>
        </is>
      </c>
    </row>
    <row r="428">
      <c r="A428" t="inlineStr">
        <is>
          <t>No</t>
        </is>
      </c>
      <c r="B428" t="inlineStr">
        <is>
          <t>LB1048.5 .C42 2002</t>
        </is>
      </c>
      <c r="C428" t="inlineStr">
        <is>
          <t>0                      LB 1048500C  42          2002</t>
        </is>
      </c>
      <c r="D428" t="inlineStr">
        <is>
          <t>The new public school parent : how to get the best education for your [elementary school and middle school, too] child / Bob Chase with Bob Katz.</t>
        </is>
      </c>
      <c r="F428" t="inlineStr">
        <is>
          <t>No</t>
        </is>
      </c>
      <c r="G428" t="inlineStr">
        <is>
          <t>1</t>
        </is>
      </c>
      <c r="H428" t="inlineStr">
        <is>
          <t>No</t>
        </is>
      </c>
      <c r="I428" t="inlineStr">
        <is>
          <t>No</t>
        </is>
      </c>
      <c r="J428" t="inlineStr">
        <is>
          <t>0</t>
        </is>
      </c>
      <c r="K428" t="inlineStr">
        <is>
          <t>Chase, Bob.</t>
        </is>
      </c>
      <c r="L428" t="inlineStr">
        <is>
          <t>New York : Penguin Books, 2002.</t>
        </is>
      </c>
      <c r="M428" t="inlineStr">
        <is>
          <t>2002</t>
        </is>
      </c>
      <c r="O428" t="inlineStr">
        <is>
          <t>eng</t>
        </is>
      </c>
      <c r="P428" t="inlineStr">
        <is>
          <t>nyu</t>
        </is>
      </c>
      <c r="R428" t="inlineStr">
        <is>
          <t xml:space="preserve">LB </t>
        </is>
      </c>
      <c r="S428" t="n">
        <v>1</v>
      </c>
      <c r="T428" t="n">
        <v>1</v>
      </c>
      <c r="U428" t="inlineStr">
        <is>
          <t>2003-04-10</t>
        </is>
      </c>
      <c r="V428" t="inlineStr">
        <is>
          <t>2003-04-10</t>
        </is>
      </c>
      <c r="W428" t="inlineStr">
        <is>
          <t>2003-04-10</t>
        </is>
      </c>
      <c r="X428" t="inlineStr">
        <is>
          <t>2003-04-10</t>
        </is>
      </c>
      <c r="Y428" t="n">
        <v>553</v>
      </c>
      <c r="Z428" t="n">
        <v>547</v>
      </c>
      <c r="AA428" t="n">
        <v>602</v>
      </c>
      <c r="AB428" t="n">
        <v>5</v>
      </c>
      <c r="AC428" t="n">
        <v>5</v>
      </c>
      <c r="AD428" t="n">
        <v>9</v>
      </c>
      <c r="AE428" t="n">
        <v>10</v>
      </c>
      <c r="AF428" t="n">
        <v>5</v>
      </c>
      <c r="AG428" t="n">
        <v>6</v>
      </c>
      <c r="AH428" t="n">
        <v>1</v>
      </c>
      <c r="AI428" t="n">
        <v>1</v>
      </c>
      <c r="AJ428" t="n">
        <v>3</v>
      </c>
      <c r="AK428" t="n">
        <v>4</v>
      </c>
      <c r="AL428" t="n">
        <v>3</v>
      </c>
      <c r="AM428" t="n">
        <v>3</v>
      </c>
      <c r="AN428" t="n">
        <v>0</v>
      </c>
      <c r="AO428" t="n">
        <v>0</v>
      </c>
      <c r="AP428" t="inlineStr">
        <is>
          <t>No</t>
        </is>
      </c>
      <c r="AQ428" t="inlineStr">
        <is>
          <t>No</t>
        </is>
      </c>
      <c r="AS428">
        <f>HYPERLINK("https://creighton-primo.hosted.exlibrisgroup.com/primo-explore/search?tab=default_tab&amp;search_scope=EVERYTHING&amp;vid=01CRU&amp;lang=en_US&amp;offset=0&amp;query=any,contains,991004037549702656","Catalog Record")</f>
        <v/>
      </c>
      <c r="AT428">
        <f>HYPERLINK("http://www.worldcat.org/oclc/49853080","WorldCat Record")</f>
        <v/>
      </c>
      <c r="AU428" t="inlineStr">
        <is>
          <t>6527906:eng</t>
        </is>
      </c>
      <c r="AV428" t="inlineStr">
        <is>
          <t>49853080</t>
        </is>
      </c>
      <c r="AW428" t="inlineStr">
        <is>
          <t>991004037549702656</t>
        </is>
      </c>
      <c r="AX428" t="inlineStr">
        <is>
          <t>991004037549702656</t>
        </is>
      </c>
      <c r="AY428" t="inlineStr">
        <is>
          <t>2272674690002656</t>
        </is>
      </c>
      <c r="AZ428" t="inlineStr">
        <is>
          <t>BOOK</t>
        </is>
      </c>
      <c r="BB428" t="inlineStr">
        <is>
          <t>9780142001363</t>
        </is>
      </c>
      <c r="BC428" t="inlineStr">
        <is>
          <t>32285004741939</t>
        </is>
      </c>
      <c r="BD428" t="inlineStr">
        <is>
          <t>893712076</t>
        </is>
      </c>
    </row>
    <row r="429">
      <c r="A429" t="inlineStr">
        <is>
          <t>No</t>
        </is>
      </c>
      <c r="B429" t="inlineStr">
        <is>
          <t>LB1048.5 .F47 2009</t>
        </is>
      </c>
      <c r="C429" t="inlineStr">
        <is>
          <t>0                      LB 1048500F  47          2009</t>
        </is>
      </c>
      <c r="D429" t="inlineStr">
        <is>
          <t>Building parent engagement in schools / Larry Ferlazzo &amp; Lorie Hammond.</t>
        </is>
      </c>
      <c r="F429" t="inlineStr">
        <is>
          <t>No</t>
        </is>
      </c>
      <c r="G429" t="inlineStr">
        <is>
          <t>1</t>
        </is>
      </c>
      <c r="H429" t="inlineStr">
        <is>
          <t>No</t>
        </is>
      </c>
      <c r="I429" t="inlineStr">
        <is>
          <t>No</t>
        </is>
      </c>
      <c r="J429" t="inlineStr">
        <is>
          <t>0</t>
        </is>
      </c>
      <c r="K429" t="inlineStr">
        <is>
          <t>Ferlazzo, Larry.</t>
        </is>
      </c>
      <c r="L429" t="inlineStr">
        <is>
          <t>Columbus, Ohio : Linworth Books/Libraries Unlimited, c2009.</t>
        </is>
      </c>
      <c r="M429" t="inlineStr">
        <is>
          <t>2009</t>
        </is>
      </c>
      <c r="O429" t="inlineStr">
        <is>
          <t>eng</t>
        </is>
      </c>
      <c r="P429" t="inlineStr">
        <is>
          <t>cau</t>
        </is>
      </c>
      <c r="R429" t="inlineStr">
        <is>
          <t xml:space="preserve">LB </t>
        </is>
      </c>
      <c r="S429" t="n">
        <v>2</v>
      </c>
      <c r="T429" t="n">
        <v>2</v>
      </c>
      <c r="U429" t="inlineStr">
        <is>
          <t>2010-07-16</t>
        </is>
      </c>
      <c r="V429" t="inlineStr">
        <is>
          <t>2010-07-16</t>
        </is>
      </c>
      <c r="W429" t="inlineStr">
        <is>
          <t>2010-04-21</t>
        </is>
      </c>
      <c r="X429" t="inlineStr">
        <is>
          <t>2010-04-21</t>
        </is>
      </c>
      <c r="Y429" t="n">
        <v>144</v>
      </c>
      <c r="Z429" t="n">
        <v>123</v>
      </c>
      <c r="AA429" t="n">
        <v>686</v>
      </c>
      <c r="AB429" t="n">
        <v>1</v>
      </c>
      <c r="AC429" t="n">
        <v>5</v>
      </c>
      <c r="AD429" t="n">
        <v>5</v>
      </c>
      <c r="AE429" t="n">
        <v>13</v>
      </c>
      <c r="AF429" t="n">
        <v>3</v>
      </c>
      <c r="AG429" t="n">
        <v>7</v>
      </c>
      <c r="AH429" t="n">
        <v>1</v>
      </c>
      <c r="AI429" t="n">
        <v>2</v>
      </c>
      <c r="AJ429" t="n">
        <v>4</v>
      </c>
      <c r="AK429" t="n">
        <v>6</v>
      </c>
      <c r="AL429" t="n">
        <v>0</v>
      </c>
      <c r="AM429" t="n">
        <v>3</v>
      </c>
      <c r="AN429" t="n">
        <v>0</v>
      </c>
      <c r="AO429" t="n">
        <v>0</v>
      </c>
      <c r="AP429" t="inlineStr">
        <is>
          <t>No</t>
        </is>
      </c>
      <c r="AQ429" t="inlineStr">
        <is>
          <t>Yes</t>
        </is>
      </c>
      <c r="AR429">
        <f>HYPERLINK("http://catalog.hathitrust.org/Record/009816215","HathiTrust Record")</f>
        <v/>
      </c>
      <c r="AS429">
        <f>HYPERLINK("https://creighton-primo.hosted.exlibrisgroup.com/primo-explore/search?tab=default_tab&amp;search_scope=EVERYTHING&amp;vid=01CRU&amp;lang=en_US&amp;offset=0&amp;query=any,contains,991005359339702656","Catalog Record")</f>
        <v/>
      </c>
      <c r="AT429">
        <f>HYPERLINK("http://www.worldcat.org/oclc/301947878","WorldCat Record")</f>
        <v/>
      </c>
      <c r="AU429" t="inlineStr">
        <is>
          <t>181559616:eng</t>
        </is>
      </c>
      <c r="AV429" t="inlineStr">
        <is>
          <t>301947878</t>
        </is>
      </c>
      <c r="AW429" t="inlineStr">
        <is>
          <t>991005359339702656</t>
        </is>
      </c>
      <c r="AX429" t="inlineStr">
        <is>
          <t>991005359339702656</t>
        </is>
      </c>
      <c r="AY429" t="inlineStr">
        <is>
          <t>2255706630002656</t>
        </is>
      </c>
      <c r="AZ429" t="inlineStr">
        <is>
          <t>BOOK</t>
        </is>
      </c>
      <c r="BB429" t="inlineStr">
        <is>
          <t>9781586833428</t>
        </is>
      </c>
      <c r="BC429" t="inlineStr">
        <is>
          <t>32285005566459</t>
        </is>
      </c>
      <c r="BD429" t="inlineStr">
        <is>
          <t>893707735</t>
        </is>
      </c>
    </row>
    <row r="430">
      <c r="A430" t="inlineStr">
        <is>
          <t>No</t>
        </is>
      </c>
      <c r="B430" t="inlineStr">
        <is>
          <t>LB1049 .M52</t>
        </is>
      </c>
      <c r="C430" t="inlineStr">
        <is>
          <t>0                      LB 1049000M  52</t>
        </is>
      </c>
      <c r="D430" t="inlineStr">
        <is>
          <t>How to take tests / [by] Jason Millman [and] Walter Pauk.</t>
        </is>
      </c>
      <c r="F430" t="inlineStr">
        <is>
          <t>No</t>
        </is>
      </c>
      <c r="G430" t="inlineStr">
        <is>
          <t>1</t>
        </is>
      </c>
      <c r="H430" t="inlineStr">
        <is>
          <t>No</t>
        </is>
      </c>
      <c r="I430" t="inlineStr">
        <is>
          <t>No</t>
        </is>
      </c>
      <c r="J430" t="inlineStr">
        <is>
          <t>0</t>
        </is>
      </c>
      <c r="K430" t="inlineStr">
        <is>
          <t>Millman, Jason.</t>
        </is>
      </c>
      <c r="L430" t="inlineStr">
        <is>
          <t>New York, McGraw-Hill [1969]</t>
        </is>
      </c>
      <c r="M430" t="inlineStr">
        <is>
          <t>1969</t>
        </is>
      </c>
      <c r="O430" t="inlineStr">
        <is>
          <t>eng</t>
        </is>
      </c>
      <c r="P430" t="inlineStr">
        <is>
          <t>nyu</t>
        </is>
      </c>
      <c r="R430" t="inlineStr">
        <is>
          <t xml:space="preserve">LB </t>
        </is>
      </c>
      <c r="S430" t="n">
        <v>1</v>
      </c>
      <c r="T430" t="n">
        <v>1</v>
      </c>
      <c r="U430" t="inlineStr">
        <is>
          <t>2005-09-02</t>
        </is>
      </c>
      <c r="V430" t="inlineStr">
        <is>
          <t>2005-09-02</t>
        </is>
      </c>
      <c r="W430" t="inlineStr">
        <is>
          <t>1992-10-23</t>
        </is>
      </c>
      <c r="X430" t="inlineStr">
        <is>
          <t>1992-10-23</t>
        </is>
      </c>
      <c r="Y430" t="n">
        <v>597</v>
      </c>
      <c r="Z430" t="n">
        <v>511</v>
      </c>
      <c r="AA430" t="n">
        <v>518</v>
      </c>
      <c r="AB430" t="n">
        <v>6</v>
      </c>
      <c r="AC430" t="n">
        <v>6</v>
      </c>
      <c r="AD430" t="n">
        <v>15</v>
      </c>
      <c r="AE430" t="n">
        <v>15</v>
      </c>
      <c r="AF430" t="n">
        <v>3</v>
      </c>
      <c r="AG430" t="n">
        <v>3</v>
      </c>
      <c r="AH430" t="n">
        <v>4</v>
      </c>
      <c r="AI430" t="n">
        <v>4</v>
      </c>
      <c r="AJ430" t="n">
        <v>7</v>
      </c>
      <c r="AK430" t="n">
        <v>7</v>
      </c>
      <c r="AL430" t="n">
        <v>5</v>
      </c>
      <c r="AM430" t="n">
        <v>5</v>
      </c>
      <c r="AN430" t="n">
        <v>0</v>
      </c>
      <c r="AO430" t="n">
        <v>0</v>
      </c>
      <c r="AP430" t="inlineStr">
        <is>
          <t>No</t>
        </is>
      </c>
      <c r="AQ430" t="inlineStr">
        <is>
          <t>Yes</t>
        </is>
      </c>
      <c r="AR430">
        <f>HYPERLINK("http://catalog.hathitrust.org/Record/001279909","HathiTrust Record")</f>
        <v/>
      </c>
      <c r="AS430">
        <f>HYPERLINK("https://creighton-primo.hosted.exlibrisgroup.com/primo-explore/search?tab=default_tab&amp;search_scope=EVERYTHING&amp;vid=01CRU&amp;lang=en_US&amp;offset=0&amp;query=any,contains,991000100549702656","Catalog Record")</f>
        <v/>
      </c>
      <c r="AT430">
        <f>HYPERLINK("http://www.worldcat.org/oclc/44438","WorldCat Record")</f>
        <v/>
      </c>
      <c r="AU430" t="inlineStr">
        <is>
          <t>406162:eng</t>
        </is>
      </c>
      <c r="AV430" t="inlineStr">
        <is>
          <t>44438</t>
        </is>
      </c>
      <c r="AW430" t="inlineStr">
        <is>
          <t>991000100549702656</t>
        </is>
      </c>
      <c r="AX430" t="inlineStr">
        <is>
          <t>991000100549702656</t>
        </is>
      </c>
      <c r="AY430" t="inlineStr">
        <is>
          <t>2260960690002656</t>
        </is>
      </c>
      <c r="AZ430" t="inlineStr">
        <is>
          <t>BOOK</t>
        </is>
      </c>
      <c r="BC430" t="inlineStr">
        <is>
          <t>32285001376861</t>
        </is>
      </c>
      <c r="BD430" t="inlineStr">
        <is>
          <t>893720577</t>
        </is>
      </c>
    </row>
    <row r="431">
      <c r="A431" t="inlineStr">
        <is>
          <t>No</t>
        </is>
      </c>
      <c r="B431" t="inlineStr">
        <is>
          <t>LB1049 .M68 1969</t>
        </is>
      </c>
      <c r="C431" t="inlineStr">
        <is>
          <t>0                      LB 1049000M  68          1969</t>
        </is>
      </c>
      <c r="D431" t="inlineStr">
        <is>
          <t>How to study / [by] Clifford T. Morgan [and] James Deese.</t>
        </is>
      </c>
      <c r="F431" t="inlineStr">
        <is>
          <t>No</t>
        </is>
      </c>
      <c r="G431" t="inlineStr">
        <is>
          <t>1</t>
        </is>
      </c>
      <c r="H431" t="inlineStr">
        <is>
          <t>No</t>
        </is>
      </c>
      <c r="I431" t="inlineStr">
        <is>
          <t>No</t>
        </is>
      </c>
      <c r="J431" t="inlineStr">
        <is>
          <t>0</t>
        </is>
      </c>
      <c r="K431" t="inlineStr">
        <is>
          <t>Morgan, Clifford T., 1915-1976.</t>
        </is>
      </c>
      <c r="L431" t="inlineStr">
        <is>
          <t>New York : McGraw-Hill, [1969]</t>
        </is>
      </c>
      <c r="M431" t="inlineStr">
        <is>
          <t>1969</t>
        </is>
      </c>
      <c r="N431" t="inlineStr">
        <is>
          <t>2d ed.</t>
        </is>
      </c>
      <c r="O431" t="inlineStr">
        <is>
          <t>eng</t>
        </is>
      </c>
      <c r="P431" t="inlineStr">
        <is>
          <t>nyu</t>
        </is>
      </c>
      <c r="R431" t="inlineStr">
        <is>
          <t xml:space="preserve">LB </t>
        </is>
      </c>
      <c r="S431" t="n">
        <v>8</v>
      </c>
      <c r="T431" t="n">
        <v>8</v>
      </c>
      <c r="U431" t="inlineStr">
        <is>
          <t>2005-10-25</t>
        </is>
      </c>
      <c r="V431" t="inlineStr">
        <is>
          <t>2005-10-25</t>
        </is>
      </c>
      <c r="W431" t="inlineStr">
        <is>
          <t>1994-06-22</t>
        </is>
      </c>
      <c r="X431" t="inlineStr">
        <is>
          <t>1994-06-22</t>
        </is>
      </c>
      <c r="Y431" t="n">
        <v>347</v>
      </c>
      <c r="Z431" t="n">
        <v>270</v>
      </c>
      <c r="AA431" t="n">
        <v>465</v>
      </c>
      <c r="AB431" t="n">
        <v>3</v>
      </c>
      <c r="AC431" t="n">
        <v>3</v>
      </c>
      <c r="AD431" t="n">
        <v>9</v>
      </c>
      <c r="AE431" t="n">
        <v>13</v>
      </c>
      <c r="AF431" t="n">
        <v>4</v>
      </c>
      <c r="AG431" t="n">
        <v>6</v>
      </c>
      <c r="AH431" t="n">
        <v>1</v>
      </c>
      <c r="AI431" t="n">
        <v>2</v>
      </c>
      <c r="AJ431" t="n">
        <v>5</v>
      </c>
      <c r="AK431" t="n">
        <v>8</v>
      </c>
      <c r="AL431" t="n">
        <v>2</v>
      </c>
      <c r="AM431" t="n">
        <v>2</v>
      </c>
      <c r="AN431" t="n">
        <v>0</v>
      </c>
      <c r="AO431" t="n">
        <v>0</v>
      </c>
      <c r="AP431" t="inlineStr">
        <is>
          <t>No</t>
        </is>
      </c>
      <c r="AQ431" t="inlineStr">
        <is>
          <t>Yes</t>
        </is>
      </c>
      <c r="AR431">
        <f>HYPERLINK("http://catalog.hathitrust.org/Record/009912030","HathiTrust Record")</f>
        <v/>
      </c>
      <c r="AS431">
        <f>HYPERLINK("https://creighton-primo.hosted.exlibrisgroup.com/primo-explore/search?tab=default_tab&amp;search_scope=EVERYTHING&amp;vid=01CRU&amp;lang=en_US&amp;offset=0&amp;query=any,contains,991000074599702656","Catalog Record")</f>
        <v/>
      </c>
      <c r="AT431">
        <f>HYPERLINK("http://www.worldcat.org/oclc/29500","WorldCat Record")</f>
        <v/>
      </c>
      <c r="AU431" t="inlineStr">
        <is>
          <t>4918979043:eng</t>
        </is>
      </c>
      <c r="AV431" t="inlineStr">
        <is>
          <t>29500</t>
        </is>
      </c>
      <c r="AW431" t="inlineStr">
        <is>
          <t>991000074599702656</t>
        </is>
      </c>
      <c r="AX431" t="inlineStr">
        <is>
          <t>991000074599702656</t>
        </is>
      </c>
      <c r="AY431" t="inlineStr">
        <is>
          <t>2266396100002656</t>
        </is>
      </c>
      <c r="AZ431" t="inlineStr">
        <is>
          <t>BOOK</t>
        </is>
      </c>
      <c r="BC431" t="inlineStr">
        <is>
          <t>32285001929461</t>
        </is>
      </c>
      <c r="BD431" t="inlineStr">
        <is>
          <t>893495881</t>
        </is>
      </c>
    </row>
    <row r="432">
      <c r="A432" t="inlineStr">
        <is>
          <t>No</t>
        </is>
      </c>
      <c r="B432" t="inlineStr">
        <is>
          <t>LB1049 .P4613 1969</t>
        </is>
      </c>
      <c r="C432" t="inlineStr">
        <is>
          <t>0                      LB 1049000P  4613        1969</t>
        </is>
      </c>
      <c r="D432" t="inlineStr">
        <is>
          <t>The art of learning. translated by Wacław Skibicki. English arranger: O.M. Blunn.</t>
        </is>
      </c>
      <c r="F432" t="inlineStr">
        <is>
          <t>No</t>
        </is>
      </c>
      <c r="G432" t="inlineStr">
        <is>
          <t>1</t>
        </is>
      </c>
      <c r="H432" t="inlineStr">
        <is>
          <t>No</t>
        </is>
      </c>
      <c r="I432" t="inlineStr">
        <is>
          <t>No</t>
        </is>
      </c>
      <c r="J432" t="inlineStr">
        <is>
          <t>0</t>
        </is>
      </c>
      <c r="K432" t="inlineStr">
        <is>
          <t>Pietrasiński, Zbigniew.</t>
        </is>
      </c>
      <c r="L432" t="inlineStr">
        <is>
          <t>Oxford, New York, Pergamon Press [1969]</t>
        </is>
      </c>
      <c r="M432" t="inlineStr">
        <is>
          <t>1969</t>
        </is>
      </c>
      <c r="N432" t="inlineStr">
        <is>
          <t>[1st English ed.]</t>
        </is>
      </c>
      <c r="O432" t="inlineStr">
        <is>
          <t>eng</t>
        </is>
      </c>
      <c r="P432" t="inlineStr">
        <is>
          <t>enk</t>
        </is>
      </c>
      <c r="R432" t="inlineStr">
        <is>
          <t xml:space="preserve">LB </t>
        </is>
      </c>
      <c r="S432" t="n">
        <v>2</v>
      </c>
      <c r="T432" t="n">
        <v>2</v>
      </c>
      <c r="U432" t="inlineStr">
        <is>
          <t>2005-09-08</t>
        </is>
      </c>
      <c r="V432" t="inlineStr">
        <is>
          <t>2005-09-08</t>
        </is>
      </c>
      <c r="W432" t="inlineStr">
        <is>
          <t>1997-05-02</t>
        </is>
      </c>
      <c r="X432" t="inlineStr">
        <is>
          <t>1997-05-02</t>
        </is>
      </c>
      <c r="Y432" t="n">
        <v>245</v>
      </c>
      <c r="Z432" t="n">
        <v>176</v>
      </c>
      <c r="AA432" t="n">
        <v>214</v>
      </c>
      <c r="AB432" t="n">
        <v>2</v>
      </c>
      <c r="AC432" t="n">
        <v>3</v>
      </c>
      <c r="AD432" t="n">
        <v>4</v>
      </c>
      <c r="AE432" t="n">
        <v>8</v>
      </c>
      <c r="AF432" t="n">
        <v>2</v>
      </c>
      <c r="AG432" t="n">
        <v>4</v>
      </c>
      <c r="AH432" t="n">
        <v>0</v>
      </c>
      <c r="AI432" t="n">
        <v>2</v>
      </c>
      <c r="AJ432" t="n">
        <v>2</v>
      </c>
      <c r="AK432" t="n">
        <v>2</v>
      </c>
      <c r="AL432" t="n">
        <v>1</v>
      </c>
      <c r="AM432" t="n">
        <v>2</v>
      </c>
      <c r="AN432" t="n">
        <v>0</v>
      </c>
      <c r="AO432" t="n">
        <v>0</v>
      </c>
      <c r="AP432" t="inlineStr">
        <is>
          <t>No</t>
        </is>
      </c>
      <c r="AQ432" t="inlineStr">
        <is>
          <t>Yes</t>
        </is>
      </c>
      <c r="AR432">
        <f>HYPERLINK("http://catalog.hathitrust.org/Record/009127544","HathiTrust Record")</f>
        <v/>
      </c>
      <c r="AS432">
        <f>HYPERLINK("https://creighton-primo.hosted.exlibrisgroup.com/primo-explore/search?tab=default_tab&amp;search_scope=EVERYTHING&amp;vid=01CRU&amp;lang=en_US&amp;offset=0&amp;query=any,contains,991000039339702656","Catalog Record")</f>
        <v/>
      </c>
      <c r="AT432">
        <f>HYPERLINK("http://www.worldcat.org/oclc/21457","WorldCat Record")</f>
        <v/>
      </c>
      <c r="AU432" t="inlineStr">
        <is>
          <t>1150907892:eng</t>
        </is>
      </c>
      <c r="AV432" t="inlineStr">
        <is>
          <t>21457</t>
        </is>
      </c>
      <c r="AW432" t="inlineStr">
        <is>
          <t>991000039339702656</t>
        </is>
      </c>
      <c r="AX432" t="inlineStr">
        <is>
          <t>991000039339702656</t>
        </is>
      </c>
      <c r="AY432" t="inlineStr">
        <is>
          <t>2261504050002656</t>
        </is>
      </c>
      <c r="AZ432" t="inlineStr">
        <is>
          <t>BOOK</t>
        </is>
      </c>
      <c r="BC432" t="inlineStr">
        <is>
          <t>32285002631967</t>
        </is>
      </c>
      <c r="BD432" t="inlineStr">
        <is>
          <t>893534018</t>
        </is>
      </c>
    </row>
    <row r="433">
      <c r="A433" t="inlineStr">
        <is>
          <t>No</t>
        </is>
      </c>
      <c r="B433" t="inlineStr">
        <is>
          <t>LB1049 .R34 1990</t>
        </is>
      </c>
      <c r="C433" t="inlineStr">
        <is>
          <t>0                      LB 1049000R  34          1990</t>
        </is>
      </c>
      <c r="D433" t="inlineStr">
        <is>
          <t>Study skills / by Mary Ann Rafoth, Leonard DeFabo.</t>
        </is>
      </c>
      <c r="F433" t="inlineStr">
        <is>
          <t>No</t>
        </is>
      </c>
      <c r="G433" t="inlineStr">
        <is>
          <t>1</t>
        </is>
      </c>
      <c r="H433" t="inlineStr">
        <is>
          <t>No</t>
        </is>
      </c>
      <c r="I433" t="inlineStr">
        <is>
          <t>No</t>
        </is>
      </c>
      <c r="J433" t="inlineStr">
        <is>
          <t>0</t>
        </is>
      </c>
      <c r="K433" t="inlineStr">
        <is>
          <t>Rafoth, Mary Ann.</t>
        </is>
      </c>
      <c r="L433" t="inlineStr">
        <is>
          <t>Washington, D.C. : NEA Professional Library, National Education Association, c1990.</t>
        </is>
      </c>
      <c r="M433" t="inlineStr">
        <is>
          <t>1990</t>
        </is>
      </c>
      <c r="O433" t="inlineStr">
        <is>
          <t>eng</t>
        </is>
      </c>
      <c r="P433" t="inlineStr">
        <is>
          <t>dcu</t>
        </is>
      </c>
      <c r="Q433" t="inlineStr">
        <is>
          <t>What research says to the teacher</t>
        </is>
      </c>
      <c r="R433" t="inlineStr">
        <is>
          <t xml:space="preserve">LB </t>
        </is>
      </c>
      <c r="S433" t="n">
        <v>2</v>
      </c>
      <c r="T433" t="n">
        <v>2</v>
      </c>
      <c r="U433" t="inlineStr">
        <is>
          <t>1993-04-14</t>
        </is>
      </c>
      <c r="V433" t="inlineStr">
        <is>
          <t>1993-04-14</t>
        </is>
      </c>
      <c r="W433" t="inlineStr">
        <is>
          <t>1990-08-13</t>
        </is>
      </c>
      <c r="X433" t="inlineStr">
        <is>
          <t>1990-08-13</t>
        </is>
      </c>
      <c r="Y433" t="n">
        <v>260</v>
      </c>
      <c r="Z433" t="n">
        <v>256</v>
      </c>
      <c r="AA433" t="n">
        <v>256</v>
      </c>
      <c r="AB433" t="n">
        <v>3</v>
      </c>
      <c r="AC433" t="n">
        <v>3</v>
      </c>
      <c r="AD433" t="n">
        <v>11</v>
      </c>
      <c r="AE433" t="n">
        <v>11</v>
      </c>
      <c r="AF433" t="n">
        <v>6</v>
      </c>
      <c r="AG433" t="n">
        <v>6</v>
      </c>
      <c r="AH433" t="n">
        <v>2</v>
      </c>
      <c r="AI433" t="n">
        <v>2</v>
      </c>
      <c r="AJ433" t="n">
        <v>5</v>
      </c>
      <c r="AK433" t="n">
        <v>5</v>
      </c>
      <c r="AL433" t="n">
        <v>2</v>
      </c>
      <c r="AM433" t="n">
        <v>2</v>
      </c>
      <c r="AN433" t="n">
        <v>0</v>
      </c>
      <c r="AO433" t="n">
        <v>0</v>
      </c>
      <c r="AP433" t="inlineStr">
        <is>
          <t>No</t>
        </is>
      </c>
      <c r="AQ433" t="inlineStr">
        <is>
          <t>No</t>
        </is>
      </c>
      <c r="AS433">
        <f>HYPERLINK("https://creighton-primo.hosted.exlibrisgroup.com/primo-explore/search?tab=default_tab&amp;search_scope=EVERYTHING&amp;vid=01CRU&amp;lang=en_US&amp;offset=0&amp;query=any,contains,991001695859702656","Catalog Record")</f>
        <v/>
      </c>
      <c r="AT433">
        <f>HYPERLINK("http://www.worldcat.org/oclc/21483459","WorldCat Record")</f>
        <v/>
      </c>
      <c r="AU433" t="inlineStr">
        <is>
          <t>1075804:eng</t>
        </is>
      </c>
      <c r="AV433" t="inlineStr">
        <is>
          <t>21483459</t>
        </is>
      </c>
      <c r="AW433" t="inlineStr">
        <is>
          <t>991001695859702656</t>
        </is>
      </c>
      <c r="AX433" t="inlineStr">
        <is>
          <t>991001695859702656</t>
        </is>
      </c>
      <c r="AY433" t="inlineStr">
        <is>
          <t>2261818260002656</t>
        </is>
      </c>
      <c r="AZ433" t="inlineStr">
        <is>
          <t>BOOK</t>
        </is>
      </c>
      <c r="BB433" t="inlineStr">
        <is>
          <t>9780810610880</t>
        </is>
      </c>
      <c r="BC433" t="inlineStr">
        <is>
          <t>32285000024066</t>
        </is>
      </c>
      <c r="BD433" t="inlineStr">
        <is>
          <t>893322162</t>
        </is>
      </c>
    </row>
    <row r="434">
      <c r="A434" t="inlineStr">
        <is>
          <t>No</t>
        </is>
      </c>
      <c r="B434" t="inlineStr">
        <is>
          <t>LB1049 .R35 1999</t>
        </is>
      </c>
      <c r="C434" t="inlineStr">
        <is>
          <t>0                      LB 1049000R  35          1999</t>
        </is>
      </c>
      <c r="D434" t="inlineStr">
        <is>
          <t>Inspiring independent learning : successful classroom strategies / Mary Ann Rafoth.</t>
        </is>
      </c>
      <c r="F434" t="inlineStr">
        <is>
          <t>No</t>
        </is>
      </c>
      <c r="G434" t="inlineStr">
        <is>
          <t>1</t>
        </is>
      </c>
      <c r="H434" t="inlineStr">
        <is>
          <t>No</t>
        </is>
      </c>
      <c r="I434" t="inlineStr">
        <is>
          <t>No</t>
        </is>
      </c>
      <c r="J434" t="inlineStr">
        <is>
          <t>0</t>
        </is>
      </c>
      <c r="K434" t="inlineStr">
        <is>
          <t>Rafoth, Mary Ann.</t>
        </is>
      </c>
      <c r="L434" t="inlineStr">
        <is>
          <t>Washington, DC : National Education Association of the United States, 1999.</t>
        </is>
      </c>
      <c r="M434" t="inlineStr">
        <is>
          <t>1999</t>
        </is>
      </c>
      <c r="O434" t="inlineStr">
        <is>
          <t>eng</t>
        </is>
      </c>
      <c r="P434" t="inlineStr">
        <is>
          <t>dcu</t>
        </is>
      </c>
      <c r="Q434" t="inlineStr">
        <is>
          <t>Inspired classroom series</t>
        </is>
      </c>
      <c r="R434" t="inlineStr">
        <is>
          <t xml:space="preserve">LB </t>
        </is>
      </c>
      <c r="S434" t="n">
        <v>2</v>
      </c>
      <c r="T434" t="n">
        <v>2</v>
      </c>
      <c r="U434" t="inlineStr">
        <is>
          <t>2003-03-19</t>
        </is>
      </c>
      <c r="V434" t="inlineStr">
        <is>
          <t>2003-03-19</t>
        </is>
      </c>
      <c r="W434" t="inlineStr">
        <is>
          <t>1999-08-10</t>
        </is>
      </c>
      <c r="X434" t="inlineStr">
        <is>
          <t>1999-08-10</t>
        </is>
      </c>
      <c r="Y434" t="n">
        <v>213</v>
      </c>
      <c r="Z434" t="n">
        <v>210</v>
      </c>
      <c r="AA434" t="n">
        <v>250</v>
      </c>
      <c r="AB434" t="n">
        <v>3</v>
      </c>
      <c r="AC434" t="n">
        <v>3</v>
      </c>
      <c r="AD434" t="n">
        <v>9</v>
      </c>
      <c r="AE434" t="n">
        <v>10</v>
      </c>
      <c r="AF434" t="n">
        <v>4</v>
      </c>
      <c r="AG434" t="n">
        <v>5</v>
      </c>
      <c r="AH434" t="n">
        <v>1</v>
      </c>
      <c r="AI434" t="n">
        <v>1</v>
      </c>
      <c r="AJ434" t="n">
        <v>4</v>
      </c>
      <c r="AK434" t="n">
        <v>5</v>
      </c>
      <c r="AL434" t="n">
        <v>2</v>
      </c>
      <c r="AM434" t="n">
        <v>2</v>
      </c>
      <c r="AN434" t="n">
        <v>0</v>
      </c>
      <c r="AO434" t="n">
        <v>0</v>
      </c>
      <c r="AP434" t="inlineStr">
        <is>
          <t>No</t>
        </is>
      </c>
      <c r="AQ434" t="inlineStr">
        <is>
          <t>No</t>
        </is>
      </c>
      <c r="AS434">
        <f>HYPERLINK("https://creighton-primo.hosted.exlibrisgroup.com/primo-explore/search?tab=default_tab&amp;search_scope=EVERYTHING&amp;vid=01CRU&amp;lang=en_US&amp;offset=0&amp;query=any,contains,991003021119702656","Catalog Record")</f>
        <v/>
      </c>
      <c r="AT434">
        <f>HYPERLINK("http://www.worldcat.org/oclc/41165296","WorldCat Record")</f>
        <v/>
      </c>
      <c r="AU434" t="inlineStr">
        <is>
          <t>451422165:eng</t>
        </is>
      </c>
      <c r="AV434" t="inlineStr">
        <is>
          <t>41165296</t>
        </is>
      </c>
      <c r="AW434" t="inlineStr">
        <is>
          <t>991003021119702656</t>
        </is>
      </c>
      <c r="AX434" t="inlineStr">
        <is>
          <t>991003021119702656</t>
        </is>
      </c>
      <c r="AY434" t="inlineStr">
        <is>
          <t>2258848450002656</t>
        </is>
      </c>
      <c r="AZ434" t="inlineStr">
        <is>
          <t>BOOK</t>
        </is>
      </c>
      <c r="BB434" t="inlineStr">
        <is>
          <t>9780810629547</t>
        </is>
      </c>
      <c r="BC434" t="inlineStr">
        <is>
          <t>32285003581294</t>
        </is>
      </c>
      <c r="BD434" t="inlineStr">
        <is>
          <t>893233735</t>
        </is>
      </c>
    </row>
    <row r="435">
      <c r="A435" t="inlineStr">
        <is>
          <t>No</t>
        </is>
      </c>
      <c r="B435" t="inlineStr">
        <is>
          <t>LB1049.95 .I57 1981</t>
        </is>
      </c>
      <c r="C435" t="inlineStr">
        <is>
          <t>0                      LB 1049950I  57          1981</t>
        </is>
      </c>
      <c r="D435" t="inlineStr">
        <is>
          <t>Motivating reluctant readers / Alfred J. Ciani, editor.</t>
        </is>
      </c>
      <c r="F435" t="inlineStr">
        <is>
          <t>No</t>
        </is>
      </c>
      <c r="G435" t="inlineStr">
        <is>
          <t>1</t>
        </is>
      </c>
      <c r="H435" t="inlineStr">
        <is>
          <t>No</t>
        </is>
      </c>
      <c r="I435" t="inlineStr">
        <is>
          <t>No</t>
        </is>
      </c>
      <c r="J435" t="inlineStr">
        <is>
          <t>0</t>
        </is>
      </c>
      <c r="K435" t="inlineStr">
        <is>
          <t>International Reading Association.</t>
        </is>
      </c>
      <c r="L435" t="inlineStr">
        <is>
          <t>Newark, Del. : International Reading Association, c1981.</t>
        </is>
      </c>
      <c r="M435" t="inlineStr">
        <is>
          <t>1981</t>
        </is>
      </c>
      <c r="O435" t="inlineStr">
        <is>
          <t>eng</t>
        </is>
      </c>
      <c r="P435" t="inlineStr">
        <is>
          <t>deu</t>
        </is>
      </c>
      <c r="R435" t="inlineStr">
        <is>
          <t xml:space="preserve">LB </t>
        </is>
      </c>
      <c r="S435" t="n">
        <v>1</v>
      </c>
      <c r="T435" t="n">
        <v>1</v>
      </c>
      <c r="U435" t="inlineStr">
        <is>
          <t>2006-10-03</t>
        </is>
      </c>
      <c r="V435" t="inlineStr">
        <is>
          <t>2006-10-03</t>
        </is>
      </c>
      <c r="W435" t="inlineStr">
        <is>
          <t>1992-10-23</t>
        </is>
      </c>
      <c r="X435" t="inlineStr">
        <is>
          <t>1992-10-23</t>
        </is>
      </c>
      <c r="Y435" t="n">
        <v>520</v>
      </c>
      <c r="Z435" t="n">
        <v>425</v>
      </c>
      <c r="AA435" t="n">
        <v>431</v>
      </c>
      <c r="AB435" t="n">
        <v>4</v>
      </c>
      <c r="AC435" t="n">
        <v>4</v>
      </c>
      <c r="AD435" t="n">
        <v>18</v>
      </c>
      <c r="AE435" t="n">
        <v>18</v>
      </c>
      <c r="AF435" t="n">
        <v>7</v>
      </c>
      <c r="AG435" t="n">
        <v>7</v>
      </c>
      <c r="AH435" t="n">
        <v>4</v>
      </c>
      <c r="AI435" t="n">
        <v>4</v>
      </c>
      <c r="AJ435" t="n">
        <v>9</v>
      </c>
      <c r="AK435" t="n">
        <v>9</v>
      </c>
      <c r="AL435" t="n">
        <v>2</v>
      </c>
      <c r="AM435" t="n">
        <v>2</v>
      </c>
      <c r="AN435" t="n">
        <v>0</v>
      </c>
      <c r="AO435" t="n">
        <v>0</v>
      </c>
      <c r="AP435" t="inlineStr">
        <is>
          <t>No</t>
        </is>
      </c>
      <c r="AQ435" t="inlineStr">
        <is>
          <t>Yes</t>
        </is>
      </c>
      <c r="AR435">
        <f>HYPERLINK("http://catalog.hathitrust.org/Record/000739255","HathiTrust Record")</f>
        <v/>
      </c>
      <c r="AS435">
        <f>HYPERLINK("https://creighton-primo.hosted.exlibrisgroup.com/primo-explore/search?tab=default_tab&amp;search_scope=EVERYTHING&amp;vid=01CRU&amp;lang=en_US&amp;offset=0&amp;query=any,contains,991005050589702656","Catalog Record")</f>
        <v/>
      </c>
      <c r="AT435">
        <f>HYPERLINK("http://www.worldcat.org/oclc/6864353","WorldCat Record")</f>
        <v/>
      </c>
      <c r="AU435" t="inlineStr">
        <is>
          <t>519350:eng</t>
        </is>
      </c>
      <c r="AV435" t="inlineStr">
        <is>
          <t>6864353</t>
        </is>
      </c>
      <c r="AW435" t="inlineStr">
        <is>
          <t>991005050589702656</t>
        </is>
      </c>
      <c r="AX435" t="inlineStr">
        <is>
          <t>991005050589702656</t>
        </is>
      </c>
      <c r="AY435" t="inlineStr">
        <is>
          <t>2269551810002656</t>
        </is>
      </c>
      <c r="AZ435" t="inlineStr">
        <is>
          <t>BOOK</t>
        </is>
      </c>
      <c r="BB435" t="inlineStr">
        <is>
          <t>9780872075306</t>
        </is>
      </c>
      <c r="BC435" t="inlineStr">
        <is>
          <t>32285001376903</t>
        </is>
      </c>
      <c r="BD435" t="inlineStr">
        <is>
          <t>893619366</t>
        </is>
      </c>
    </row>
    <row r="436">
      <c r="A436" t="inlineStr">
        <is>
          <t>No</t>
        </is>
      </c>
      <c r="B436" t="inlineStr">
        <is>
          <t>LB1050 .B47 1981</t>
        </is>
      </c>
      <c r="C436" t="inlineStr">
        <is>
          <t>0                      LB 1050000B  47          1981</t>
        </is>
      </c>
      <c r="D436" t="inlineStr">
        <is>
          <t>On learning to read : the child's fascination with meaning / Bruno Bettelheim &amp; Karen Zelan.</t>
        </is>
      </c>
      <c r="F436" t="inlineStr">
        <is>
          <t>No</t>
        </is>
      </c>
      <c r="G436" t="inlineStr">
        <is>
          <t>1</t>
        </is>
      </c>
      <c r="H436" t="inlineStr">
        <is>
          <t>No</t>
        </is>
      </c>
      <c r="I436" t="inlineStr">
        <is>
          <t>No</t>
        </is>
      </c>
      <c r="J436" t="inlineStr">
        <is>
          <t>0</t>
        </is>
      </c>
      <c r="K436" t="inlineStr">
        <is>
          <t>Bettelheim, Bruno.</t>
        </is>
      </c>
      <c r="L436" t="inlineStr">
        <is>
          <t>New York : Knopf, c1981, 1982.</t>
        </is>
      </c>
      <c r="M436" t="inlineStr">
        <is>
          <t>1982</t>
        </is>
      </c>
      <c r="N436" t="inlineStr">
        <is>
          <t>1st ed.</t>
        </is>
      </c>
      <c r="O436" t="inlineStr">
        <is>
          <t>eng</t>
        </is>
      </c>
      <c r="P436" t="inlineStr">
        <is>
          <t>nyu</t>
        </is>
      </c>
      <c r="R436" t="inlineStr">
        <is>
          <t xml:space="preserve">LB </t>
        </is>
      </c>
      <c r="S436" t="n">
        <v>1</v>
      </c>
      <c r="T436" t="n">
        <v>1</v>
      </c>
      <c r="U436" t="inlineStr">
        <is>
          <t>2006-10-03</t>
        </is>
      </c>
      <c r="V436" t="inlineStr">
        <is>
          <t>2006-10-03</t>
        </is>
      </c>
      <c r="W436" t="inlineStr">
        <is>
          <t>1992-10-23</t>
        </is>
      </c>
      <c r="X436" t="inlineStr">
        <is>
          <t>1992-10-23</t>
        </is>
      </c>
      <c r="Y436" t="n">
        <v>1557</v>
      </c>
      <c r="Z436" t="n">
        <v>1439</v>
      </c>
      <c r="AA436" t="n">
        <v>1572</v>
      </c>
      <c r="AB436" t="n">
        <v>10</v>
      </c>
      <c r="AC436" t="n">
        <v>12</v>
      </c>
      <c r="AD436" t="n">
        <v>38</v>
      </c>
      <c r="AE436" t="n">
        <v>46</v>
      </c>
      <c r="AF436" t="n">
        <v>15</v>
      </c>
      <c r="AG436" t="n">
        <v>20</v>
      </c>
      <c r="AH436" t="n">
        <v>9</v>
      </c>
      <c r="AI436" t="n">
        <v>10</v>
      </c>
      <c r="AJ436" t="n">
        <v>19</v>
      </c>
      <c r="AK436" t="n">
        <v>22</v>
      </c>
      <c r="AL436" t="n">
        <v>6</v>
      </c>
      <c r="AM436" t="n">
        <v>8</v>
      </c>
      <c r="AN436" t="n">
        <v>0</v>
      </c>
      <c r="AO436" t="n">
        <v>0</v>
      </c>
      <c r="AP436" t="inlineStr">
        <is>
          <t>No</t>
        </is>
      </c>
      <c r="AQ436" t="inlineStr">
        <is>
          <t>Yes</t>
        </is>
      </c>
      <c r="AR436">
        <f>HYPERLINK("http://catalog.hathitrust.org/Record/000221263","HathiTrust Record")</f>
        <v/>
      </c>
      <c r="AS436">
        <f>HYPERLINK("https://creighton-primo.hosted.exlibrisgroup.com/primo-explore/search?tab=default_tab&amp;search_scope=EVERYTHING&amp;vid=01CRU&amp;lang=en_US&amp;offset=0&amp;query=any,contains,991005144669702656","Catalog Record")</f>
        <v/>
      </c>
      <c r="AT436">
        <f>HYPERLINK("http://www.worldcat.org/oclc/7653465","WorldCat Record")</f>
        <v/>
      </c>
      <c r="AU436" t="inlineStr">
        <is>
          <t>463264:eng</t>
        </is>
      </c>
      <c r="AV436" t="inlineStr">
        <is>
          <t>7653465</t>
        </is>
      </c>
      <c r="AW436" t="inlineStr">
        <is>
          <t>991005144669702656</t>
        </is>
      </c>
      <c r="AX436" t="inlineStr">
        <is>
          <t>991005144669702656</t>
        </is>
      </c>
      <c r="AY436" t="inlineStr">
        <is>
          <t>2258635790002656</t>
        </is>
      </c>
      <c r="AZ436" t="inlineStr">
        <is>
          <t>BOOK</t>
        </is>
      </c>
      <c r="BB436" t="inlineStr">
        <is>
          <t>9780394515922</t>
        </is>
      </c>
      <c r="BC436" t="inlineStr">
        <is>
          <t>32285001376937</t>
        </is>
      </c>
      <c r="BD436" t="inlineStr">
        <is>
          <t>893338582</t>
        </is>
      </c>
    </row>
    <row r="437">
      <c r="A437" t="inlineStr">
        <is>
          <t>No</t>
        </is>
      </c>
      <c r="B437" t="inlineStr">
        <is>
          <t>LB1050 .C257</t>
        </is>
      </c>
      <c r="C437" t="inlineStr">
        <is>
          <t>0                      LB 1050000C  257</t>
        </is>
      </c>
      <c r="D437" t="inlineStr">
        <is>
          <t>Teaching reading : a handbook / Lawrence W. Carrillo.</t>
        </is>
      </c>
      <c r="F437" t="inlineStr">
        <is>
          <t>No</t>
        </is>
      </c>
      <c r="G437" t="inlineStr">
        <is>
          <t>1</t>
        </is>
      </c>
      <c r="H437" t="inlineStr">
        <is>
          <t>No</t>
        </is>
      </c>
      <c r="I437" t="inlineStr">
        <is>
          <t>No</t>
        </is>
      </c>
      <c r="J437" t="inlineStr">
        <is>
          <t>0</t>
        </is>
      </c>
      <c r="K437" t="inlineStr">
        <is>
          <t>Carrillo, Lawrence W., 1920-</t>
        </is>
      </c>
      <c r="L437" t="inlineStr">
        <is>
          <t>New York : St. Martin's Press, c1976.</t>
        </is>
      </c>
      <c r="M437" t="inlineStr">
        <is>
          <t>1976</t>
        </is>
      </c>
      <c r="O437" t="inlineStr">
        <is>
          <t>eng</t>
        </is>
      </c>
      <c r="P437" t="inlineStr">
        <is>
          <t>nyu</t>
        </is>
      </c>
      <c r="R437" t="inlineStr">
        <is>
          <t xml:space="preserve">LB </t>
        </is>
      </c>
      <c r="S437" t="n">
        <v>2</v>
      </c>
      <c r="T437" t="n">
        <v>2</v>
      </c>
      <c r="U437" t="inlineStr">
        <is>
          <t>2007-04-25</t>
        </is>
      </c>
      <c r="V437" t="inlineStr">
        <is>
          <t>2007-04-25</t>
        </is>
      </c>
      <c r="W437" t="inlineStr">
        <is>
          <t>1997-05-04</t>
        </is>
      </c>
      <c r="X437" t="inlineStr">
        <is>
          <t>1997-05-04</t>
        </is>
      </c>
      <c r="Y437" t="n">
        <v>341</v>
      </c>
      <c r="Z437" t="n">
        <v>307</v>
      </c>
      <c r="AA437" t="n">
        <v>308</v>
      </c>
      <c r="AB437" t="n">
        <v>4</v>
      </c>
      <c r="AC437" t="n">
        <v>4</v>
      </c>
      <c r="AD437" t="n">
        <v>10</v>
      </c>
      <c r="AE437" t="n">
        <v>10</v>
      </c>
      <c r="AF437" t="n">
        <v>2</v>
      </c>
      <c r="AG437" t="n">
        <v>2</v>
      </c>
      <c r="AH437" t="n">
        <v>1</v>
      </c>
      <c r="AI437" t="n">
        <v>1</v>
      </c>
      <c r="AJ437" t="n">
        <v>6</v>
      </c>
      <c r="AK437" t="n">
        <v>6</v>
      </c>
      <c r="AL437" t="n">
        <v>3</v>
      </c>
      <c r="AM437" t="n">
        <v>3</v>
      </c>
      <c r="AN437" t="n">
        <v>0</v>
      </c>
      <c r="AO437" t="n">
        <v>0</v>
      </c>
      <c r="AP437" t="inlineStr">
        <is>
          <t>No</t>
        </is>
      </c>
      <c r="AQ437" t="inlineStr">
        <is>
          <t>No</t>
        </is>
      </c>
      <c r="AS437">
        <f>HYPERLINK("https://creighton-primo.hosted.exlibrisgroup.com/primo-explore/search?tab=default_tab&amp;search_scope=EVERYTHING&amp;vid=01CRU&amp;lang=en_US&amp;offset=0&amp;query=any,contains,991004099929702656","Catalog Record")</f>
        <v/>
      </c>
      <c r="AT437">
        <f>HYPERLINK("http://www.worldcat.org/oclc/2371735","WorldCat Record")</f>
        <v/>
      </c>
      <c r="AU437" t="inlineStr">
        <is>
          <t>2222983703:eng</t>
        </is>
      </c>
      <c r="AV437" t="inlineStr">
        <is>
          <t>2371735</t>
        </is>
      </c>
      <c r="AW437" t="inlineStr">
        <is>
          <t>991004099929702656</t>
        </is>
      </c>
      <c r="AX437" t="inlineStr">
        <is>
          <t>991004099929702656</t>
        </is>
      </c>
      <c r="AY437" t="inlineStr">
        <is>
          <t>2254745320002656</t>
        </is>
      </c>
      <c r="AZ437" t="inlineStr">
        <is>
          <t>BOOK</t>
        </is>
      </c>
      <c r="BC437" t="inlineStr">
        <is>
          <t>32285002632015</t>
        </is>
      </c>
      <c r="BD437" t="inlineStr">
        <is>
          <t>893722264</t>
        </is>
      </c>
    </row>
    <row r="438">
      <c r="A438" t="inlineStr">
        <is>
          <t>No</t>
        </is>
      </c>
      <c r="B438" t="inlineStr">
        <is>
          <t>LB1050 .D84 1978</t>
        </is>
      </c>
      <c r="C438" t="inlineStr">
        <is>
          <t>0                      LB 1050000D  84          1978</t>
        </is>
      </c>
      <c r="D438" t="inlineStr">
        <is>
          <t>Teaching them to read / Dolores Durkin. --</t>
        </is>
      </c>
      <c r="F438" t="inlineStr">
        <is>
          <t>No</t>
        </is>
      </c>
      <c r="G438" t="inlineStr">
        <is>
          <t>1</t>
        </is>
      </c>
      <c r="H438" t="inlineStr">
        <is>
          <t>No</t>
        </is>
      </c>
      <c r="I438" t="inlineStr">
        <is>
          <t>No</t>
        </is>
      </c>
      <c r="J438" t="inlineStr">
        <is>
          <t>0</t>
        </is>
      </c>
      <c r="K438" t="inlineStr">
        <is>
          <t>Durkin, Dolores.</t>
        </is>
      </c>
      <c r="L438" t="inlineStr">
        <is>
          <t>Lewisburg, Pa. : Allyn and Bacon, [1978]</t>
        </is>
      </c>
      <c r="M438" t="inlineStr">
        <is>
          <t>1978</t>
        </is>
      </c>
      <c r="N438" t="inlineStr">
        <is>
          <t>3rd ed.</t>
        </is>
      </c>
      <c r="O438" t="inlineStr">
        <is>
          <t>eng</t>
        </is>
      </c>
      <c r="P438" t="inlineStr">
        <is>
          <t>pau</t>
        </is>
      </c>
      <c r="R438" t="inlineStr">
        <is>
          <t xml:space="preserve">LB </t>
        </is>
      </c>
      <c r="S438" t="n">
        <v>11</v>
      </c>
      <c r="T438" t="n">
        <v>11</v>
      </c>
      <c r="U438" t="inlineStr">
        <is>
          <t>2007-04-25</t>
        </is>
      </c>
      <c r="V438" t="inlineStr">
        <is>
          <t>2007-04-25</t>
        </is>
      </c>
      <c r="W438" t="inlineStr">
        <is>
          <t>1992-10-23</t>
        </is>
      </c>
      <c r="X438" t="inlineStr">
        <is>
          <t>1992-10-23</t>
        </is>
      </c>
      <c r="Y438" t="n">
        <v>281</v>
      </c>
      <c r="Z438" t="n">
        <v>230</v>
      </c>
      <c r="AA438" t="n">
        <v>739</v>
      </c>
      <c r="AB438" t="n">
        <v>3</v>
      </c>
      <c r="AC438" t="n">
        <v>8</v>
      </c>
      <c r="AD438" t="n">
        <v>11</v>
      </c>
      <c r="AE438" t="n">
        <v>33</v>
      </c>
      <c r="AF438" t="n">
        <v>3</v>
      </c>
      <c r="AG438" t="n">
        <v>15</v>
      </c>
      <c r="AH438" t="n">
        <v>2</v>
      </c>
      <c r="AI438" t="n">
        <v>6</v>
      </c>
      <c r="AJ438" t="n">
        <v>7</v>
      </c>
      <c r="AK438" t="n">
        <v>16</v>
      </c>
      <c r="AL438" t="n">
        <v>2</v>
      </c>
      <c r="AM438" t="n">
        <v>7</v>
      </c>
      <c r="AN438" t="n">
        <v>0</v>
      </c>
      <c r="AO438" t="n">
        <v>0</v>
      </c>
      <c r="AP438" t="inlineStr">
        <is>
          <t>No</t>
        </is>
      </c>
      <c r="AQ438" t="inlineStr">
        <is>
          <t>No</t>
        </is>
      </c>
      <c r="AS438">
        <f>HYPERLINK("https://creighton-primo.hosted.exlibrisgroup.com/primo-explore/search?tab=default_tab&amp;search_scope=EVERYTHING&amp;vid=01CRU&amp;lang=en_US&amp;offset=0&amp;query=any,contains,991004480329702656","Catalog Record")</f>
        <v/>
      </c>
      <c r="AT438">
        <f>HYPERLINK("http://www.worldcat.org/oclc/3627261","WorldCat Record")</f>
        <v/>
      </c>
      <c r="AU438" t="inlineStr">
        <is>
          <t>1232321:eng</t>
        </is>
      </c>
      <c r="AV438" t="inlineStr">
        <is>
          <t>3627261</t>
        </is>
      </c>
      <c r="AW438" t="inlineStr">
        <is>
          <t>991004480329702656</t>
        </is>
      </c>
      <c r="AX438" t="inlineStr">
        <is>
          <t>991004480329702656</t>
        </is>
      </c>
      <c r="AY438" t="inlineStr">
        <is>
          <t>2269317270002656</t>
        </is>
      </c>
      <c r="AZ438" t="inlineStr">
        <is>
          <t>BOOK</t>
        </is>
      </c>
      <c r="BB438" t="inlineStr">
        <is>
          <t>9780205060856</t>
        </is>
      </c>
      <c r="BC438" t="inlineStr">
        <is>
          <t>32285001377018</t>
        </is>
      </c>
      <c r="BD438" t="inlineStr">
        <is>
          <t>893442659</t>
        </is>
      </c>
    </row>
    <row r="439">
      <c r="A439" t="inlineStr">
        <is>
          <t>No</t>
        </is>
      </c>
      <c r="B439" t="inlineStr">
        <is>
          <t>LB1050 .F337 1979</t>
        </is>
      </c>
      <c r="C439" t="inlineStr">
        <is>
          <t>0                      LB 1050000F  337         1979</t>
        </is>
      </c>
      <c r="D439" t="inlineStr">
        <is>
          <t>Teaching a child to read / Roger Farr, Nancy Roser.</t>
        </is>
      </c>
      <c r="F439" t="inlineStr">
        <is>
          <t>No</t>
        </is>
      </c>
      <c r="G439" t="inlineStr">
        <is>
          <t>1</t>
        </is>
      </c>
      <c r="H439" t="inlineStr">
        <is>
          <t>No</t>
        </is>
      </c>
      <c r="I439" t="inlineStr">
        <is>
          <t>No</t>
        </is>
      </c>
      <c r="J439" t="inlineStr">
        <is>
          <t>0</t>
        </is>
      </c>
      <c r="K439" t="inlineStr">
        <is>
          <t>Farr, Roger C.</t>
        </is>
      </c>
      <c r="L439" t="inlineStr">
        <is>
          <t>New York : Harcourt Brace Jovanovich, c1979.</t>
        </is>
      </c>
      <c r="M439" t="inlineStr">
        <is>
          <t>1979</t>
        </is>
      </c>
      <c r="O439" t="inlineStr">
        <is>
          <t>eng</t>
        </is>
      </c>
      <c r="P439" t="inlineStr">
        <is>
          <t>nyu</t>
        </is>
      </c>
      <c r="R439" t="inlineStr">
        <is>
          <t xml:space="preserve">LB </t>
        </is>
      </c>
      <c r="S439" t="n">
        <v>6</v>
      </c>
      <c r="T439" t="n">
        <v>6</v>
      </c>
      <c r="U439" t="inlineStr">
        <is>
          <t>2007-04-25</t>
        </is>
      </c>
      <c r="V439" t="inlineStr">
        <is>
          <t>2007-04-25</t>
        </is>
      </c>
      <c r="W439" t="inlineStr">
        <is>
          <t>1990-03-01</t>
        </is>
      </c>
      <c r="X439" t="inlineStr">
        <is>
          <t>1990-03-01</t>
        </is>
      </c>
      <c r="Y439" t="n">
        <v>375</v>
      </c>
      <c r="Z439" t="n">
        <v>275</v>
      </c>
      <c r="AA439" t="n">
        <v>281</v>
      </c>
      <c r="AB439" t="n">
        <v>2</v>
      </c>
      <c r="AC439" t="n">
        <v>2</v>
      </c>
      <c r="AD439" t="n">
        <v>12</v>
      </c>
      <c r="AE439" t="n">
        <v>12</v>
      </c>
      <c r="AF439" t="n">
        <v>9</v>
      </c>
      <c r="AG439" t="n">
        <v>9</v>
      </c>
      <c r="AH439" t="n">
        <v>2</v>
      </c>
      <c r="AI439" t="n">
        <v>2</v>
      </c>
      <c r="AJ439" t="n">
        <v>6</v>
      </c>
      <c r="AK439" t="n">
        <v>6</v>
      </c>
      <c r="AL439" t="n">
        <v>1</v>
      </c>
      <c r="AM439" t="n">
        <v>1</v>
      </c>
      <c r="AN439" t="n">
        <v>0</v>
      </c>
      <c r="AO439" t="n">
        <v>0</v>
      </c>
      <c r="AP439" t="inlineStr">
        <is>
          <t>No</t>
        </is>
      </c>
      <c r="AQ439" t="inlineStr">
        <is>
          <t>Yes</t>
        </is>
      </c>
      <c r="AR439">
        <f>HYPERLINK("http://catalog.hathitrust.org/Record/008307307","HathiTrust Record")</f>
        <v/>
      </c>
      <c r="AS439">
        <f>HYPERLINK("https://creighton-primo.hosted.exlibrisgroup.com/primo-explore/search?tab=default_tab&amp;search_scope=EVERYTHING&amp;vid=01CRU&amp;lang=en_US&amp;offset=0&amp;query=any,contains,991004756509702656","Catalog Record")</f>
        <v/>
      </c>
      <c r="AT439">
        <f>HYPERLINK("http://www.worldcat.org/oclc/4969217","WorldCat Record")</f>
        <v/>
      </c>
      <c r="AU439" t="inlineStr">
        <is>
          <t>413911:eng</t>
        </is>
      </c>
      <c r="AV439" t="inlineStr">
        <is>
          <t>4969217</t>
        </is>
      </c>
      <c r="AW439" t="inlineStr">
        <is>
          <t>991004756509702656</t>
        </is>
      </c>
      <c r="AX439" t="inlineStr">
        <is>
          <t>991004756509702656</t>
        </is>
      </c>
      <c r="AY439" t="inlineStr">
        <is>
          <t>2256688080002656</t>
        </is>
      </c>
      <c r="AZ439" t="inlineStr">
        <is>
          <t>BOOK</t>
        </is>
      </c>
      <c r="BB439" t="inlineStr">
        <is>
          <t>9780155866508</t>
        </is>
      </c>
      <c r="BC439" t="inlineStr">
        <is>
          <t>32285000074756</t>
        </is>
      </c>
      <c r="BD439" t="inlineStr">
        <is>
          <t>893229788</t>
        </is>
      </c>
    </row>
    <row r="440">
      <c r="A440" t="inlineStr">
        <is>
          <t>No</t>
        </is>
      </c>
      <c r="B440" t="inlineStr">
        <is>
          <t>LB1050 .F69</t>
        </is>
      </c>
      <c r="C440" t="inlineStr">
        <is>
          <t>0                      LB 1050000F  69</t>
        </is>
      </c>
      <c r="D440" t="inlineStr">
        <is>
          <t>Teaching reading &amp; thinking skills / Myles I. Friedman, Michael D. Rowls.</t>
        </is>
      </c>
      <c r="F440" t="inlineStr">
        <is>
          <t>No</t>
        </is>
      </c>
      <c r="G440" t="inlineStr">
        <is>
          <t>1</t>
        </is>
      </c>
      <c r="H440" t="inlineStr">
        <is>
          <t>No</t>
        </is>
      </c>
      <c r="I440" t="inlineStr">
        <is>
          <t>No</t>
        </is>
      </c>
      <c r="J440" t="inlineStr">
        <is>
          <t>0</t>
        </is>
      </c>
      <c r="K440" t="inlineStr">
        <is>
          <t>Friedman, Myles I., 1924-</t>
        </is>
      </c>
      <c r="L440" t="inlineStr">
        <is>
          <t>New York : Longman, c1980.</t>
        </is>
      </c>
      <c r="M440" t="inlineStr">
        <is>
          <t>1980</t>
        </is>
      </c>
      <c r="O440" t="inlineStr">
        <is>
          <t>eng</t>
        </is>
      </c>
      <c r="P440" t="inlineStr">
        <is>
          <t>nyu</t>
        </is>
      </c>
      <c r="R440" t="inlineStr">
        <is>
          <t xml:space="preserve">LB </t>
        </is>
      </c>
      <c r="S440" t="n">
        <v>2</v>
      </c>
      <c r="T440" t="n">
        <v>2</v>
      </c>
      <c r="U440" t="inlineStr">
        <is>
          <t>1993-04-14</t>
        </is>
      </c>
      <c r="V440" t="inlineStr">
        <is>
          <t>1993-04-14</t>
        </is>
      </c>
      <c r="W440" t="inlineStr">
        <is>
          <t>1992-10-23</t>
        </is>
      </c>
      <c r="X440" t="inlineStr">
        <is>
          <t>1992-10-23</t>
        </is>
      </c>
      <c r="Y440" t="n">
        <v>350</v>
      </c>
      <c r="Z440" t="n">
        <v>265</v>
      </c>
      <c r="AA440" t="n">
        <v>274</v>
      </c>
      <c r="AB440" t="n">
        <v>2</v>
      </c>
      <c r="AC440" t="n">
        <v>2</v>
      </c>
      <c r="AD440" t="n">
        <v>11</v>
      </c>
      <c r="AE440" t="n">
        <v>11</v>
      </c>
      <c r="AF440" t="n">
        <v>5</v>
      </c>
      <c r="AG440" t="n">
        <v>5</v>
      </c>
      <c r="AH440" t="n">
        <v>1</v>
      </c>
      <c r="AI440" t="n">
        <v>1</v>
      </c>
      <c r="AJ440" t="n">
        <v>8</v>
      </c>
      <c r="AK440" t="n">
        <v>8</v>
      </c>
      <c r="AL440" t="n">
        <v>1</v>
      </c>
      <c r="AM440" t="n">
        <v>1</v>
      </c>
      <c r="AN440" t="n">
        <v>0</v>
      </c>
      <c r="AO440" t="n">
        <v>0</v>
      </c>
      <c r="AP440" t="inlineStr">
        <is>
          <t>No</t>
        </is>
      </c>
      <c r="AQ440" t="inlineStr">
        <is>
          <t>No</t>
        </is>
      </c>
      <c r="AS440">
        <f>HYPERLINK("https://creighton-primo.hosted.exlibrisgroup.com/primo-explore/search?tab=default_tab&amp;search_scope=EVERYTHING&amp;vid=01CRU&amp;lang=en_US&amp;offset=0&amp;query=any,contains,991004776419702656","Catalog Record")</f>
        <v/>
      </c>
      <c r="AT440">
        <f>HYPERLINK("http://www.worldcat.org/oclc/5101368","WorldCat Record")</f>
        <v/>
      </c>
      <c r="AU440" t="inlineStr">
        <is>
          <t>15263602:eng</t>
        </is>
      </c>
      <c r="AV440" t="inlineStr">
        <is>
          <t>5101368</t>
        </is>
      </c>
      <c r="AW440" t="inlineStr">
        <is>
          <t>991004776419702656</t>
        </is>
      </c>
      <c r="AX440" t="inlineStr">
        <is>
          <t>991004776419702656</t>
        </is>
      </c>
      <c r="AY440" t="inlineStr">
        <is>
          <t>2259265440002656</t>
        </is>
      </c>
      <c r="AZ440" t="inlineStr">
        <is>
          <t>BOOK</t>
        </is>
      </c>
      <c r="BB440" t="inlineStr">
        <is>
          <t>9780582290068</t>
        </is>
      </c>
      <c r="BC440" t="inlineStr">
        <is>
          <t>32285001377083</t>
        </is>
      </c>
      <c r="BD440" t="inlineStr">
        <is>
          <t>893526521</t>
        </is>
      </c>
    </row>
    <row r="441">
      <c r="A441" t="inlineStr">
        <is>
          <t>No</t>
        </is>
      </c>
      <c r="B441" t="inlineStr">
        <is>
          <t>LB1050 .H277 1985</t>
        </is>
      </c>
      <c r="C441" t="inlineStr">
        <is>
          <t>0                      LB 1050000H  277         1985</t>
        </is>
      </c>
      <c r="D441" t="inlineStr">
        <is>
          <t>Handbook for the volunteer tutor / Sidney J. Rauch, Joseph Sanacore, editors.</t>
        </is>
      </c>
      <c r="F441" t="inlineStr">
        <is>
          <t>No</t>
        </is>
      </c>
      <c r="G441" t="inlineStr">
        <is>
          <t>1</t>
        </is>
      </c>
      <c r="H441" t="inlineStr">
        <is>
          <t>No</t>
        </is>
      </c>
      <c r="I441" t="inlineStr">
        <is>
          <t>No</t>
        </is>
      </c>
      <c r="J441" t="inlineStr">
        <is>
          <t>0</t>
        </is>
      </c>
      <c r="L441" t="inlineStr">
        <is>
          <t>Newark, Del. : International Reading Association, c1985.</t>
        </is>
      </c>
      <c r="M441" t="inlineStr">
        <is>
          <t>1985</t>
        </is>
      </c>
      <c r="N441" t="inlineStr">
        <is>
          <t>2nd ed.</t>
        </is>
      </c>
      <c r="O441" t="inlineStr">
        <is>
          <t>eng</t>
        </is>
      </c>
      <c r="P441" t="inlineStr">
        <is>
          <t>deu</t>
        </is>
      </c>
      <c r="R441" t="inlineStr">
        <is>
          <t xml:space="preserve">LB </t>
        </is>
      </c>
      <c r="S441" t="n">
        <v>3</v>
      </c>
      <c r="T441" t="n">
        <v>3</v>
      </c>
      <c r="U441" t="inlineStr">
        <is>
          <t>2010-03-12</t>
        </is>
      </c>
      <c r="V441" t="inlineStr">
        <is>
          <t>2010-03-12</t>
        </is>
      </c>
      <c r="W441" t="inlineStr">
        <is>
          <t>1992-10-23</t>
        </is>
      </c>
      <c r="X441" t="inlineStr">
        <is>
          <t>1992-10-23</t>
        </is>
      </c>
      <c r="Y441" t="n">
        <v>413</v>
      </c>
      <c r="Z441" t="n">
        <v>356</v>
      </c>
      <c r="AA441" t="n">
        <v>496</v>
      </c>
      <c r="AB441" t="n">
        <v>3</v>
      </c>
      <c r="AC441" t="n">
        <v>5</v>
      </c>
      <c r="AD441" t="n">
        <v>14</v>
      </c>
      <c r="AE441" t="n">
        <v>18</v>
      </c>
      <c r="AF441" t="n">
        <v>8</v>
      </c>
      <c r="AG441" t="n">
        <v>8</v>
      </c>
      <c r="AH441" t="n">
        <v>3</v>
      </c>
      <c r="AI441" t="n">
        <v>4</v>
      </c>
      <c r="AJ441" t="n">
        <v>9</v>
      </c>
      <c r="AK441" t="n">
        <v>11</v>
      </c>
      <c r="AL441" t="n">
        <v>1</v>
      </c>
      <c r="AM441" t="n">
        <v>3</v>
      </c>
      <c r="AN441" t="n">
        <v>0</v>
      </c>
      <c r="AO441" t="n">
        <v>0</v>
      </c>
      <c r="AP441" t="inlineStr">
        <is>
          <t>No</t>
        </is>
      </c>
      <c r="AQ441" t="inlineStr">
        <is>
          <t>No</t>
        </is>
      </c>
      <c r="AS441">
        <f>HYPERLINK("https://creighton-primo.hosted.exlibrisgroup.com/primo-explore/search?tab=default_tab&amp;search_scope=EVERYTHING&amp;vid=01CRU&amp;lang=en_US&amp;offset=0&amp;query=any,contains,991000475769702656","Catalog Record")</f>
        <v/>
      </c>
      <c r="AT441">
        <f>HYPERLINK("http://www.worldcat.org/oclc/11029802","WorldCat Record")</f>
        <v/>
      </c>
      <c r="AU441" t="inlineStr">
        <is>
          <t>282528834:eng</t>
        </is>
      </c>
      <c r="AV441" t="inlineStr">
        <is>
          <t>11029802</t>
        </is>
      </c>
      <c r="AW441" t="inlineStr">
        <is>
          <t>991000475769702656</t>
        </is>
      </c>
      <c r="AX441" t="inlineStr">
        <is>
          <t>991000475769702656</t>
        </is>
      </c>
      <c r="AY441" t="inlineStr">
        <is>
          <t>2266400760002656</t>
        </is>
      </c>
      <c r="AZ441" t="inlineStr">
        <is>
          <t>BOOK</t>
        </is>
      </c>
      <c r="BB441" t="inlineStr">
        <is>
          <t>9780872079090</t>
        </is>
      </c>
      <c r="BC441" t="inlineStr">
        <is>
          <t>32285001377125</t>
        </is>
      </c>
      <c r="BD441" t="inlineStr">
        <is>
          <t>893314960</t>
        </is>
      </c>
    </row>
    <row r="442">
      <c r="A442" t="inlineStr">
        <is>
          <t>No</t>
        </is>
      </c>
      <c r="B442" t="inlineStr">
        <is>
          <t>LB1050 .H278 1984</t>
        </is>
      </c>
      <c r="C442" t="inlineStr">
        <is>
          <t>0                      LB 1050000H  278         1984</t>
        </is>
      </c>
      <c r="D442" t="inlineStr">
        <is>
          <t>Handbook of reading research / editor, P. David Pearson [and] section editors, Rebecca Barr, Michael L. Kamil, Peter Mosenthal.</t>
        </is>
      </c>
      <c r="F442" t="inlineStr">
        <is>
          <t>No</t>
        </is>
      </c>
      <c r="G442" t="inlineStr">
        <is>
          <t>1</t>
        </is>
      </c>
      <c r="H442" t="inlineStr">
        <is>
          <t>No</t>
        </is>
      </c>
      <c r="I442" t="inlineStr">
        <is>
          <t>No</t>
        </is>
      </c>
      <c r="J442" t="inlineStr">
        <is>
          <t>0</t>
        </is>
      </c>
      <c r="L442" t="inlineStr">
        <is>
          <t>New York : Longman, c1984.</t>
        </is>
      </c>
      <c r="M442" t="inlineStr">
        <is>
          <t>1984</t>
        </is>
      </c>
      <c r="O442" t="inlineStr">
        <is>
          <t>eng</t>
        </is>
      </c>
      <c r="P442" t="inlineStr">
        <is>
          <t>nyu</t>
        </is>
      </c>
      <c r="R442" t="inlineStr">
        <is>
          <t xml:space="preserve">LB </t>
        </is>
      </c>
      <c r="S442" t="n">
        <v>7</v>
      </c>
      <c r="T442" t="n">
        <v>7</v>
      </c>
      <c r="U442" t="inlineStr">
        <is>
          <t>2002-12-10</t>
        </is>
      </c>
      <c r="V442" t="inlineStr">
        <is>
          <t>2002-12-10</t>
        </is>
      </c>
      <c r="W442" t="inlineStr">
        <is>
          <t>1992-04-28</t>
        </is>
      </c>
      <c r="X442" t="inlineStr">
        <is>
          <t>1992-04-28</t>
        </is>
      </c>
      <c r="Y442" t="n">
        <v>969</v>
      </c>
      <c r="Z442" t="n">
        <v>844</v>
      </c>
      <c r="AA442" t="n">
        <v>926</v>
      </c>
      <c r="AB442" t="n">
        <v>9</v>
      </c>
      <c r="AC442" t="n">
        <v>9</v>
      </c>
      <c r="AD442" t="n">
        <v>45</v>
      </c>
      <c r="AE442" t="n">
        <v>45</v>
      </c>
      <c r="AF442" t="n">
        <v>22</v>
      </c>
      <c r="AG442" t="n">
        <v>22</v>
      </c>
      <c r="AH442" t="n">
        <v>7</v>
      </c>
      <c r="AI442" t="n">
        <v>7</v>
      </c>
      <c r="AJ442" t="n">
        <v>19</v>
      </c>
      <c r="AK442" t="n">
        <v>19</v>
      </c>
      <c r="AL442" t="n">
        <v>7</v>
      </c>
      <c r="AM442" t="n">
        <v>7</v>
      </c>
      <c r="AN442" t="n">
        <v>0</v>
      </c>
      <c r="AO442" t="n">
        <v>0</v>
      </c>
      <c r="AP442" t="inlineStr">
        <is>
          <t>No</t>
        </is>
      </c>
      <c r="AQ442" t="inlineStr">
        <is>
          <t>Yes</t>
        </is>
      </c>
      <c r="AR442">
        <f>HYPERLINK("http://catalog.hathitrust.org/Record/000782463","HathiTrust Record")</f>
        <v/>
      </c>
      <c r="AS442">
        <f>HYPERLINK("https://creighton-primo.hosted.exlibrisgroup.com/primo-explore/search?tab=default_tab&amp;search_scope=EVERYTHING&amp;vid=01CRU&amp;lang=en_US&amp;offset=0&amp;query=any,contains,991000349069702656","Catalog Record")</f>
        <v/>
      </c>
      <c r="AT442">
        <f>HYPERLINK("http://www.worldcat.org/oclc/10300105","WorldCat Record")</f>
        <v/>
      </c>
      <c r="AU442" t="inlineStr">
        <is>
          <t>1079139825:eng</t>
        </is>
      </c>
      <c r="AV442" t="inlineStr">
        <is>
          <t>10300105</t>
        </is>
      </c>
      <c r="AW442" t="inlineStr">
        <is>
          <t>991000349069702656</t>
        </is>
      </c>
      <c r="AX442" t="inlineStr">
        <is>
          <t>991000349069702656</t>
        </is>
      </c>
      <c r="AY442" t="inlineStr">
        <is>
          <t>2271448230002656</t>
        </is>
      </c>
      <c r="AZ442" t="inlineStr">
        <is>
          <t>BOOK</t>
        </is>
      </c>
      <c r="BB442" t="inlineStr">
        <is>
          <t>9780582281196</t>
        </is>
      </c>
      <c r="BC442" t="inlineStr">
        <is>
          <t>32285001102309</t>
        </is>
      </c>
      <c r="BD442" t="inlineStr">
        <is>
          <t>893339476</t>
        </is>
      </c>
    </row>
    <row r="443">
      <c r="A443" t="inlineStr">
        <is>
          <t>No</t>
        </is>
      </c>
      <c r="B443" t="inlineStr">
        <is>
          <t>LB1050 .H34 1986</t>
        </is>
      </c>
      <c r="C443" t="inlineStr">
        <is>
          <t>0                      LB 1050000H  34          1986</t>
        </is>
      </c>
      <c r="D443" t="inlineStr">
        <is>
          <t>Reading instruction : diagnostic teaching in the classroom / Larry A. Harris, Carl B. Smith.</t>
        </is>
      </c>
      <c r="F443" t="inlineStr">
        <is>
          <t>No</t>
        </is>
      </c>
      <c r="G443" t="inlineStr">
        <is>
          <t>1</t>
        </is>
      </c>
      <c r="H443" t="inlineStr">
        <is>
          <t>No</t>
        </is>
      </c>
      <c r="I443" t="inlineStr">
        <is>
          <t>No</t>
        </is>
      </c>
      <c r="J443" t="inlineStr">
        <is>
          <t>0</t>
        </is>
      </c>
      <c r="K443" t="inlineStr">
        <is>
          <t>Harris, Larry Allen, 1940-</t>
        </is>
      </c>
      <c r="L443" t="inlineStr">
        <is>
          <t>New York : Macmillan ; London : Collier Macmillan, c1986.</t>
        </is>
      </c>
      <c r="M443" t="inlineStr">
        <is>
          <t>1986</t>
        </is>
      </c>
      <c r="N443" t="inlineStr">
        <is>
          <t>4th ed.</t>
        </is>
      </c>
      <c r="O443" t="inlineStr">
        <is>
          <t>eng</t>
        </is>
      </c>
      <c r="P443" t="inlineStr">
        <is>
          <t>nyu</t>
        </is>
      </c>
      <c r="R443" t="inlineStr">
        <is>
          <t xml:space="preserve">LB </t>
        </is>
      </c>
      <c r="S443" t="n">
        <v>8</v>
      </c>
      <c r="T443" t="n">
        <v>8</v>
      </c>
      <c r="U443" t="inlineStr">
        <is>
          <t>1997-03-16</t>
        </is>
      </c>
      <c r="V443" t="inlineStr">
        <is>
          <t>1997-03-16</t>
        </is>
      </c>
      <c r="W443" t="inlineStr">
        <is>
          <t>1995-10-30</t>
        </is>
      </c>
      <c r="X443" t="inlineStr">
        <is>
          <t>1995-10-30</t>
        </is>
      </c>
      <c r="Y443" t="n">
        <v>223</v>
      </c>
      <c r="Z443" t="n">
        <v>189</v>
      </c>
      <c r="AA443" t="n">
        <v>457</v>
      </c>
      <c r="AB443" t="n">
        <v>2</v>
      </c>
      <c r="AC443" t="n">
        <v>5</v>
      </c>
      <c r="AD443" t="n">
        <v>9</v>
      </c>
      <c r="AE443" t="n">
        <v>23</v>
      </c>
      <c r="AF443" t="n">
        <v>6</v>
      </c>
      <c r="AG443" t="n">
        <v>10</v>
      </c>
      <c r="AH443" t="n">
        <v>1</v>
      </c>
      <c r="AI443" t="n">
        <v>4</v>
      </c>
      <c r="AJ443" t="n">
        <v>4</v>
      </c>
      <c r="AK443" t="n">
        <v>11</v>
      </c>
      <c r="AL443" t="n">
        <v>1</v>
      </c>
      <c r="AM443" t="n">
        <v>4</v>
      </c>
      <c r="AN443" t="n">
        <v>0</v>
      </c>
      <c r="AO443" t="n">
        <v>0</v>
      </c>
      <c r="AP443" t="inlineStr">
        <is>
          <t>No</t>
        </is>
      </c>
      <c r="AQ443" t="inlineStr">
        <is>
          <t>No</t>
        </is>
      </c>
      <c r="AS443">
        <f>HYPERLINK("https://creighton-primo.hosted.exlibrisgroup.com/primo-explore/search?tab=default_tab&amp;search_scope=EVERYTHING&amp;vid=01CRU&amp;lang=en_US&amp;offset=0&amp;query=any,contains,991000613279702656","Catalog Record")</f>
        <v/>
      </c>
      <c r="AT443">
        <f>HYPERLINK("http://www.worldcat.org/oclc/11917725","WorldCat Record")</f>
        <v/>
      </c>
      <c r="AU443" t="inlineStr">
        <is>
          <t>2497792:eng</t>
        </is>
      </c>
      <c r="AV443" t="inlineStr">
        <is>
          <t>11917725</t>
        </is>
      </c>
      <c r="AW443" t="inlineStr">
        <is>
          <t>991000613279702656</t>
        </is>
      </c>
      <c r="AX443" t="inlineStr">
        <is>
          <t>991000613279702656</t>
        </is>
      </c>
      <c r="AY443" t="inlineStr">
        <is>
          <t>2267545400002656</t>
        </is>
      </c>
      <c r="AZ443" t="inlineStr">
        <is>
          <t>BOOK</t>
        </is>
      </c>
      <c r="BB443" t="inlineStr">
        <is>
          <t>9780023505805</t>
        </is>
      </c>
      <c r="BC443" t="inlineStr">
        <is>
          <t>32285002069168</t>
        </is>
      </c>
      <c r="BD443" t="inlineStr">
        <is>
          <t>893589600</t>
        </is>
      </c>
    </row>
    <row r="444">
      <c r="A444" t="inlineStr">
        <is>
          <t>No</t>
        </is>
      </c>
      <c r="B444" t="inlineStr">
        <is>
          <t>LB1050 .I89 1986</t>
        </is>
      </c>
      <c r="C444" t="inlineStr">
        <is>
          <t>0                      LB 1050000I  89          1986</t>
        </is>
      </c>
      <c r="D444" t="inlineStr">
        <is>
          <t>How we learn to read / Seymour W. Itzkoff.</t>
        </is>
      </c>
      <c r="F444" t="inlineStr">
        <is>
          <t>No</t>
        </is>
      </c>
      <c r="G444" t="inlineStr">
        <is>
          <t>1</t>
        </is>
      </c>
      <c r="H444" t="inlineStr">
        <is>
          <t>No</t>
        </is>
      </c>
      <c r="I444" t="inlineStr">
        <is>
          <t>No</t>
        </is>
      </c>
      <c r="J444" t="inlineStr">
        <is>
          <t>0</t>
        </is>
      </c>
      <c r="K444" t="inlineStr">
        <is>
          <t>Itzkoff, Seymour W.</t>
        </is>
      </c>
      <c r="L444" t="inlineStr">
        <is>
          <t>Ashfield, Mass. : Paideia, c1986.</t>
        </is>
      </c>
      <c r="M444" t="inlineStr">
        <is>
          <t>1986</t>
        </is>
      </c>
      <c r="O444" t="inlineStr">
        <is>
          <t>eng</t>
        </is>
      </c>
      <c r="P444" t="inlineStr">
        <is>
          <t>mau</t>
        </is>
      </c>
      <c r="R444" t="inlineStr">
        <is>
          <t xml:space="preserve">LB </t>
        </is>
      </c>
      <c r="S444" t="n">
        <v>12</v>
      </c>
      <c r="T444" t="n">
        <v>12</v>
      </c>
      <c r="U444" t="inlineStr">
        <is>
          <t>1997-01-16</t>
        </is>
      </c>
      <c r="V444" t="inlineStr">
        <is>
          <t>1997-01-16</t>
        </is>
      </c>
      <c r="W444" t="inlineStr">
        <is>
          <t>1992-10-27</t>
        </is>
      </c>
      <c r="X444" t="inlineStr">
        <is>
          <t>1992-10-27</t>
        </is>
      </c>
      <c r="Y444" t="n">
        <v>744</v>
      </c>
      <c r="Z444" t="n">
        <v>694</v>
      </c>
      <c r="AA444" t="n">
        <v>699</v>
      </c>
      <c r="AB444" t="n">
        <v>10</v>
      </c>
      <c r="AC444" t="n">
        <v>10</v>
      </c>
      <c r="AD444" t="n">
        <v>29</v>
      </c>
      <c r="AE444" t="n">
        <v>29</v>
      </c>
      <c r="AF444" t="n">
        <v>10</v>
      </c>
      <c r="AG444" t="n">
        <v>10</v>
      </c>
      <c r="AH444" t="n">
        <v>4</v>
      </c>
      <c r="AI444" t="n">
        <v>4</v>
      </c>
      <c r="AJ444" t="n">
        <v>13</v>
      </c>
      <c r="AK444" t="n">
        <v>13</v>
      </c>
      <c r="AL444" t="n">
        <v>8</v>
      </c>
      <c r="AM444" t="n">
        <v>8</v>
      </c>
      <c r="AN444" t="n">
        <v>0</v>
      </c>
      <c r="AO444" t="n">
        <v>0</v>
      </c>
      <c r="AP444" t="inlineStr">
        <is>
          <t>No</t>
        </is>
      </c>
      <c r="AQ444" t="inlineStr">
        <is>
          <t>Yes</t>
        </is>
      </c>
      <c r="AR444">
        <f>HYPERLINK("http://catalog.hathitrust.org/Record/000479571","HathiTrust Record")</f>
        <v/>
      </c>
      <c r="AS444">
        <f>HYPERLINK("https://creighton-primo.hosted.exlibrisgroup.com/primo-explore/search?tab=default_tab&amp;search_scope=EVERYTHING&amp;vid=01CRU&amp;lang=en_US&amp;offset=0&amp;query=any,contains,991000769919702656","Catalog Record")</f>
        <v/>
      </c>
      <c r="AT444">
        <f>HYPERLINK("http://www.worldcat.org/oclc/13010303","WorldCat Record")</f>
        <v/>
      </c>
      <c r="AU444" t="inlineStr">
        <is>
          <t>5486938:eng</t>
        </is>
      </c>
      <c r="AV444" t="inlineStr">
        <is>
          <t>13010303</t>
        </is>
      </c>
      <c r="AW444" t="inlineStr">
        <is>
          <t>991000769919702656</t>
        </is>
      </c>
      <c r="AX444" t="inlineStr">
        <is>
          <t>991000769919702656</t>
        </is>
      </c>
      <c r="AY444" t="inlineStr">
        <is>
          <t>2261067900002656</t>
        </is>
      </c>
      <c r="AZ444" t="inlineStr">
        <is>
          <t>BOOK</t>
        </is>
      </c>
      <c r="BB444" t="inlineStr">
        <is>
          <t>9780913993057</t>
        </is>
      </c>
      <c r="BC444" t="inlineStr">
        <is>
          <t>32285001378099</t>
        </is>
      </c>
      <c r="BD444" t="inlineStr">
        <is>
          <t>893708709</t>
        </is>
      </c>
    </row>
    <row r="445">
      <c r="A445" t="inlineStr">
        <is>
          <t>No</t>
        </is>
      </c>
      <c r="B445" t="inlineStr">
        <is>
          <t>LB1050 .K6 1998</t>
        </is>
      </c>
      <c r="C445" t="inlineStr">
        <is>
          <t>0                      LB 1050000K  6           1998</t>
        </is>
      </c>
      <c r="D445" t="inlineStr">
        <is>
          <t>Reading, how to / Herbert Kohl ; [editor, Susannah Sheffer].</t>
        </is>
      </c>
      <c r="F445" t="inlineStr">
        <is>
          <t>No</t>
        </is>
      </c>
      <c r="G445" t="inlineStr">
        <is>
          <t>1</t>
        </is>
      </c>
      <c r="H445" t="inlineStr">
        <is>
          <t>No</t>
        </is>
      </c>
      <c r="I445" t="inlineStr">
        <is>
          <t>No</t>
        </is>
      </c>
      <c r="J445" t="inlineStr">
        <is>
          <t>0</t>
        </is>
      </c>
      <c r="K445" t="inlineStr">
        <is>
          <t>Kohl, Herbert R.</t>
        </is>
      </c>
      <c r="L445" t="inlineStr">
        <is>
          <t>Portsmouth, NH : Boynton/Cook Publishers, Heinemann, c1998.</t>
        </is>
      </c>
      <c r="M445" t="inlineStr">
        <is>
          <t>1998</t>
        </is>
      </c>
      <c r="O445" t="inlineStr">
        <is>
          <t>eng</t>
        </is>
      </c>
      <c r="P445" t="inlineStr">
        <is>
          <t>nhu</t>
        </is>
      </c>
      <c r="Q445" t="inlineStr">
        <is>
          <t>Innovators in education</t>
        </is>
      </c>
      <c r="R445" t="inlineStr">
        <is>
          <t xml:space="preserve">LB </t>
        </is>
      </c>
      <c r="S445" t="n">
        <v>1</v>
      </c>
      <c r="T445" t="n">
        <v>1</v>
      </c>
      <c r="U445" t="inlineStr">
        <is>
          <t>2009-04-23</t>
        </is>
      </c>
      <c r="V445" t="inlineStr">
        <is>
          <t>2009-04-23</t>
        </is>
      </c>
      <c r="W445" t="inlineStr">
        <is>
          <t>2009-04-23</t>
        </is>
      </c>
      <c r="X445" t="inlineStr">
        <is>
          <t>2009-04-23</t>
        </is>
      </c>
      <c r="Y445" t="n">
        <v>58</v>
      </c>
      <c r="Z445" t="n">
        <v>56</v>
      </c>
      <c r="AA445" t="n">
        <v>885</v>
      </c>
      <c r="AB445" t="n">
        <v>1</v>
      </c>
      <c r="AC445" t="n">
        <v>7</v>
      </c>
      <c r="AD445" t="n">
        <v>2</v>
      </c>
      <c r="AE445" t="n">
        <v>26</v>
      </c>
      <c r="AF445" t="n">
        <v>0</v>
      </c>
      <c r="AG445" t="n">
        <v>10</v>
      </c>
      <c r="AH445" t="n">
        <v>1</v>
      </c>
      <c r="AI445" t="n">
        <v>5</v>
      </c>
      <c r="AJ445" t="n">
        <v>2</v>
      </c>
      <c r="AK445" t="n">
        <v>14</v>
      </c>
      <c r="AL445" t="n">
        <v>0</v>
      </c>
      <c r="AM445" t="n">
        <v>3</v>
      </c>
      <c r="AN445" t="n">
        <v>0</v>
      </c>
      <c r="AO445" t="n">
        <v>0</v>
      </c>
      <c r="AP445" t="inlineStr">
        <is>
          <t>No</t>
        </is>
      </c>
      <c r="AQ445" t="inlineStr">
        <is>
          <t>No</t>
        </is>
      </c>
      <c r="AS445">
        <f>HYPERLINK("https://creighton-primo.hosted.exlibrisgroup.com/primo-explore/search?tab=default_tab&amp;search_scope=EVERYTHING&amp;vid=01CRU&amp;lang=en_US&amp;offset=0&amp;query=any,contains,991005312769702656","Catalog Record")</f>
        <v/>
      </c>
      <c r="AT445">
        <f>HYPERLINK("http://www.worldcat.org/oclc/39868419","WorldCat Record")</f>
        <v/>
      </c>
      <c r="AU445" t="inlineStr">
        <is>
          <t>1757670:eng</t>
        </is>
      </c>
      <c r="AV445" t="inlineStr">
        <is>
          <t>39868419</t>
        </is>
      </c>
      <c r="AW445" t="inlineStr">
        <is>
          <t>991005312769702656</t>
        </is>
      </c>
      <c r="AX445" t="inlineStr">
        <is>
          <t>991005312769702656</t>
        </is>
      </c>
      <c r="AY445" t="inlineStr">
        <is>
          <t>2257955420002656</t>
        </is>
      </c>
      <c r="AZ445" t="inlineStr">
        <is>
          <t>BOOK</t>
        </is>
      </c>
      <c r="BB445" t="inlineStr">
        <is>
          <t>9780867094336</t>
        </is>
      </c>
      <c r="BC445" t="inlineStr">
        <is>
          <t>32285005518153</t>
        </is>
      </c>
      <c r="BD445" t="inlineStr">
        <is>
          <t>893890015</t>
        </is>
      </c>
    </row>
    <row r="446">
      <c r="A446" t="inlineStr">
        <is>
          <t>No</t>
        </is>
      </c>
      <c r="B446" t="inlineStr">
        <is>
          <t>LB1050 .M314 1997</t>
        </is>
      </c>
      <c r="C446" t="inlineStr">
        <is>
          <t>0                      LB 1050000M  314         1997</t>
        </is>
      </c>
      <c r="D446" t="inlineStr">
        <is>
          <t>Why our children can't read : and what we can do about it : a scientific revolution in reading / Diane McGuinness.</t>
        </is>
      </c>
      <c r="F446" t="inlineStr">
        <is>
          <t>No</t>
        </is>
      </c>
      <c r="G446" t="inlineStr">
        <is>
          <t>1</t>
        </is>
      </c>
      <c r="H446" t="inlineStr">
        <is>
          <t>No</t>
        </is>
      </c>
      <c r="I446" t="inlineStr">
        <is>
          <t>No</t>
        </is>
      </c>
      <c r="J446" t="inlineStr">
        <is>
          <t>0</t>
        </is>
      </c>
      <c r="K446" t="inlineStr">
        <is>
          <t>McGuinness, Diane.</t>
        </is>
      </c>
      <c r="L446" t="inlineStr">
        <is>
          <t>New York : Free Press, c1997.</t>
        </is>
      </c>
      <c r="M446" t="inlineStr">
        <is>
          <t>1997</t>
        </is>
      </c>
      <c r="O446" t="inlineStr">
        <is>
          <t>eng</t>
        </is>
      </c>
      <c r="P446" t="inlineStr">
        <is>
          <t>nyu</t>
        </is>
      </c>
      <c r="R446" t="inlineStr">
        <is>
          <t xml:space="preserve">LB </t>
        </is>
      </c>
      <c r="S446" t="n">
        <v>4</v>
      </c>
      <c r="T446" t="n">
        <v>4</v>
      </c>
      <c r="U446" t="inlineStr">
        <is>
          <t>1999-07-13</t>
        </is>
      </c>
      <c r="V446" t="inlineStr">
        <is>
          <t>1999-07-13</t>
        </is>
      </c>
      <c r="W446" t="inlineStr">
        <is>
          <t>1997-11-05</t>
        </is>
      </c>
      <c r="X446" t="inlineStr">
        <is>
          <t>1997-11-05</t>
        </is>
      </c>
      <c r="Y446" t="n">
        <v>776</v>
      </c>
      <c r="Z446" t="n">
        <v>718</v>
      </c>
      <c r="AA446" t="n">
        <v>803</v>
      </c>
      <c r="AB446" t="n">
        <v>7</v>
      </c>
      <c r="AC446" t="n">
        <v>8</v>
      </c>
      <c r="AD446" t="n">
        <v>19</v>
      </c>
      <c r="AE446" t="n">
        <v>21</v>
      </c>
      <c r="AF446" t="n">
        <v>7</v>
      </c>
      <c r="AG446" t="n">
        <v>8</v>
      </c>
      <c r="AH446" t="n">
        <v>4</v>
      </c>
      <c r="AI446" t="n">
        <v>4</v>
      </c>
      <c r="AJ446" t="n">
        <v>8</v>
      </c>
      <c r="AK446" t="n">
        <v>8</v>
      </c>
      <c r="AL446" t="n">
        <v>3</v>
      </c>
      <c r="AM446" t="n">
        <v>4</v>
      </c>
      <c r="AN446" t="n">
        <v>0</v>
      </c>
      <c r="AO446" t="n">
        <v>0</v>
      </c>
      <c r="AP446" t="inlineStr">
        <is>
          <t>No</t>
        </is>
      </c>
      <c r="AQ446" t="inlineStr">
        <is>
          <t>No</t>
        </is>
      </c>
      <c r="AS446">
        <f>HYPERLINK("https://creighton-primo.hosted.exlibrisgroup.com/primo-explore/search?tab=default_tab&amp;search_scope=EVERYTHING&amp;vid=01CRU&amp;lang=en_US&amp;offset=0&amp;query=any,contains,991002756299702656","Catalog Record")</f>
        <v/>
      </c>
      <c r="AT446">
        <f>HYPERLINK("http://www.worldcat.org/oclc/36158768","WorldCat Record")</f>
        <v/>
      </c>
      <c r="AU446" t="inlineStr">
        <is>
          <t>26592616:eng</t>
        </is>
      </c>
      <c r="AV446" t="inlineStr">
        <is>
          <t>36158768</t>
        </is>
      </c>
      <c r="AW446" t="inlineStr">
        <is>
          <t>991002756299702656</t>
        </is>
      </c>
      <c r="AX446" t="inlineStr">
        <is>
          <t>991002756299702656</t>
        </is>
      </c>
      <c r="AY446" t="inlineStr">
        <is>
          <t>2256484130002656</t>
        </is>
      </c>
      <c r="AZ446" t="inlineStr">
        <is>
          <t>BOOK</t>
        </is>
      </c>
      <c r="BB446" t="inlineStr">
        <is>
          <t>9780684831619</t>
        </is>
      </c>
      <c r="BC446" t="inlineStr">
        <is>
          <t>32285003276127</t>
        </is>
      </c>
      <c r="BD446" t="inlineStr">
        <is>
          <t>893873942</t>
        </is>
      </c>
    </row>
    <row r="447">
      <c r="A447" t="inlineStr">
        <is>
          <t>No</t>
        </is>
      </c>
      <c r="B447" t="inlineStr">
        <is>
          <t>LB1050 .M358 1986</t>
        </is>
      </c>
      <c r="C447" t="inlineStr">
        <is>
          <t>0                      LB 1050000M  358         1986</t>
        </is>
      </c>
      <c r="D447" t="inlineStr">
        <is>
          <t>Reading as communication : an interactive approach / Frank B. May.</t>
        </is>
      </c>
      <c r="F447" t="inlineStr">
        <is>
          <t>No</t>
        </is>
      </c>
      <c r="G447" t="inlineStr">
        <is>
          <t>1</t>
        </is>
      </c>
      <c r="H447" t="inlineStr">
        <is>
          <t>No</t>
        </is>
      </c>
      <c r="I447" t="inlineStr">
        <is>
          <t>No</t>
        </is>
      </c>
      <c r="J447" t="inlineStr">
        <is>
          <t>0</t>
        </is>
      </c>
      <c r="K447" t="inlineStr">
        <is>
          <t>May, Frank B.</t>
        </is>
      </c>
      <c r="L447" t="inlineStr">
        <is>
          <t>Columbus : Merrill Pub. Co., c1986.</t>
        </is>
      </c>
      <c r="M447" t="inlineStr">
        <is>
          <t>1986</t>
        </is>
      </c>
      <c r="N447" t="inlineStr">
        <is>
          <t>2nd ed.</t>
        </is>
      </c>
      <c r="O447" t="inlineStr">
        <is>
          <t>eng</t>
        </is>
      </c>
      <c r="P447" t="inlineStr">
        <is>
          <t>ohu</t>
        </is>
      </c>
      <c r="R447" t="inlineStr">
        <is>
          <t xml:space="preserve">LB </t>
        </is>
      </c>
      <c r="S447" t="n">
        <v>5</v>
      </c>
      <c r="T447" t="n">
        <v>5</v>
      </c>
      <c r="U447" t="inlineStr">
        <is>
          <t>1996-10-15</t>
        </is>
      </c>
      <c r="V447" t="inlineStr">
        <is>
          <t>1996-10-15</t>
        </is>
      </c>
      <c r="W447" t="inlineStr">
        <is>
          <t>1992-10-27</t>
        </is>
      </c>
      <c r="X447" t="inlineStr">
        <is>
          <t>1992-10-27</t>
        </is>
      </c>
      <c r="Y447" t="n">
        <v>168</v>
      </c>
      <c r="Z447" t="n">
        <v>140</v>
      </c>
      <c r="AA447" t="n">
        <v>273</v>
      </c>
      <c r="AB447" t="n">
        <v>1</v>
      </c>
      <c r="AC447" t="n">
        <v>1</v>
      </c>
      <c r="AD447" t="n">
        <v>6</v>
      </c>
      <c r="AE447" t="n">
        <v>7</v>
      </c>
      <c r="AF447" t="n">
        <v>3</v>
      </c>
      <c r="AG447" t="n">
        <v>4</v>
      </c>
      <c r="AH447" t="n">
        <v>2</v>
      </c>
      <c r="AI447" t="n">
        <v>2</v>
      </c>
      <c r="AJ447" t="n">
        <v>3</v>
      </c>
      <c r="AK447" t="n">
        <v>3</v>
      </c>
      <c r="AL447" t="n">
        <v>0</v>
      </c>
      <c r="AM447" t="n">
        <v>0</v>
      </c>
      <c r="AN447" t="n">
        <v>0</v>
      </c>
      <c r="AO447" t="n">
        <v>0</v>
      </c>
      <c r="AP447" t="inlineStr">
        <is>
          <t>No</t>
        </is>
      </c>
      <c r="AQ447" t="inlineStr">
        <is>
          <t>Yes</t>
        </is>
      </c>
      <c r="AR447">
        <f>HYPERLINK("http://catalog.hathitrust.org/Record/000820056","HathiTrust Record")</f>
        <v/>
      </c>
      <c r="AS447">
        <f>HYPERLINK("https://creighton-primo.hosted.exlibrisgroup.com/primo-explore/search?tab=default_tab&amp;search_scope=EVERYTHING&amp;vid=01CRU&amp;lang=en_US&amp;offset=0&amp;query=any,contains,991000814669702656","Catalog Record")</f>
        <v/>
      </c>
      <c r="AT447">
        <f>HYPERLINK("http://www.worldcat.org/oclc/13338040","WorldCat Record")</f>
        <v/>
      </c>
      <c r="AU447" t="inlineStr">
        <is>
          <t>2287728967:eng</t>
        </is>
      </c>
      <c r="AV447" t="inlineStr">
        <is>
          <t>13338040</t>
        </is>
      </c>
      <c r="AW447" t="inlineStr">
        <is>
          <t>991000814669702656</t>
        </is>
      </c>
      <c r="AX447" t="inlineStr">
        <is>
          <t>991000814669702656</t>
        </is>
      </c>
      <c r="AY447" t="inlineStr">
        <is>
          <t>2260128170002656</t>
        </is>
      </c>
      <c r="AZ447" t="inlineStr">
        <is>
          <t>BOOK</t>
        </is>
      </c>
      <c r="BB447" t="inlineStr">
        <is>
          <t>9780675204057</t>
        </is>
      </c>
      <c r="BC447" t="inlineStr">
        <is>
          <t>32285001378180</t>
        </is>
      </c>
      <c r="BD447" t="inlineStr">
        <is>
          <t>893249698</t>
        </is>
      </c>
    </row>
    <row r="448">
      <c r="A448" t="inlineStr">
        <is>
          <t>No</t>
        </is>
      </c>
      <c r="B448" t="inlineStr">
        <is>
          <t>LB1050 .M475 2007</t>
        </is>
      </c>
      <c r="C448" t="inlineStr">
        <is>
          <t>0                      LB 1050000M  475         2007</t>
        </is>
      </c>
      <c r="D448" t="inlineStr">
        <is>
          <t>Reading and teaching / Richard J. Meyer, Maryann Manning.</t>
        </is>
      </c>
      <c r="F448" t="inlineStr">
        <is>
          <t>No</t>
        </is>
      </c>
      <c r="G448" t="inlineStr">
        <is>
          <t>1</t>
        </is>
      </c>
      <c r="H448" t="inlineStr">
        <is>
          <t>No</t>
        </is>
      </c>
      <c r="I448" t="inlineStr">
        <is>
          <t>No</t>
        </is>
      </c>
      <c r="J448" t="inlineStr">
        <is>
          <t>0</t>
        </is>
      </c>
      <c r="K448" t="inlineStr">
        <is>
          <t>Meyer, Richard J., 1949-</t>
        </is>
      </c>
      <c r="L448" t="inlineStr">
        <is>
          <t>Mahwah, N.J. : Lawrence Erlbaum Associates, 2007.</t>
        </is>
      </c>
      <c r="M448" t="inlineStr">
        <is>
          <t>2007</t>
        </is>
      </c>
      <c r="O448" t="inlineStr">
        <is>
          <t>eng</t>
        </is>
      </c>
      <c r="P448" t="inlineStr">
        <is>
          <t>nju</t>
        </is>
      </c>
      <c r="Q448" t="inlineStr">
        <is>
          <t>Reflective teaching and the social conditions of schooling</t>
        </is>
      </c>
      <c r="R448" t="inlineStr">
        <is>
          <t xml:space="preserve">LB </t>
        </is>
      </c>
      <c r="S448" t="n">
        <v>2</v>
      </c>
      <c r="T448" t="n">
        <v>2</v>
      </c>
      <c r="U448" t="inlineStr">
        <is>
          <t>2008-09-10</t>
        </is>
      </c>
      <c r="V448" t="inlineStr">
        <is>
          <t>2008-09-10</t>
        </is>
      </c>
      <c r="W448" t="inlineStr">
        <is>
          <t>2008-09-10</t>
        </is>
      </c>
      <c r="X448" t="inlineStr">
        <is>
          <t>2008-09-10</t>
        </is>
      </c>
      <c r="Y448" t="n">
        <v>216</v>
      </c>
      <c r="Z448" t="n">
        <v>177</v>
      </c>
      <c r="AA448" t="n">
        <v>194</v>
      </c>
      <c r="AB448" t="n">
        <v>3</v>
      </c>
      <c r="AC448" t="n">
        <v>3</v>
      </c>
      <c r="AD448" t="n">
        <v>10</v>
      </c>
      <c r="AE448" t="n">
        <v>10</v>
      </c>
      <c r="AF448" t="n">
        <v>3</v>
      </c>
      <c r="AG448" t="n">
        <v>3</v>
      </c>
      <c r="AH448" t="n">
        <v>1</v>
      </c>
      <c r="AI448" t="n">
        <v>1</v>
      </c>
      <c r="AJ448" t="n">
        <v>7</v>
      </c>
      <c r="AK448" t="n">
        <v>7</v>
      </c>
      <c r="AL448" t="n">
        <v>2</v>
      </c>
      <c r="AM448" t="n">
        <v>2</v>
      </c>
      <c r="AN448" t="n">
        <v>0</v>
      </c>
      <c r="AO448" t="n">
        <v>0</v>
      </c>
      <c r="AP448" t="inlineStr">
        <is>
          <t>No</t>
        </is>
      </c>
      <c r="AQ448" t="inlineStr">
        <is>
          <t>Yes</t>
        </is>
      </c>
      <c r="AR448">
        <f>HYPERLINK("http://catalog.hathitrust.org/Record/005540727","HathiTrust Record")</f>
        <v/>
      </c>
      <c r="AS448">
        <f>HYPERLINK("https://creighton-primo.hosted.exlibrisgroup.com/primo-explore/search?tab=default_tab&amp;search_scope=EVERYTHING&amp;vid=01CRU&amp;lang=en_US&amp;offset=0&amp;query=any,contains,991005262109702656","Catalog Record")</f>
        <v/>
      </c>
      <c r="AT448">
        <f>HYPERLINK("http://www.worldcat.org/oclc/76897635","WorldCat Record")</f>
        <v/>
      </c>
      <c r="AU448" t="inlineStr">
        <is>
          <t>62654220:eng</t>
        </is>
      </c>
      <c r="AV448" t="inlineStr">
        <is>
          <t>76897635</t>
        </is>
      </c>
      <c r="AW448" t="inlineStr">
        <is>
          <t>991005262109702656</t>
        </is>
      </c>
      <c r="AX448" t="inlineStr">
        <is>
          <t>991005262109702656</t>
        </is>
      </c>
      <c r="AY448" t="inlineStr">
        <is>
          <t>2255851280002656</t>
        </is>
      </c>
      <c r="AZ448" t="inlineStr">
        <is>
          <t>BOOK</t>
        </is>
      </c>
      <c r="BB448" t="inlineStr">
        <is>
          <t>9780805854299</t>
        </is>
      </c>
      <c r="BC448" t="inlineStr">
        <is>
          <t>32285005457626</t>
        </is>
      </c>
      <c r="BD448" t="inlineStr">
        <is>
          <t>893527193</t>
        </is>
      </c>
    </row>
    <row r="449">
      <c r="A449" t="inlineStr">
        <is>
          <t>No</t>
        </is>
      </c>
      <c r="B449" t="inlineStr">
        <is>
          <t>LB1050 .R58 1986</t>
        </is>
      </c>
      <c r="C449" t="inlineStr">
        <is>
          <t>0                      LB 1050000R  58          1986</t>
        </is>
      </c>
      <c r="D449" t="inlineStr">
        <is>
          <t>Roles in literacy learning : a new perspective / edited by Duane R. Tovey, James E. Kerber.</t>
        </is>
      </c>
      <c r="F449" t="inlineStr">
        <is>
          <t>No</t>
        </is>
      </c>
      <c r="G449" t="inlineStr">
        <is>
          <t>1</t>
        </is>
      </c>
      <c r="H449" t="inlineStr">
        <is>
          <t>No</t>
        </is>
      </c>
      <c r="I449" t="inlineStr">
        <is>
          <t>No</t>
        </is>
      </c>
      <c r="J449" t="inlineStr">
        <is>
          <t>0</t>
        </is>
      </c>
      <c r="L449" t="inlineStr">
        <is>
          <t>Newark, DE : International Reading Association, c1986.</t>
        </is>
      </c>
      <c r="M449" t="inlineStr">
        <is>
          <t>1986</t>
        </is>
      </c>
      <c r="O449" t="inlineStr">
        <is>
          <t>eng</t>
        </is>
      </c>
      <c r="P449" t="inlineStr">
        <is>
          <t>deu</t>
        </is>
      </c>
      <c r="R449" t="inlineStr">
        <is>
          <t xml:space="preserve">LB </t>
        </is>
      </c>
      <c r="S449" t="n">
        <v>6</v>
      </c>
      <c r="T449" t="n">
        <v>6</v>
      </c>
      <c r="U449" t="inlineStr">
        <is>
          <t>2000-09-09</t>
        </is>
      </c>
      <c r="V449" t="inlineStr">
        <is>
          <t>2000-09-09</t>
        </is>
      </c>
      <c r="W449" t="inlineStr">
        <is>
          <t>1992-10-27</t>
        </is>
      </c>
      <c r="X449" t="inlineStr">
        <is>
          <t>1992-10-27</t>
        </is>
      </c>
      <c r="Y449" t="n">
        <v>452</v>
      </c>
      <c r="Z449" t="n">
        <v>377</v>
      </c>
      <c r="AA449" t="n">
        <v>386</v>
      </c>
      <c r="AB449" t="n">
        <v>5</v>
      </c>
      <c r="AC449" t="n">
        <v>5</v>
      </c>
      <c r="AD449" t="n">
        <v>18</v>
      </c>
      <c r="AE449" t="n">
        <v>19</v>
      </c>
      <c r="AF449" t="n">
        <v>9</v>
      </c>
      <c r="AG449" t="n">
        <v>10</v>
      </c>
      <c r="AH449" t="n">
        <v>6</v>
      </c>
      <c r="AI449" t="n">
        <v>6</v>
      </c>
      <c r="AJ449" t="n">
        <v>7</v>
      </c>
      <c r="AK449" t="n">
        <v>8</v>
      </c>
      <c r="AL449" t="n">
        <v>3</v>
      </c>
      <c r="AM449" t="n">
        <v>3</v>
      </c>
      <c r="AN449" t="n">
        <v>0</v>
      </c>
      <c r="AO449" t="n">
        <v>0</v>
      </c>
      <c r="AP449" t="inlineStr">
        <is>
          <t>No</t>
        </is>
      </c>
      <c r="AQ449" t="inlineStr">
        <is>
          <t>Yes</t>
        </is>
      </c>
      <c r="AR449">
        <f>HYPERLINK("http://catalog.hathitrust.org/Record/000665850","HathiTrust Record")</f>
        <v/>
      </c>
      <c r="AS449">
        <f>HYPERLINK("https://creighton-primo.hosted.exlibrisgroup.com/primo-explore/search?tab=default_tab&amp;search_scope=EVERYTHING&amp;vid=01CRU&amp;lang=en_US&amp;offset=0&amp;query=any,contains,991000673819702656","Catalog Record")</f>
        <v/>
      </c>
      <c r="AT449">
        <f>HYPERLINK("http://www.worldcat.org/oclc/12342467","WorldCat Record")</f>
        <v/>
      </c>
      <c r="AU449" t="inlineStr">
        <is>
          <t>894467116:eng</t>
        </is>
      </c>
      <c r="AV449" t="inlineStr">
        <is>
          <t>12342467</t>
        </is>
      </c>
      <c r="AW449" t="inlineStr">
        <is>
          <t>991000673819702656</t>
        </is>
      </c>
      <c r="AX449" t="inlineStr">
        <is>
          <t>991000673819702656</t>
        </is>
      </c>
      <c r="AY449" t="inlineStr">
        <is>
          <t>2268445030002656</t>
        </is>
      </c>
      <c r="AZ449" t="inlineStr">
        <is>
          <t>BOOK</t>
        </is>
      </c>
      <c r="BB449" t="inlineStr">
        <is>
          <t>9780872079625</t>
        </is>
      </c>
      <c r="BC449" t="inlineStr">
        <is>
          <t>32285001378321</t>
        </is>
      </c>
      <c r="BD449" t="inlineStr">
        <is>
          <t>893595772</t>
        </is>
      </c>
    </row>
    <row r="450">
      <c r="A450" t="inlineStr">
        <is>
          <t>No</t>
        </is>
      </c>
      <c r="B450" t="inlineStr">
        <is>
          <t>LB1050 .R64 1982</t>
        </is>
      </c>
      <c r="C450" t="inlineStr">
        <is>
          <t>0                      LB 1050000R  64          1982</t>
        </is>
      </c>
      <c r="D450" t="inlineStr">
        <is>
          <t>Teaching the pleasures of reading / Elizabeth H. Rowell, Thomas B. Goodkind ; illustrations by Beverly Armstrong.</t>
        </is>
      </c>
      <c r="F450" t="inlineStr">
        <is>
          <t>No</t>
        </is>
      </c>
      <c r="G450" t="inlineStr">
        <is>
          <t>1</t>
        </is>
      </c>
      <c r="H450" t="inlineStr">
        <is>
          <t>No</t>
        </is>
      </c>
      <c r="I450" t="inlineStr">
        <is>
          <t>No</t>
        </is>
      </c>
      <c r="J450" t="inlineStr">
        <is>
          <t>0</t>
        </is>
      </c>
      <c r="K450" t="inlineStr">
        <is>
          <t>Rowell, Elizabeth H.</t>
        </is>
      </c>
      <c r="L450" t="inlineStr">
        <is>
          <t>Englewood Cliffs, N.J. : Prentice-Hall, c1982.</t>
        </is>
      </c>
      <c r="M450" t="inlineStr">
        <is>
          <t>1982</t>
        </is>
      </c>
      <c r="O450" t="inlineStr">
        <is>
          <t>eng</t>
        </is>
      </c>
      <c r="P450" t="inlineStr">
        <is>
          <t>nju</t>
        </is>
      </c>
      <c r="R450" t="inlineStr">
        <is>
          <t xml:space="preserve">LB </t>
        </is>
      </c>
      <c r="S450" t="n">
        <v>4</v>
      </c>
      <c r="T450" t="n">
        <v>4</v>
      </c>
      <c r="U450" t="inlineStr">
        <is>
          <t>2007-03-21</t>
        </is>
      </c>
      <c r="V450" t="inlineStr">
        <is>
          <t>2007-03-21</t>
        </is>
      </c>
      <c r="W450" t="inlineStr">
        <is>
          <t>1992-10-27</t>
        </is>
      </c>
      <c r="X450" t="inlineStr">
        <is>
          <t>1992-10-27</t>
        </is>
      </c>
      <c r="Y450" t="n">
        <v>236</v>
      </c>
      <c r="Z450" t="n">
        <v>199</v>
      </c>
      <c r="AA450" t="n">
        <v>205</v>
      </c>
      <c r="AB450" t="n">
        <v>1</v>
      </c>
      <c r="AC450" t="n">
        <v>1</v>
      </c>
      <c r="AD450" t="n">
        <v>3</v>
      </c>
      <c r="AE450" t="n">
        <v>3</v>
      </c>
      <c r="AF450" t="n">
        <v>1</v>
      </c>
      <c r="AG450" t="n">
        <v>1</v>
      </c>
      <c r="AH450" t="n">
        <v>1</v>
      </c>
      <c r="AI450" t="n">
        <v>1</v>
      </c>
      <c r="AJ450" t="n">
        <v>2</v>
      </c>
      <c r="AK450" t="n">
        <v>2</v>
      </c>
      <c r="AL450" t="n">
        <v>0</v>
      </c>
      <c r="AM450" t="n">
        <v>0</v>
      </c>
      <c r="AN450" t="n">
        <v>0</v>
      </c>
      <c r="AO450" t="n">
        <v>0</v>
      </c>
      <c r="AP450" t="inlineStr">
        <is>
          <t>No</t>
        </is>
      </c>
      <c r="AQ450" t="inlineStr">
        <is>
          <t>Yes</t>
        </is>
      </c>
      <c r="AR450">
        <f>HYPERLINK("http://catalog.hathitrust.org/Record/000270851","HathiTrust Record")</f>
        <v/>
      </c>
      <c r="AS450">
        <f>HYPERLINK("https://creighton-primo.hosted.exlibrisgroup.com/primo-explore/search?tab=default_tab&amp;search_scope=EVERYTHING&amp;vid=01CRU&amp;lang=en_US&amp;offset=0&amp;query=any,contains,991005249699702656","Catalog Record")</f>
        <v/>
      </c>
      <c r="AT450">
        <f>HYPERLINK("http://www.worldcat.org/oclc/8476854","WorldCat Record")</f>
        <v/>
      </c>
      <c r="AU450" t="inlineStr">
        <is>
          <t>31809089:eng</t>
        </is>
      </c>
      <c r="AV450" t="inlineStr">
        <is>
          <t>8476854</t>
        </is>
      </c>
      <c r="AW450" t="inlineStr">
        <is>
          <t>991005249699702656</t>
        </is>
      </c>
      <c r="AX450" t="inlineStr">
        <is>
          <t>991005249699702656</t>
        </is>
      </c>
      <c r="AY450" t="inlineStr">
        <is>
          <t>2257761470002656</t>
        </is>
      </c>
      <c r="AZ450" t="inlineStr">
        <is>
          <t>BOOK</t>
        </is>
      </c>
      <c r="BB450" t="inlineStr">
        <is>
          <t>9780138950118</t>
        </is>
      </c>
      <c r="BC450" t="inlineStr">
        <is>
          <t>32285001378347</t>
        </is>
      </c>
      <c r="BD450" t="inlineStr">
        <is>
          <t>893877190</t>
        </is>
      </c>
    </row>
    <row r="451">
      <c r="A451" t="inlineStr">
        <is>
          <t>No</t>
        </is>
      </c>
      <c r="B451" t="inlineStr">
        <is>
          <t>LB1050 .S582 1988</t>
        </is>
      </c>
      <c r="C451" t="inlineStr">
        <is>
          <t>0                      LB 1050000S  582         1988</t>
        </is>
      </c>
      <c r="D451" t="inlineStr">
        <is>
          <t>The school reading program : a handbook for teachers, supervisors, and specialists / Richard J. Smith, Wayne Otto, Lee Hansen.</t>
        </is>
      </c>
      <c r="F451" t="inlineStr">
        <is>
          <t>No</t>
        </is>
      </c>
      <c r="G451" t="inlineStr">
        <is>
          <t>1</t>
        </is>
      </c>
      <c r="H451" t="inlineStr">
        <is>
          <t>No</t>
        </is>
      </c>
      <c r="I451" t="inlineStr">
        <is>
          <t>No</t>
        </is>
      </c>
      <c r="J451" t="inlineStr">
        <is>
          <t>0</t>
        </is>
      </c>
      <c r="K451" t="inlineStr">
        <is>
          <t>Smith, Richard John, 1930-</t>
        </is>
      </c>
      <c r="L451" t="inlineStr">
        <is>
          <t>Prospect Heights, Ill. : Waveland Press, Inc., 1988, c1978.</t>
        </is>
      </c>
      <c r="M451" t="inlineStr">
        <is>
          <t>1988</t>
        </is>
      </c>
      <c r="O451" t="inlineStr">
        <is>
          <t>eng</t>
        </is>
      </c>
      <c r="P451" t="inlineStr">
        <is>
          <t>ilu</t>
        </is>
      </c>
      <c r="R451" t="inlineStr">
        <is>
          <t xml:space="preserve">LB </t>
        </is>
      </c>
      <c r="S451" t="n">
        <v>2</v>
      </c>
      <c r="T451" t="n">
        <v>2</v>
      </c>
      <c r="U451" t="inlineStr">
        <is>
          <t>1997-01-27</t>
        </is>
      </c>
      <c r="V451" t="inlineStr">
        <is>
          <t>1997-01-27</t>
        </is>
      </c>
      <c r="W451" t="inlineStr">
        <is>
          <t>1992-10-27</t>
        </is>
      </c>
      <c r="X451" t="inlineStr">
        <is>
          <t>1992-10-27</t>
        </is>
      </c>
      <c r="Y451" t="n">
        <v>22</v>
      </c>
      <c r="Z451" t="n">
        <v>22</v>
      </c>
      <c r="AA451" t="n">
        <v>264</v>
      </c>
      <c r="AB451" t="n">
        <v>1</v>
      </c>
      <c r="AC451" t="n">
        <v>1</v>
      </c>
      <c r="AD451" t="n">
        <v>1</v>
      </c>
      <c r="AE451" t="n">
        <v>9</v>
      </c>
      <c r="AF451" t="n">
        <v>1</v>
      </c>
      <c r="AG451" t="n">
        <v>6</v>
      </c>
      <c r="AH451" t="n">
        <v>0</v>
      </c>
      <c r="AI451" t="n">
        <v>1</v>
      </c>
      <c r="AJ451" t="n">
        <v>0</v>
      </c>
      <c r="AK451" t="n">
        <v>7</v>
      </c>
      <c r="AL451" t="n">
        <v>0</v>
      </c>
      <c r="AM451" t="n">
        <v>0</v>
      </c>
      <c r="AN451" t="n">
        <v>0</v>
      </c>
      <c r="AO451" t="n">
        <v>0</v>
      </c>
      <c r="AP451" t="inlineStr">
        <is>
          <t>No</t>
        </is>
      </c>
      <c r="AQ451" t="inlineStr">
        <is>
          <t>No</t>
        </is>
      </c>
      <c r="AS451">
        <f>HYPERLINK("https://creighton-primo.hosted.exlibrisgroup.com/primo-explore/search?tab=default_tab&amp;search_scope=EVERYTHING&amp;vid=01CRU&amp;lang=en_US&amp;offset=0&amp;query=any,contains,991001549289702656","Catalog Record")</f>
        <v/>
      </c>
      <c r="AT451">
        <f>HYPERLINK("http://www.worldcat.org/oclc/20214604","WorldCat Record")</f>
        <v/>
      </c>
      <c r="AU451" t="inlineStr">
        <is>
          <t>468067:eng</t>
        </is>
      </c>
      <c r="AV451" t="inlineStr">
        <is>
          <t>20214604</t>
        </is>
      </c>
      <c r="AW451" t="inlineStr">
        <is>
          <t>991001549289702656</t>
        </is>
      </c>
      <c r="AX451" t="inlineStr">
        <is>
          <t>991001549289702656</t>
        </is>
      </c>
      <c r="AY451" t="inlineStr">
        <is>
          <t>2255788180002656</t>
        </is>
      </c>
      <c r="AZ451" t="inlineStr">
        <is>
          <t>BOOK</t>
        </is>
      </c>
      <c r="BB451" t="inlineStr">
        <is>
          <t>9780881333749</t>
        </is>
      </c>
      <c r="BC451" t="inlineStr">
        <is>
          <t>32285001378420</t>
        </is>
      </c>
      <c r="BD451" t="inlineStr">
        <is>
          <t>893346588</t>
        </is>
      </c>
    </row>
    <row r="452">
      <c r="A452" t="inlineStr">
        <is>
          <t>No</t>
        </is>
      </c>
      <c r="B452" t="inlineStr">
        <is>
          <t>LB1050.2 .M378 1998</t>
        </is>
      </c>
      <c r="C452" t="inlineStr">
        <is>
          <t>0                      LB 1050200M  378         1998</t>
        </is>
      </c>
      <c r="D452" t="inlineStr">
        <is>
          <t>The literacy crisis : false claims, real solutions / Jeff McQuillan.</t>
        </is>
      </c>
      <c r="F452" t="inlineStr">
        <is>
          <t>No</t>
        </is>
      </c>
      <c r="G452" t="inlineStr">
        <is>
          <t>1</t>
        </is>
      </c>
      <c r="H452" t="inlineStr">
        <is>
          <t>No</t>
        </is>
      </c>
      <c r="I452" t="inlineStr">
        <is>
          <t>No</t>
        </is>
      </c>
      <c r="J452" t="inlineStr">
        <is>
          <t>0</t>
        </is>
      </c>
      <c r="K452" t="inlineStr">
        <is>
          <t>McQuillan, Jeff.</t>
        </is>
      </c>
      <c r="L452" t="inlineStr">
        <is>
          <t>Portsmouth, NH : Heinemann, c1998.</t>
        </is>
      </c>
      <c r="M452" t="inlineStr">
        <is>
          <t>1998</t>
        </is>
      </c>
      <c r="O452" t="inlineStr">
        <is>
          <t>eng</t>
        </is>
      </c>
      <c r="P452" t="inlineStr">
        <is>
          <t>nhu</t>
        </is>
      </c>
      <c r="R452" t="inlineStr">
        <is>
          <t xml:space="preserve">LB </t>
        </is>
      </c>
      <c r="S452" t="n">
        <v>1</v>
      </c>
      <c r="T452" t="n">
        <v>1</v>
      </c>
      <c r="U452" t="inlineStr">
        <is>
          <t>2006-11-28</t>
        </is>
      </c>
      <c r="V452" t="inlineStr">
        <is>
          <t>2006-11-28</t>
        </is>
      </c>
      <c r="W452" t="inlineStr">
        <is>
          <t>2006-11-28</t>
        </is>
      </c>
      <c r="X452" t="inlineStr">
        <is>
          <t>2006-11-28</t>
        </is>
      </c>
      <c r="Y452" t="n">
        <v>414</v>
      </c>
      <c r="Z452" t="n">
        <v>375</v>
      </c>
      <c r="AA452" t="n">
        <v>375</v>
      </c>
      <c r="AB452" t="n">
        <v>4</v>
      </c>
      <c r="AC452" t="n">
        <v>4</v>
      </c>
      <c r="AD452" t="n">
        <v>24</v>
      </c>
      <c r="AE452" t="n">
        <v>24</v>
      </c>
      <c r="AF452" t="n">
        <v>11</v>
      </c>
      <c r="AG452" t="n">
        <v>11</v>
      </c>
      <c r="AH452" t="n">
        <v>6</v>
      </c>
      <c r="AI452" t="n">
        <v>6</v>
      </c>
      <c r="AJ452" t="n">
        <v>11</v>
      </c>
      <c r="AK452" t="n">
        <v>11</v>
      </c>
      <c r="AL452" t="n">
        <v>3</v>
      </c>
      <c r="AM452" t="n">
        <v>3</v>
      </c>
      <c r="AN452" t="n">
        <v>0</v>
      </c>
      <c r="AO452" t="n">
        <v>0</v>
      </c>
      <c r="AP452" t="inlineStr">
        <is>
          <t>No</t>
        </is>
      </c>
      <c r="AQ452" t="inlineStr">
        <is>
          <t>No</t>
        </is>
      </c>
      <c r="AS452">
        <f>HYPERLINK("https://creighton-primo.hosted.exlibrisgroup.com/primo-explore/search?tab=default_tab&amp;search_scope=EVERYTHING&amp;vid=01CRU&amp;lang=en_US&amp;offset=0&amp;query=any,contains,991004988149702656","Catalog Record")</f>
        <v/>
      </c>
      <c r="AT452">
        <f>HYPERLINK("http://www.worldcat.org/oclc/38732364","WorldCat Record")</f>
        <v/>
      </c>
      <c r="AU452" t="inlineStr">
        <is>
          <t>152266588:eng</t>
        </is>
      </c>
      <c r="AV452" t="inlineStr">
        <is>
          <t>38732364</t>
        </is>
      </c>
      <c r="AW452" t="inlineStr">
        <is>
          <t>991004988149702656</t>
        </is>
      </c>
      <c r="AX452" t="inlineStr">
        <is>
          <t>991004988149702656</t>
        </is>
      </c>
      <c r="AY452" t="inlineStr">
        <is>
          <t>2270195910002656</t>
        </is>
      </c>
      <c r="AZ452" t="inlineStr">
        <is>
          <t>BOOK</t>
        </is>
      </c>
      <c r="BB452" t="inlineStr">
        <is>
          <t>9780325000633</t>
        </is>
      </c>
      <c r="BC452" t="inlineStr">
        <is>
          <t>32285005262802</t>
        </is>
      </c>
      <c r="BD452" t="inlineStr">
        <is>
          <t>893418239</t>
        </is>
      </c>
    </row>
    <row r="453">
      <c r="A453" t="inlineStr">
        <is>
          <t>No</t>
        </is>
      </c>
      <c r="B453" t="inlineStr">
        <is>
          <t>LB1050.34 .M33 2002</t>
        </is>
      </c>
      <c r="C453" t="inlineStr">
        <is>
          <t>0                      LB 1050340M  33          2002</t>
        </is>
      </c>
      <c r="D453" t="inlineStr">
        <is>
          <t>A sound start : phonemic awareness lessons for reading success / Christine E. McCormick, Rebecca N. Throneburg, Jean M. Smitley.</t>
        </is>
      </c>
      <c r="F453" t="inlineStr">
        <is>
          <t>No</t>
        </is>
      </c>
      <c r="G453" t="inlineStr">
        <is>
          <t>1</t>
        </is>
      </c>
      <c r="H453" t="inlineStr">
        <is>
          <t>No</t>
        </is>
      </c>
      <c r="I453" t="inlineStr">
        <is>
          <t>No</t>
        </is>
      </c>
      <c r="J453" t="inlineStr">
        <is>
          <t>0</t>
        </is>
      </c>
      <c r="K453" t="inlineStr">
        <is>
          <t>McCormick, Christine.</t>
        </is>
      </c>
      <c r="L453" t="inlineStr">
        <is>
          <t>New York : Guilford Press, c2002.</t>
        </is>
      </c>
      <c r="M453" t="inlineStr">
        <is>
          <t>2002</t>
        </is>
      </c>
      <c r="O453" t="inlineStr">
        <is>
          <t>eng</t>
        </is>
      </c>
      <c r="P453" t="inlineStr">
        <is>
          <t>nyu</t>
        </is>
      </c>
      <c r="Q453" t="inlineStr">
        <is>
          <t>Solving problems in the teaching of literacy</t>
        </is>
      </c>
      <c r="R453" t="inlineStr">
        <is>
          <t xml:space="preserve">LB </t>
        </is>
      </c>
      <c r="S453" t="n">
        <v>3</v>
      </c>
      <c r="T453" t="n">
        <v>3</v>
      </c>
      <c r="U453" t="inlineStr">
        <is>
          <t>2010-10-20</t>
        </is>
      </c>
      <c r="V453" t="inlineStr">
        <is>
          <t>2010-10-20</t>
        </is>
      </c>
      <c r="W453" t="inlineStr">
        <is>
          <t>2002-10-22</t>
        </is>
      </c>
      <c r="X453" t="inlineStr">
        <is>
          <t>2002-10-22</t>
        </is>
      </c>
      <c r="Y453" t="n">
        <v>327</v>
      </c>
      <c r="Z453" t="n">
        <v>282</v>
      </c>
      <c r="AA453" t="n">
        <v>283</v>
      </c>
      <c r="AB453" t="n">
        <v>2</v>
      </c>
      <c r="AC453" t="n">
        <v>2</v>
      </c>
      <c r="AD453" t="n">
        <v>11</v>
      </c>
      <c r="AE453" t="n">
        <v>12</v>
      </c>
      <c r="AF453" t="n">
        <v>2</v>
      </c>
      <c r="AG453" t="n">
        <v>3</v>
      </c>
      <c r="AH453" t="n">
        <v>5</v>
      </c>
      <c r="AI453" t="n">
        <v>5</v>
      </c>
      <c r="AJ453" t="n">
        <v>6</v>
      </c>
      <c r="AK453" t="n">
        <v>7</v>
      </c>
      <c r="AL453" t="n">
        <v>1</v>
      </c>
      <c r="AM453" t="n">
        <v>1</v>
      </c>
      <c r="AN453" t="n">
        <v>0</v>
      </c>
      <c r="AO453" t="n">
        <v>0</v>
      </c>
      <c r="AP453" t="inlineStr">
        <is>
          <t>No</t>
        </is>
      </c>
      <c r="AQ453" t="inlineStr">
        <is>
          <t>No</t>
        </is>
      </c>
      <c r="AS453">
        <f>HYPERLINK("https://creighton-primo.hosted.exlibrisgroup.com/primo-explore/search?tab=default_tab&amp;search_scope=EVERYTHING&amp;vid=01CRU&amp;lang=en_US&amp;offset=0&amp;query=any,contains,991003898449702656","Catalog Record")</f>
        <v/>
      </c>
      <c r="AT453">
        <f>HYPERLINK("http://www.worldcat.org/oclc/48450885","WorldCat Record")</f>
        <v/>
      </c>
      <c r="AU453" t="inlineStr">
        <is>
          <t>36955153:eng</t>
        </is>
      </c>
      <c r="AV453" t="inlineStr">
        <is>
          <t>48450885</t>
        </is>
      </c>
      <c r="AW453" t="inlineStr">
        <is>
          <t>991003898449702656</t>
        </is>
      </c>
      <c r="AX453" t="inlineStr">
        <is>
          <t>991003898449702656</t>
        </is>
      </c>
      <c r="AY453" t="inlineStr">
        <is>
          <t>2269358370002656</t>
        </is>
      </c>
      <c r="AZ453" t="inlineStr">
        <is>
          <t>BOOK</t>
        </is>
      </c>
      <c r="BB453" t="inlineStr">
        <is>
          <t>9781572307612</t>
        </is>
      </c>
      <c r="BC453" t="inlineStr">
        <is>
          <t>32285004656863</t>
        </is>
      </c>
      <c r="BD453" t="inlineStr">
        <is>
          <t>893599176</t>
        </is>
      </c>
    </row>
    <row r="454">
      <c r="A454" t="inlineStr">
        <is>
          <t>No</t>
        </is>
      </c>
      <c r="B454" t="inlineStr">
        <is>
          <t>LB1050.35 .I5 1998</t>
        </is>
      </c>
      <c r="C454" t="inlineStr">
        <is>
          <t>0                      LB 1050350I  5           1998</t>
        </is>
      </c>
      <c r="D454" t="inlineStr">
        <is>
          <t>In defense of good teaching : what teachers need to know about the "reading wars" / edited by Kenneth S. Goodman.</t>
        </is>
      </c>
      <c r="F454" t="inlineStr">
        <is>
          <t>No</t>
        </is>
      </c>
      <c r="G454" t="inlineStr">
        <is>
          <t>1</t>
        </is>
      </c>
      <c r="H454" t="inlineStr">
        <is>
          <t>No</t>
        </is>
      </c>
      <c r="I454" t="inlineStr">
        <is>
          <t>No</t>
        </is>
      </c>
      <c r="J454" t="inlineStr">
        <is>
          <t>0</t>
        </is>
      </c>
      <c r="L454" t="inlineStr">
        <is>
          <t>York, Me. : Stenhouse Publishers, c1998.</t>
        </is>
      </c>
      <c r="M454" t="inlineStr">
        <is>
          <t>1998</t>
        </is>
      </c>
      <c r="O454" t="inlineStr">
        <is>
          <t>eng</t>
        </is>
      </c>
      <c r="P454" t="inlineStr">
        <is>
          <t>meu</t>
        </is>
      </c>
      <c r="R454" t="inlineStr">
        <is>
          <t xml:space="preserve">LB </t>
        </is>
      </c>
      <c r="S454" t="n">
        <v>3</v>
      </c>
      <c r="T454" t="n">
        <v>3</v>
      </c>
      <c r="U454" t="inlineStr">
        <is>
          <t>1999-02-11</t>
        </is>
      </c>
      <c r="V454" t="inlineStr">
        <is>
          <t>1999-02-11</t>
        </is>
      </c>
      <c r="W454" t="inlineStr">
        <is>
          <t>1998-07-27</t>
        </is>
      </c>
      <c r="X454" t="inlineStr">
        <is>
          <t>1998-07-27</t>
        </is>
      </c>
      <c r="Y454" t="n">
        <v>641</v>
      </c>
      <c r="Z454" t="n">
        <v>607</v>
      </c>
      <c r="AA454" t="n">
        <v>881</v>
      </c>
      <c r="AB454" t="n">
        <v>5</v>
      </c>
      <c r="AC454" t="n">
        <v>7</v>
      </c>
      <c r="AD454" t="n">
        <v>34</v>
      </c>
      <c r="AE454" t="n">
        <v>36</v>
      </c>
      <c r="AF454" t="n">
        <v>14</v>
      </c>
      <c r="AG454" t="n">
        <v>14</v>
      </c>
      <c r="AH454" t="n">
        <v>8</v>
      </c>
      <c r="AI454" t="n">
        <v>8</v>
      </c>
      <c r="AJ454" t="n">
        <v>17</v>
      </c>
      <c r="AK454" t="n">
        <v>17</v>
      </c>
      <c r="AL454" t="n">
        <v>4</v>
      </c>
      <c r="AM454" t="n">
        <v>6</v>
      </c>
      <c r="AN454" t="n">
        <v>0</v>
      </c>
      <c r="AO454" t="n">
        <v>0</v>
      </c>
      <c r="AP454" t="inlineStr">
        <is>
          <t>No</t>
        </is>
      </c>
      <c r="AQ454" t="inlineStr">
        <is>
          <t>Yes</t>
        </is>
      </c>
      <c r="AR454">
        <f>HYPERLINK("http://catalog.hathitrust.org/Record/003348005","HathiTrust Record")</f>
        <v/>
      </c>
      <c r="AS454">
        <f>HYPERLINK("https://creighton-primo.hosted.exlibrisgroup.com/primo-explore/search?tab=default_tab&amp;search_scope=EVERYTHING&amp;vid=01CRU&amp;lang=en_US&amp;offset=0&amp;query=any,contains,991002903149702656","Catalog Record")</f>
        <v/>
      </c>
      <c r="AT454">
        <f>HYPERLINK("http://www.worldcat.org/oclc/38286623","WorldCat Record")</f>
        <v/>
      </c>
      <c r="AU454" t="inlineStr">
        <is>
          <t>800329813:eng</t>
        </is>
      </c>
      <c r="AV454" t="inlineStr">
        <is>
          <t>38286623</t>
        </is>
      </c>
      <c r="AW454" t="inlineStr">
        <is>
          <t>991002903149702656</t>
        </is>
      </c>
      <c r="AX454" t="inlineStr">
        <is>
          <t>991002903149702656</t>
        </is>
      </c>
      <c r="AY454" t="inlineStr">
        <is>
          <t>2256187780002656</t>
        </is>
      </c>
      <c r="AZ454" t="inlineStr">
        <is>
          <t>BOOK</t>
        </is>
      </c>
      <c r="BB454" t="inlineStr">
        <is>
          <t>9781571100863</t>
        </is>
      </c>
      <c r="BC454" t="inlineStr">
        <is>
          <t>32285003446126</t>
        </is>
      </c>
      <c r="BD454" t="inlineStr">
        <is>
          <t>893874160</t>
        </is>
      </c>
    </row>
    <row r="455">
      <c r="A455" t="inlineStr">
        <is>
          <t>No</t>
        </is>
      </c>
      <c r="B455" t="inlineStr">
        <is>
          <t>LB1050.45 .S53 1977</t>
        </is>
      </c>
      <c r="C455" t="inlineStr">
        <is>
          <t>0                      LB 1050450S  53          1977</t>
        </is>
      </c>
      <c r="D455" t="inlineStr">
        <is>
          <t>Toward reading comprehension / Julia Florence Sherbourne.</t>
        </is>
      </c>
      <c r="F455" t="inlineStr">
        <is>
          <t>No</t>
        </is>
      </c>
      <c r="G455" t="inlineStr">
        <is>
          <t>1</t>
        </is>
      </c>
      <c r="H455" t="inlineStr">
        <is>
          <t>No</t>
        </is>
      </c>
      <c r="I455" t="inlineStr">
        <is>
          <t>No</t>
        </is>
      </c>
      <c r="J455" t="inlineStr">
        <is>
          <t>0</t>
        </is>
      </c>
      <c r="K455" t="inlineStr">
        <is>
          <t>Sherbourne, Julia Florence.</t>
        </is>
      </c>
      <c r="L455" t="inlineStr">
        <is>
          <t>Lexington, Mass. : Heath, c1977.</t>
        </is>
      </c>
      <c r="M455" t="inlineStr">
        <is>
          <t>1977</t>
        </is>
      </c>
      <c r="N455" t="inlineStr">
        <is>
          <t>2d ed.</t>
        </is>
      </c>
      <c r="O455" t="inlineStr">
        <is>
          <t>eng</t>
        </is>
      </c>
      <c r="P455" t="inlineStr">
        <is>
          <t>mau</t>
        </is>
      </c>
      <c r="R455" t="inlineStr">
        <is>
          <t xml:space="preserve">LB </t>
        </is>
      </c>
      <c r="S455" t="n">
        <v>2</v>
      </c>
      <c r="T455" t="n">
        <v>2</v>
      </c>
      <c r="U455" t="inlineStr">
        <is>
          <t>2002-08-29</t>
        </is>
      </c>
      <c r="V455" t="inlineStr">
        <is>
          <t>2002-08-29</t>
        </is>
      </c>
      <c r="W455" t="inlineStr">
        <is>
          <t>1992-10-27</t>
        </is>
      </c>
      <c r="X455" t="inlineStr">
        <is>
          <t>1992-10-27</t>
        </is>
      </c>
      <c r="Y455" t="n">
        <v>133</v>
      </c>
      <c r="Z455" t="n">
        <v>122</v>
      </c>
      <c r="AA455" t="n">
        <v>164</v>
      </c>
      <c r="AB455" t="n">
        <v>3</v>
      </c>
      <c r="AC455" t="n">
        <v>3</v>
      </c>
      <c r="AD455" t="n">
        <v>3</v>
      </c>
      <c r="AE455" t="n">
        <v>4</v>
      </c>
      <c r="AF455" t="n">
        <v>0</v>
      </c>
      <c r="AG455" t="n">
        <v>0</v>
      </c>
      <c r="AH455" t="n">
        <v>1</v>
      </c>
      <c r="AI455" t="n">
        <v>1</v>
      </c>
      <c r="AJ455" t="n">
        <v>1</v>
      </c>
      <c r="AK455" t="n">
        <v>2</v>
      </c>
      <c r="AL455" t="n">
        <v>2</v>
      </c>
      <c r="AM455" t="n">
        <v>2</v>
      </c>
      <c r="AN455" t="n">
        <v>0</v>
      </c>
      <c r="AO455" t="n">
        <v>0</v>
      </c>
      <c r="AP455" t="inlineStr">
        <is>
          <t>No</t>
        </is>
      </c>
      <c r="AQ455" t="inlineStr">
        <is>
          <t>No</t>
        </is>
      </c>
      <c r="AS455">
        <f>HYPERLINK("https://creighton-primo.hosted.exlibrisgroup.com/primo-explore/search?tab=default_tab&amp;search_scope=EVERYTHING&amp;vid=01CRU&amp;lang=en_US&amp;offset=0&amp;query=any,contains,991004288289702656","Catalog Record")</f>
        <v/>
      </c>
      <c r="AT455">
        <f>HYPERLINK("http://www.worldcat.org/oclc/2932741","WorldCat Record")</f>
        <v/>
      </c>
      <c r="AU455" t="inlineStr">
        <is>
          <t>515176:eng</t>
        </is>
      </c>
      <c r="AV455" t="inlineStr">
        <is>
          <t>2932741</t>
        </is>
      </c>
      <c r="AW455" t="inlineStr">
        <is>
          <t>991004288289702656</t>
        </is>
      </c>
      <c r="AX455" t="inlineStr">
        <is>
          <t>991004288289702656</t>
        </is>
      </c>
      <c r="AY455" t="inlineStr">
        <is>
          <t>2268647270002656</t>
        </is>
      </c>
      <c r="AZ455" t="inlineStr">
        <is>
          <t>BOOK</t>
        </is>
      </c>
      <c r="BB455" t="inlineStr">
        <is>
          <t>9780669913712</t>
        </is>
      </c>
      <c r="BC455" t="inlineStr">
        <is>
          <t>32285001378768</t>
        </is>
      </c>
      <c r="BD455" t="inlineStr">
        <is>
          <t>893788523</t>
        </is>
      </c>
    </row>
    <row r="456">
      <c r="A456" t="inlineStr">
        <is>
          <t>No</t>
        </is>
      </c>
      <c r="B456" t="inlineStr">
        <is>
          <t>LB1050.455 .C65 1992</t>
        </is>
      </c>
      <c r="C456" t="inlineStr">
        <is>
          <t>0                      LB 1050455C  65          1992</t>
        </is>
      </c>
      <c r="D456" t="inlineStr">
        <is>
          <t>Content reading instruction : a communication approach / Mark W. Conley.</t>
        </is>
      </c>
      <c r="F456" t="inlineStr">
        <is>
          <t>No</t>
        </is>
      </c>
      <c r="G456" t="inlineStr">
        <is>
          <t>1</t>
        </is>
      </c>
      <c r="H456" t="inlineStr">
        <is>
          <t>No</t>
        </is>
      </c>
      <c r="I456" t="inlineStr">
        <is>
          <t>No</t>
        </is>
      </c>
      <c r="J456" t="inlineStr">
        <is>
          <t>0</t>
        </is>
      </c>
      <c r="K456" t="inlineStr">
        <is>
          <t>Conley, Mark William.</t>
        </is>
      </c>
      <c r="L456" t="inlineStr">
        <is>
          <t>New York : McGraw-Hill, c1992.</t>
        </is>
      </c>
      <c r="M456" t="inlineStr">
        <is>
          <t>1992</t>
        </is>
      </c>
      <c r="O456" t="inlineStr">
        <is>
          <t>eng</t>
        </is>
      </c>
      <c r="P456" t="inlineStr">
        <is>
          <t>nyu</t>
        </is>
      </c>
      <c r="R456" t="inlineStr">
        <is>
          <t xml:space="preserve">LB </t>
        </is>
      </c>
      <c r="S456" t="n">
        <v>1</v>
      </c>
      <c r="T456" t="n">
        <v>1</v>
      </c>
      <c r="U456" t="inlineStr">
        <is>
          <t>1995-11-26</t>
        </is>
      </c>
      <c r="V456" t="inlineStr">
        <is>
          <t>1995-11-26</t>
        </is>
      </c>
      <c r="W456" t="inlineStr">
        <is>
          <t>1992-04-02</t>
        </is>
      </c>
      <c r="X456" t="inlineStr">
        <is>
          <t>1992-04-02</t>
        </is>
      </c>
      <c r="Y456" t="n">
        <v>122</v>
      </c>
      <c r="Z456" t="n">
        <v>98</v>
      </c>
      <c r="AA456" t="n">
        <v>149</v>
      </c>
      <c r="AB456" t="n">
        <v>1</v>
      </c>
      <c r="AC456" t="n">
        <v>1</v>
      </c>
      <c r="AD456" t="n">
        <v>1</v>
      </c>
      <c r="AE456" t="n">
        <v>3</v>
      </c>
      <c r="AF456" t="n">
        <v>0</v>
      </c>
      <c r="AG456" t="n">
        <v>0</v>
      </c>
      <c r="AH456" t="n">
        <v>0</v>
      </c>
      <c r="AI456" t="n">
        <v>0</v>
      </c>
      <c r="AJ456" t="n">
        <v>1</v>
      </c>
      <c r="AK456" t="n">
        <v>3</v>
      </c>
      <c r="AL456" t="n">
        <v>0</v>
      </c>
      <c r="AM456" t="n">
        <v>0</v>
      </c>
      <c r="AN456" t="n">
        <v>0</v>
      </c>
      <c r="AO456" t="n">
        <v>0</v>
      </c>
      <c r="AP456" t="inlineStr">
        <is>
          <t>No</t>
        </is>
      </c>
      <c r="AQ456" t="inlineStr">
        <is>
          <t>No</t>
        </is>
      </c>
      <c r="AS456">
        <f>HYPERLINK("https://creighton-primo.hosted.exlibrisgroup.com/primo-explore/search?tab=default_tab&amp;search_scope=EVERYTHING&amp;vid=01CRU&amp;lang=en_US&amp;offset=0&amp;query=any,contains,991001897899702656","Catalog Record")</f>
        <v/>
      </c>
      <c r="AT456">
        <f>HYPERLINK("http://www.worldcat.org/oclc/23973921","WorldCat Record")</f>
        <v/>
      </c>
      <c r="AU456" t="inlineStr">
        <is>
          <t>836975368:eng</t>
        </is>
      </c>
      <c r="AV456" t="inlineStr">
        <is>
          <t>23973921</t>
        </is>
      </c>
      <c r="AW456" t="inlineStr">
        <is>
          <t>991001897899702656</t>
        </is>
      </c>
      <c r="AX456" t="inlineStr">
        <is>
          <t>991001897899702656</t>
        </is>
      </c>
      <c r="AY456" t="inlineStr">
        <is>
          <t>2269346050002656</t>
        </is>
      </c>
      <c r="AZ456" t="inlineStr">
        <is>
          <t>BOOK</t>
        </is>
      </c>
      <c r="BB456" t="inlineStr">
        <is>
          <t>9780075577188</t>
        </is>
      </c>
      <c r="BC456" t="inlineStr">
        <is>
          <t>32285001008365</t>
        </is>
      </c>
      <c r="BD456" t="inlineStr">
        <is>
          <t>893721187</t>
        </is>
      </c>
    </row>
    <row r="457">
      <c r="A457" t="inlineStr">
        <is>
          <t>No</t>
        </is>
      </c>
      <c r="B457" t="inlineStr">
        <is>
          <t>LB1050.455 .M36 2001</t>
        </is>
      </c>
      <c r="C457" t="inlineStr">
        <is>
          <t>0                      LB 1050455M  36          2001</t>
        </is>
      </c>
      <c r="D457" t="inlineStr">
        <is>
          <t>Content area literacy : interactive teaching for active learning / Anthony V. Manzo, Ula C. Manzo, Thomas H. Estes.</t>
        </is>
      </c>
      <c r="F457" t="inlineStr">
        <is>
          <t>No</t>
        </is>
      </c>
      <c r="G457" t="inlineStr">
        <is>
          <t>1</t>
        </is>
      </c>
      <c r="H457" t="inlineStr">
        <is>
          <t>No</t>
        </is>
      </c>
      <c r="I457" t="inlineStr">
        <is>
          <t>No</t>
        </is>
      </c>
      <c r="J457" t="inlineStr">
        <is>
          <t>0</t>
        </is>
      </c>
      <c r="K457" t="inlineStr">
        <is>
          <t>Manzo, Anthony V.</t>
        </is>
      </c>
      <c r="L457" t="inlineStr">
        <is>
          <t>New York : Wiley, c2001.</t>
        </is>
      </c>
      <c r="M457" t="inlineStr">
        <is>
          <t>2001</t>
        </is>
      </c>
      <c r="N457" t="inlineStr">
        <is>
          <t>3rd ed.</t>
        </is>
      </c>
      <c r="O457" t="inlineStr">
        <is>
          <t>eng</t>
        </is>
      </c>
      <c r="P457" t="inlineStr">
        <is>
          <t>nyu</t>
        </is>
      </c>
      <c r="R457" t="inlineStr">
        <is>
          <t xml:space="preserve">LB </t>
        </is>
      </c>
      <c r="S457" t="n">
        <v>2</v>
      </c>
      <c r="T457" t="n">
        <v>2</v>
      </c>
      <c r="U457" t="inlineStr">
        <is>
          <t>2007-10-08</t>
        </is>
      </c>
      <c r="V457" t="inlineStr">
        <is>
          <t>2007-10-08</t>
        </is>
      </c>
      <c r="W457" t="inlineStr">
        <is>
          <t>2001-10-15</t>
        </is>
      </c>
      <c r="X457" t="inlineStr">
        <is>
          <t>2001-10-15</t>
        </is>
      </c>
      <c r="Y457" t="n">
        <v>229</v>
      </c>
      <c r="Z457" t="n">
        <v>183</v>
      </c>
      <c r="AA457" t="n">
        <v>278</v>
      </c>
      <c r="AB457" t="n">
        <v>3</v>
      </c>
      <c r="AC457" t="n">
        <v>3</v>
      </c>
      <c r="AD457" t="n">
        <v>10</v>
      </c>
      <c r="AE457" t="n">
        <v>14</v>
      </c>
      <c r="AF457" t="n">
        <v>5</v>
      </c>
      <c r="AG457" t="n">
        <v>7</v>
      </c>
      <c r="AH457" t="n">
        <v>2</v>
      </c>
      <c r="AI457" t="n">
        <v>2</v>
      </c>
      <c r="AJ457" t="n">
        <v>4</v>
      </c>
      <c r="AK457" t="n">
        <v>7</v>
      </c>
      <c r="AL457" t="n">
        <v>2</v>
      </c>
      <c r="AM457" t="n">
        <v>2</v>
      </c>
      <c r="AN457" t="n">
        <v>0</v>
      </c>
      <c r="AO457" t="n">
        <v>0</v>
      </c>
      <c r="AP457" t="inlineStr">
        <is>
          <t>No</t>
        </is>
      </c>
      <c r="AQ457" t="inlineStr">
        <is>
          <t>Yes</t>
        </is>
      </c>
      <c r="AR457">
        <f>HYPERLINK("http://catalog.hathitrust.org/Record/102015951","HathiTrust Record")</f>
        <v/>
      </c>
      <c r="AS457">
        <f>HYPERLINK("https://creighton-primo.hosted.exlibrisgroup.com/primo-explore/search?tab=default_tab&amp;search_scope=EVERYTHING&amp;vid=01CRU&amp;lang=en_US&amp;offset=0&amp;query=any,contains,991003609519702656","Catalog Record")</f>
        <v/>
      </c>
      <c r="AT457">
        <f>HYPERLINK("http://www.worldcat.org/oclc/43555224","WorldCat Record")</f>
        <v/>
      </c>
      <c r="AU457" t="inlineStr">
        <is>
          <t>16703825:eng</t>
        </is>
      </c>
      <c r="AV457" t="inlineStr">
        <is>
          <t>43555224</t>
        </is>
      </c>
      <c r="AW457" t="inlineStr">
        <is>
          <t>991003609519702656</t>
        </is>
      </c>
      <c r="AX457" t="inlineStr">
        <is>
          <t>991003609519702656</t>
        </is>
      </c>
      <c r="AY457" t="inlineStr">
        <is>
          <t>2255900980002656</t>
        </is>
      </c>
      <c r="AZ457" t="inlineStr">
        <is>
          <t>BOOK</t>
        </is>
      </c>
      <c r="BB457" t="inlineStr">
        <is>
          <t>9780471365617</t>
        </is>
      </c>
      <c r="BC457" t="inlineStr">
        <is>
          <t>32285004396619</t>
        </is>
      </c>
      <c r="BD457" t="inlineStr">
        <is>
          <t>893604980</t>
        </is>
      </c>
    </row>
    <row r="458">
      <c r="A458" t="inlineStr">
        <is>
          <t>No</t>
        </is>
      </c>
      <c r="B458" t="inlineStr">
        <is>
          <t>LB1050.455 .S73 1990</t>
        </is>
      </c>
      <c r="C458" t="inlineStr">
        <is>
          <t>0                      LB 1050455S  73          1990</t>
        </is>
      </c>
      <c r="D458" t="inlineStr">
        <is>
          <t>Content area reading : teachers, texts, students / by Timothy C. Standal, Ruth E. Betza.</t>
        </is>
      </c>
      <c r="F458" t="inlineStr">
        <is>
          <t>No</t>
        </is>
      </c>
      <c r="G458" t="inlineStr">
        <is>
          <t>1</t>
        </is>
      </c>
      <c r="H458" t="inlineStr">
        <is>
          <t>No</t>
        </is>
      </c>
      <c r="I458" t="inlineStr">
        <is>
          <t>No</t>
        </is>
      </c>
      <c r="J458" t="inlineStr">
        <is>
          <t>0</t>
        </is>
      </c>
      <c r="K458" t="inlineStr">
        <is>
          <t>Standal, Timothy C., 1944-</t>
        </is>
      </c>
      <c r="L458" t="inlineStr">
        <is>
          <t>Englewood Cliffs, N.J. : Prentice Hall, 1990.</t>
        </is>
      </c>
      <c r="M458" t="inlineStr">
        <is>
          <t>1990</t>
        </is>
      </c>
      <c r="O458" t="inlineStr">
        <is>
          <t>eng</t>
        </is>
      </c>
      <c r="P458" t="inlineStr">
        <is>
          <t>nju</t>
        </is>
      </c>
      <c r="R458" t="inlineStr">
        <is>
          <t xml:space="preserve">LB </t>
        </is>
      </c>
      <c r="S458" t="n">
        <v>1</v>
      </c>
      <c r="T458" t="n">
        <v>1</v>
      </c>
      <c r="U458" t="inlineStr">
        <is>
          <t>2007-10-08</t>
        </is>
      </c>
      <c r="V458" t="inlineStr">
        <is>
          <t>2007-10-08</t>
        </is>
      </c>
      <c r="W458" t="inlineStr">
        <is>
          <t>1990-03-12</t>
        </is>
      </c>
      <c r="X458" t="inlineStr">
        <is>
          <t>1990-03-12</t>
        </is>
      </c>
      <c r="Y458" t="n">
        <v>241</v>
      </c>
      <c r="Z458" t="n">
        <v>222</v>
      </c>
      <c r="AA458" t="n">
        <v>225</v>
      </c>
      <c r="AB458" t="n">
        <v>2</v>
      </c>
      <c r="AC458" t="n">
        <v>2</v>
      </c>
      <c r="AD458" t="n">
        <v>13</v>
      </c>
      <c r="AE458" t="n">
        <v>13</v>
      </c>
      <c r="AF458" t="n">
        <v>8</v>
      </c>
      <c r="AG458" t="n">
        <v>8</v>
      </c>
      <c r="AH458" t="n">
        <v>1</v>
      </c>
      <c r="AI458" t="n">
        <v>1</v>
      </c>
      <c r="AJ458" t="n">
        <v>8</v>
      </c>
      <c r="AK458" t="n">
        <v>8</v>
      </c>
      <c r="AL458" t="n">
        <v>1</v>
      </c>
      <c r="AM458" t="n">
        <v>1</v>
      </c>
      <c r="AN458" t="n">
        <v>0</v>
      </c>
      <c r="AO458" t="n">
        <v>0</v>
      </c>
      <c r="AP458" t="inlineStr">
        <is>
          <t>No</t>
        </is>
      </c>
      <c r="AQ458" t="inlineStr">
        <is>
          <t>No</t>
        </is>
      </c>
      <c r="AS458">
        <f>HYPERLINK("https://creighton-primo.hosted.exlibrisgroup.com/primo-explore/search?tab=default_tab&amp;search_scope=EVERYTHING&amp;vid=01CRU&amp;lang=en_US&amp;offset=0&amp;query=any,contains,991001402429702656","Catalog Record")</f>
        <v/>
      </c>
      <c r="AT458">
        <f>HYPERLINK("http://www.worldcat.org/oclc/18833288","WorldCat Record")</f>
        <v/>
      </c>
      <c r="AU458" t="inlineStr">
        <is>
          <t>318232336:eng</t>
        </is>
      </c>
      <c r="AV458" t="inlineStr">
        <is>
          <t>18833288</t>
        </is>
      </c>
      <c r="AW458" t="inlineStr">
        <is>
          <t>991001402429702656</t>
        </is>
      </c>
      <c r="AX458" t="inlineStr">
        <is>
          <t>991001402429702656</t>
        </is>
      </c>
      <c r="AY458" t="inlineStr">
        <is>
          <t>2258474270002656</t>
        </is>
      </c>
      <c r="AZ458" t="inlineStr">
        <is>
          <t>BOOK</t>
        </is>
      </c>
      <c r="BB458" t="inlineStr">
        <is>
          <t>9780131713567</t>
        </is>
      </c>
      <c r="BC458" t="inlineStr">
        <is>
          <t>32285000044825</t>
        </is>
      </c>
      <c r="BD458" t="inlineStr">
        <is>
          <t>893432843</t>
        </is>
      </c>
    </row>
    <row r="459">
      <c r="A459" t="inlineStr">
        <is>
          <t>No</t>
        </is>
      </c>
      <c r="B459" t="inlineStr">
        <is>
          <t>LB1050.455 .T68 2002</t>
        </is>
      </c>
      <c r="C459" t="inlineStr">
        <is>
          <t>0                      LB 1050455T  68          2002</t>
        </is>
      </c>
      <c r="D459" t="inlineStr">
        <is>
          <t>Real reading, real writing : content-area strategies / Donna Topping and Roberta McManus ; foreword by Richard Vacca.</t>
        </is>
      </c>
      <c r="F459" t="inlineStr">
        <is>
          <t>No</t>
        </is>
      </c>
      <c r="G459" t="inlineStr">
        <is>
          <t>1</t>
        </is>
      </c>
      <c r="H459" t="inlineStr">
        <is>
          <t>No</t>
        </is>
      </c>
      <c r="I459" t="inlineStr">
        <is>
          <t>No</t>
        </is>
      </c>
      <c r="J459" t="inlineStr">
        <is>
          <t>0</t>
        </is>
      </c>
      <c r="K459" t="inlineStr">
        <is>
          <t>Topping, Donna.</t>
        </is>
      </c>
      <c r="L459" t="inlineStr">
        <is>
          <t>Portsmouth, NH : Heinemann, c2002.</t>
        </is>
      </c>
      <c r="M459" t="inlineStr">
        <is>
          <t>2002</t>
        </is>
      </c>
      <c r="O459" t="inlineStr">
        <is>
          <t>eng</t>
        </is>
      </c>
      <c r="P459" t="inlineStr">
        <is>
          <t>nhu</t>
        </is>
      </c>
      <c r="R459" t="inlineStr">
        <is>
          <t xml:space="preserve">LB </t>
        </is>
      </c>
      <c r="S459" t="n">
        <v>3</v>
      </c>
      <c r="T459" t="n">
        <v>3</v>
      </c>
      <c r="U459" t="inlineStr">
        <is>
          <t>2004-10-10</t>
        </is>
      </c>
      <c r="V459" t="inlineStr">
        <is>
          <t>2004-10-10</t>
        </is>
      </c>
      <c r="W459" t="inlineStr">
        <is>
          <t>2002-11-04</t>
        </is>
      </c>
      <c r="X459" t="inlineStr">
        <is>
          <t>2002-11-04</t>
        </is>
      </c>
      <c r="Y459" t="n">
        <v>770</v>
      </c>
      <c r="Z459" t="n">
        <v>711</v>
      </c>
      <c r="AA459" t="n">
        <v>718</v>
      </c>
      <c r="AB459" t="n">
        <v>4</v>
      </c>
      <c r="AC459" t="n">
        <v>4</v>
      </c>
      <c r="AD459" t="n">
        <v>31</v>
      </c>
      <c r="AE459" t="n">
        <v>31</v>
      </c>
      <c r="AF459" t="n">
        <v>15</v>
      </c>
      <c r="AG459" t="n">
        <v>15</v>
      </c>
      <c r="AH459" t="n">
        <v>9</v>
      </c>
      <c r="AI459" t="n">
        <v>9</v>
      </c>
      <c r="AJ459" t="n">
        <v>14</v>
      </c>
      <c r="AK459" t="n">
        <v>14</v>
      </c>
      <c r="AL459" t="n">
        <v>3</v>
      </c>
      <c r="AM459" t="n">
        <v>3</v>
      </c>
      <c r="AN459" t="n">
        <v>0</v>
      </c>
      <c r="AO459" t="n">
        <v>0</v>
      </c>
      <c r="AP459" t="inlineStr">
        <is>
          <t>No</t>
        </is>
      </c>
      <c r="AQ459" t="inlineStr">
        <is>
          <t>Yes</t>
        </is>
      </c>
      <c r="AR459">
        <f>HYPERLINK("http://catalog.hathitrust.org/Record/008326810","HathiTrust Record")</f>
        <v/>
      </c>
      <c r="AS459">
        <f>HYPERLINK("https://creighton-primo.hosted.exlibrisgroup.com/primo-explore/search?tab=default_tab&amp;search_scope=EVERYTHING&amp;vid=01CRU&amp;lang=en_US&amp;offset=0&amp;query=any,contains,991003898479702656","Catalog Record")</f>
        <v/>
      </c>
      <c r="AT459">
        <f>HYPERLINK("http://www.worldcat.org/oclc/48706392","WorldCat Record")</f>
        <v/>
      </c>
      <c r="AU459" t="inlineStr">
        <is>
          <t>905403530:eng</t>
        </is>
      </c>
      <c r="AV459" t="inlineStr">
        <is>
          <t>48706392</t>
        </is>
      </c>
      <c r="AW459" t="inlineStr">
        <is>
          <t>991003898479702656</t>
        </is>
      </c>
      <c r="AX459" t="inlineStr">
        <is>
          <t>991003898479702656</t>
        </is>
      </c>
      <c r="AY459" t="inlineStr">
        <is>
          <t>2256389780002656</t>
        </is>
      </c>
      <c r="AZ459" t="inlineStr">
        <is>
          <t>BOOK</t>
        </is>
      </c>
      <c r="BB459" t="inlineStr">
        <is>
          <t>9780325004280</t>
        </is>
      </c>
      <c r="BC459" t="inlineStr">
        <is>
          <t>32285004659545</t>
        </is>
      </c>
      <c r="BD459" t="inlineStr">
        <is>
          <t>893888076</t>
        </is>
      </c>
    </row>
    <row r="460">
      <c r="A460" t="inlineStr">
        <is>
          <t>No</t>
        </is>
      </c>
      <c r="B460" t="inlineStr">
        <is>
          <t>LB1050.46 .W547 1997</t>
        </is>
      </c>
      <c r="C460" t="inlineStr">
        <is>
          <t>0                      LB 1050460W  547         1997</t>
        </is>
      </c>
      <c r="D460" t="inlineStr">
        <is>
          <t>Literacy portfolios : using assessment to guide instruction / Roberta B. Wiener, Judith H. Cohen</t>
        </is>
      </c>
      <c r="F460" t="inlineStr">
        <is>
          <t>No</t>
        </is>
      </c>
      <c r="G460" t="inlineStr">
        <is>
          <t>1</t>
        </is>
      </c>
      <c r="H460" t="inlineStr">
        <is>
          <t>No</t>
        </is>
      </c>
      <c r="I460" t="inlineStr">
        <is>
          <t>No</t>
        </is>
      </c>
      <c r="J460" t="inlineStr">
        <is>
          <t>0</t>
        </is>
      </c>
      <c r="K460" t="inlineStr">
        <is>
          <t>Wiener, Roberta B.</t>
        </is>
      </c>
      <c r="L460" t="inlineStr">
        <is>
          <t>Upper Saddle River, N.J. : Merrill, c1997.</t>
        </is>
      </c>
      <c r="M460" t="inlineStr">
        <is>
          <t>1997</t>
        </is>
      </c>
      <c r="O460" t="inlineStr">
        <is>
          <t>eng</t>
        </is>
      </c>
      <c r="P460" t="inlineStr">
        <is>
          <t>nju</t>
        </is>
      </c>
      <c r="R460" t="inlineStr">
        <is>
          <t xml:space="preserve">LB </t>
        </is>
      </c>
      <c r="S460" t="n">
        <v>1</v>
      </c>
      <c r="T460" t="n">
        <v>1</v>
      </c>
      <c r="U460" t="inlineStr">
        <is>
          <t>2006-11-07</t>
        </is>
      </c>
      <c r="V460" t="inlineStr">
        <is>
          <t>2006-11-07</t>
        </is>
      </c>
      <c r="W460" t="inlineStr">
        <is>
          <t>2006-11-07</t>
        </is>
      </c>
      <c r="X460" t="inlineStr">
        <is>
          <t>2006-11-07</t>
        </is>
      </c>
      <c r="Y460" t="n">
        <v>263</v>
      </c>
      <c r="Z460" t="n">
        <v>227</v>
      </c>
      <c r="AA460" t="n">
        <v>230</v>
      </c>
      <c r="AB460" t="n">
        <v>3</v>
      </c>
      <c r="AC460" t="n">
        <v>3</v>
      </c>
      <c r="AD460" t="n">
        <v>15</v>
      </c>
      <c r="AE460" t="n">
        <v>15</v>
      </c>
      <c r="AF460" t="n">
        <v>7</v>
      </c>
      <c r="AG460" t="n">
        <v>7</v>
      </c>
      <c r="AH460" t="n">
        <v>3</v>
      </c>
      <c r="AI460" t="n">
        <v>3</v>
      </c>
      <c r="AJ460" t="n">
        <v>8</v>
      </c>
      <c r="AK460" t="n">
        <v>8</v>
      </c>
      <c r="AL460" t="n">
        <v>2</v>
      </c>
      <c r="AM460" t="n">
        <v>2</v>
      </c>
      <c r="AN460" t="n">
        <v>0</v>
      </c>
      <c r="AO460" t="n">
        <v>0</v>
      </c>
      <c r="AP460" t="inlineStr">
        <is>
          <t>No</t>
        </is>
      </c>
      <c r="AQ460" t="inlineStr">
        <is>
          <t>Yes</t>
        </is>
      </c>
      <c r="AR460">
        <f>HYPERLINK("http://catalog.hathitrust.org/Record/003126595","HathiTrust Record")</f>
        <v/>
      </c>
      <c r="AS460">
        <f>HYPERLINK("https://creighton-primo.hosted.exlibrisgroup.com/primo-explore/search?tab=default_tab&amp;search_scope=EVERYTHING&amp;vid=01CRU&amp;lang=en_US&amp;offset=0&amp;query=any,contains,991004971249702656","Catalog Record")</f>
        <v/>
      </c>
      <c r="AT460">
        <f>HYPERLINK("http://www.worldcat.org/oclc/35666887","WorldCat Record")</f>
        <v/>
      </c>
      <c r="AU460" t="inlineStr">
        <is>
          <t>40485375:eng</t>
        </is>
      </c>
      <c r="AV460" t="inlineStr">
        <is>
          <t>35666887</t>
        </is>
      </c>
      <c r="AW460" t="inlineStr">
        <is>
          <t>991004971249702656</t>
        </is>
      </c>
      <c r="AX460" t="inlineStr">
        <is>
          <t>991004971249702656</t>
        </is>
      </c>
      <c r="AY460" t="inlineStr">
        <is>
          <t>2261522040002656</t>
        </is>
      </c>
      <c r="AZ460" t="inlineStr">
        <is>
          <t>BOOK</t>
        </is>
      </c>
      <c r="BB460" t="inlineStr">
        <is>
          <t>9780024274724</t>
        </is>
      </c>
      <c r="BC460" t="inlineStr">
        <is>
          <t>32285005236962</t>
        </is>
      </c>
      <c r="BD460" t="inlineStr">
        <is>
          <t>893501149</t>
        </is>
      </c>
    </row>
    <row r="461">
      <c r="A461" t="inlineStr">
        <is>
          <t>No</t>
        </is>
      </c>
      <c r="B461" t="inlineStr">
        <is>
          <t>LB1050.5 .B69</t>
        </is>
      </c>
      <c r="C461" t="inlineStr">
        <is>
          <t>0                      LB 1050500B  69</t>
        </is>
      </c>
      <c r="D461" t="inlineStr">
        <is>
          <t>Brain function and reading disabilities / edited by Lester Tarnopol and Muriel Tarnopol.</t>
        </is>
      </c>
      <c r="F461" t="inlineStr">
        <is>
          <t>No</t>
        </is>
      </c>
      <c r="G461" t="inlineStr">
        <is>
          <t>1</t>
        </is>
      </c>
      <c r="H461" t="inlineStr">
        <is>
          <t>No</t>
        </is>
      </c>
      <c r="I461" t="inlineStr">
        <is>
          <t>No</t>
        </is>
      </c>
      <c r="J461" t="inlineStr">
        <is>
          <t>0</t>
        </is>
      </c>
      <c r="L461" t="inlineStr">
        <is>
          <t>Baltimore : University Park Press, c1977.</t>
        </is>
      </c>
      <c r="M461" t="inlineStr">
        <is>
          <t>1977</t>
        </is>
      </c>
      <c r="O461" t="inlineStr">
        <is>
          <t>eng</t>
        </is>
      </c>
      <c r="P461" t="inlineStr">
        <is>
          <t>mdu</t>
        </is>
      </c>
      <c r="R461" t="inlineStr">
        <is>
          <t xml:space="preserve">LB </t>
        </is>
      </c>
      <c r="S461" t="n">
        <v>1</v>
      </c>
      <c r="T461" t="n">
        <v>1</v>
      </c>
      <c r="U461" t="inlineStr">
        <is>
          <t>2003-11-21</t>
        </is>
      </c>
      <c r="V461" t="inlineStr">
        <is>
          <t>2003-11-21</t>
        </is>
      </c>
      <c r="W461" t="inlineStr">
        <is>
          <t>1997-05-04</t>
        </is>
      </c>
      <c r="X461" t="inlineStr">
        <is>
          <t>1997-05-04</t>
        </is>
      </c>
      <c r="Y461" t="n">
        <v>463</v>
      </c>
      <c r="Z461" t="n">
        <v>370</v>
      </c>
      <c r="AA461" t="n">
        <v>376</v>
      </c>
      <c r="AB461" t="n">
        <v>2</v>
      </c>
      <c r="AC461" t="n">
        <v>2</v>
      </c>
      <c r="AD461" t="n">
        <v>17</v>
      </c>
      <c r="AE461" t="n">
        <v>17</v>
      </c>
      <c r="AF461" t="n">
        <v>5</v>
      </c>
      <c r="AG461" t="n">
        <v>5</v>
      </c>
      <c r="AH461" t="n">
        <v>5</v>
      </c>
      <c r="AI461" t="n">
        <v>5</v>
      </c>
      <c r="AJ461" t="n">
        <v>10</v>
      </c>
      <c r="AK461" t="n">
        <v>10</v>
      </c>
      <c r="AL461" t="n">
        <v>1</v>
      </c>
      <c r="AM461" t="n">
        <v>1</v>
      </c>
      <c r="AN461" t="n">
        <v>0</v>
      </c>
      <c r="AO461" t="n">
        <v>0</v>
      </c>
      <c r="AP461" t="inlineStr">
        <is>
          <t>No</t>
        </is>
      </c>
      <c r="AQ461" t="inlineStr">
        <is>
          <t>No</t>
        </is>
      </c>
      <c r="AS461">
        <f>HYPERLINK("https://creighton-primo.hosted.exlibrisgroup.com/primo-explore/search?tab=default_tab&amp;search_scope=EVERYTHING&amp;vid=01CRU&amp;lang=en_US&amp;offset=0&amp;query=any,contains,991004287429702656","Catalog Record")</f>
        <v/>
      </c>
      <c r="AT461">
        <f>HYPERLINK("http://www.worldcat.org/oclc/2929612","WorldCat Record")</f>
        <v/>
      </c>
      <c r="AU461" t="inlineStr">
        <is>
          <t>355386455:eng</t>
        </is>
      </c>
      <c r="AV461" t="inlineStr">
        <is>
          <t>2929612</t>
        </is>
      </c>
      <c r="AW461" t="inlineStr">
        <is>
          <t>991004287429702656</t>
        </is>
      </c>
      <c r="AX461" t="inlineStr">
        <is>
          <t>991004287429702656</t>
        </is>
      </c>
      <c r="AY461" t="inlineStr">
        <is>
          <t>2267621620002656</t>
        </is>
      </c>
      <c r="AZ461" t="inlineStr">
        <is>
          <t>BOOK</t>
        </is>
      </c>
      <c r="BB461" t="inlineStr">
        <is>
          <t>9780839111306</t>
        </is>
      </c>
      <c r="BC461" t="inlineStr">
        <is>
          <t>32285002632346</t>
        </is>
      </c>
      <c r="BD461" t="inlineStr">
        <is>
          <t>893411341</t>
        </is>
      </c>
    </row>
    <row r="462">
      <c r="A462" t="inlineStr">
        <is>
          <t>No</t>
        </is>
      </c>
      <c r="B462" t="inlineStr">
        <is>
          <t>LB1050.5 .D97</t>
        </is>
      </c>
      <c r="C462" t="inlineStr">
        <is>
          <t>0                      LB 1050500D  97</t>
        </is>
      </c>
      <c r="D462" t="inlineStr">
        <is>
          <t>Dyslexia research and its applications to education / edited by George Th. Pavlidis and T.R. Miles.</t>
        </is>
      </c>
      <c r="F462" t="inlineStr">
        <is>
          <t>No</t>
        </is>
      </c>
      <c r="G462" t="inlineStr">
        <is>
          <t>1</t>
        </is>
      </c>
      <c r="H462" t="inlineStr">
        <is>
          <t>No</t>
        </is>
      </c>
      <c r="I462" t="inlineStr">
        <is>
          <t>No</t>
        </is>
      </c>
      <c r="J462" t="inlineStr">
        <is>
          <t>0</t>
        </is>
      </c>
      <c r="L462" t="inlineStr">
        <is>
          <t>Chichester ; New York : Wiley, c1981.</t>
        </is>
      </c>
      <c r="M462" t="inlineStr">
        <is>
          <t>1981</t>
        </is>
      </c>
      <c r="O462" t="inlineStr">
        <is>
          <t>eng</t>
        </is>
      </c>
      <c r="P462" t="inlineStr">
        <is>
          <t>nyu</t>
        </is>
      </c>
      <c r="R462" t="inlineStr">
        <is>
          <t xml:space="preserve">LB </t>
        </is>
      </c>
      <c r="S462" t="n">
        <v>6</v>
      </c>
      <c r="T462" t="n">
        <v>6</v>
      </c>
      <c r="U462" t="inlineStr">
        <is>
          <t>2003-11-21</t>
        </is>
      </c>
      <c r="V462" t="inlineStr">
        <is>
          <t>2003-11-21</t>
        </is>
      </c>
      <c r="W462" t="inlineStr">
        <is>
          <t>1990-04-26</t>
        </is>
      </c>
      <c r="X462" t="inlineStr">
        <is>
          <t>1990-04-26</t>
        </is>
      </c>
      <c r="Y462" t="n">
        <v>600</v>
      </c>
      <c r="Z462" t="n">
        <v>447</v>
      </c>
      <c r="AA462" t="n">
        <v>455</v>
      </c>
      <c r="AB462" t="n">
        <v>2</v>
      </c>
      <c r="AC462" t="n">
        <v>2</v>
      </c>
      <c r="AD462" t="n">
        <v>19</v>
      </c>
      <c r="AE462" t="n">
        <v>19</v>
      </c>
      <c r="AF462" t="n">
        <v>11</v>
      </c>
      <c r="AG462" t="n">
        <v>11</v>
      </c>
      <c r="AH462" t="n">
        <v>4</v>
      </c>
      <c r="AI462" t="n">
        <v>4</v>
      </c>
      <c r="AJ462" t="n">
        <v>9</v>
      </c>
      <c r="AK462" t="n">
        <v>9</v>
      </c>
      <c r="AL462" t="n">
        <v>1</v>
      </c>
      <c r="AM462" t="n">
        <v>1</v>
      </c>
      <c r="AN462" t="n">
        <v>0</v>
      </c>
      <c r="AO462" t="n">
        <v>0</v>
      </c>
      <c r="AP462" t="inlineStr">
        <is>
          <t>No</t>
        </is>
      </c>
      <c r="AQ462" t="inlineStr">
        <is>
          <t>Yes</t>
        </is>
      </c>
      <c r="AR462">
        <f>HYPERLINK("http://catalog.hathitrust.org/Record/000185951","HathiTrust Record")</f>
        <v/>
      </c>
      <c r="AS462">
        <f>HYPERLINK("https://creighton-primo.hosted.exlibrisgroup.com/primo-explore/search?tab=default_tab&amp;search_scope=EVERYTHING&amp;vid=01CRU&amp;lang=en_US&amp;offset=0&amp;query=any,contains,991005201299702656","Catalog Record")</f>
        <v/>
      </c>
      <c r="AT462">
        <f>HYPERLINK("http://www.worldcat.org/oclc/8085225","WorldCat Record")</f>
        <v/>
      </c>
      <c r="AU462" t="inlineStr">
        <is>
          <t>353255906:eng</t>
        </is>
      </c>
      <c r="AV462" t="inlineStr">
        <is>
          <t>8085225</t>
        </is>
      </c>
      <c r="AW462" t="inlineStr">
        <is>
          <t>991005201299702656</t>
        </is>
      </c>
      <c r="AX462" t="inlineStr">
        <is>
          <t>991005201299702656</t>
        </is>
      </c>
      <c r="AY462" t="inlineStr">
        <is>
          <t>2257006000002656</t>
        </is>
      </c>
      <c r="AZ462" t="inlineStr">
        <is>
          <t>BOOK</t>
        </is>
      </c>
      <c r="BC462" t="inlineStr">
        <is>
          <t>32285000126630</t>
        </is>
      </c>
      <c r="BD462" t="inlineStr">
        <is>
          <t>893625609</t>
        </is>
      </c>
    </row>
    <row r="463">
      <c r="A463" t="inlineStr">
        <is>
          <t>No</t>
        </is>
      </c>
      <c r="B463" t="inlineStr">
        <is>
          <t>LB1050.5 .E37 1988</t>
        </is>
      </c>
      <c r="C463" t="inlineStr">
        <is>
          <t>0                      LB 1050500E  37          1988</t>
        </is>
      </c>
      <c r="D463" t="inlineStr">
        <is>
          <t>Diagnosis and remediation of the disabled reader / Eldon E. Ekwall, James L. Shanker.</t>
        </is>
      </c>
      <c r="F463" t="inlineStr">
        <is>
          <t>No</t>
        </is>
      </c>
      <c r="G463" t="inlineStr">
        <is>
          <t>1</t>
        </is>
      </c>
      <c r="H463" t="inlineStr">
        <is>
          <t>No</t>
        </is>
      </c>
      <c r="I463" t="inlineStr">
        <is>
          <t>No</t>
        </is>
      </c>
      <c r="J463" t="inlineStr">
        <is>
          <t>0</t>
        </is>
      </c>
      <c r="K463" t="inlineStr">
        <is>
          <t>Ekwall, Eldon E.</t>
        </is>
      </c>
      <c r="L463" t="inlineStr">
        <is>
          <t>Boston : Allyn and Bacon, c1988.</t>
        </is>
      </c>
      <c r="M463" t="inlineStr">
        <is>
          <t>1988</t>
        </is>
      </c>
      <c r="N463" t="inlineStr">
        <is>
          <t>3rd ed.</t>
        </is>
      </c>
      <c r="O463" t="inlineStr">
        <is>
          <t>eng</t>
        </is>
      </c>
      <c r="P463" t="inlineStr">
        <is>
          <t>mau</t>
        </is>
      </c>
      <c r="R463" t="inlineStr">
        <is>
          <t xml:space="preserve">LB </t>
        </is>
      </c>
      <c r="S463" t="n">
        <v>2</v>
      </c>
      <c r="T463" t="n">
        <v>2</v>
      </c>
      <c r="U463" t="inlineStr">
        <is>
          <t>2000-09-28</t>
        </is>
      </c>
      <c r="V463" t="inlineStr">
        <is>
          <t>2000-09-28</t>
        </is>
      </c>
      <c r="W463" t="inlineStr">
        <is>
          <t>1995-10-30</t>
        </is>
      </c>
      <c r="X463" t="inlineStr">
        <is>
          <t>1995-10-30</t>
        </is>
      </c>
      <c r="Y463" t="n">
        <v>303</v>
      </c>
      <c r="Z463" t="n">
        <v>251</v>
      </c>
      <c r="AA463" t="n">
        <v>634</v>
      </c>
      <c r="AB463" t="n">
        <v>3</v>
      </c>
      <c r="AC463" t="n">
        <v>5</v>
      </c>
      <c r="AD463" t="n">
        <v>9</v>
      </c>
      <c r="AE463" t="n">
        <v>21</v>
      </c>
      <c r="AF463" t="n">
        <v>4</v>
      </c>
      <c r="AG463" t="n">
        <v>9</v>
      </c>
      <c r="AH463" t="n">
        <v>0</v>
      </c>
      <c r="AI463" t="n">
        <v>2</v>
      </c>
      <c r="AJ463" t="n">
        <v>5</v>
      </c>
      <c r="AK463" t="n">
        <v>12</v>
      </c>
      <c r="AL463" t="n">
        <v>2</v>
      </c>
      <c r="AM463" t="n">
        <v>4</v>
      </c>
      <c r="AN463" t="n">
        <v>0</v>
      </c>
      <c r="AO463" t="n">
        <v>0</v>
      </c>
      <c r="AP463" t="inlineStr">
        <is>
          <t>No</t>
        </is>
      </c>
      <c r="AQ463" t="inlineStr">
        <is>
          <t>Yes</t>
        </is>
      </c>
      <c r="AR463">
        <f>HYPERLINK("http://catalog.hathitrust.org/Record/101879150","HathiTrust Record")</f>
        <v/>
      </c>
      <c r="AS463">
        <f>HYPERLINK("https://creighton-primo.hosted.exlibrisgroup.com/primo-explore/search?tab=default_tab&amp;search_scope=EVERYTHING&amp;vid=01CRU&amp;lang=en_US&amp;offset=0&amp;query=any,contains,991001130989702656","Catalog Record")</f>
        <v/>
      </c>
      <c r="AT463">
        <f>HYPERLINK("http://www.worldcat.org/oclc/16683053","WorldCat Record")</f>
        <v/>
      </c>
      <c r="AU463" t="inlineStr">
        <is>
          <t>2626173:eng</t>
        </is>
      </c>
      <c r="AV463" t="inlineStr">
        <is>
          <t>16683053</t>
        </is>
      </c>
      <c r="AW463" t="inlineStr">
        <is>
          <t>991001130989702656</t>
        </is>
      </c>
      <c r="AX463" t="inlineStr">
        <is>
          <t>991001130989702656</t>
        </is>
      </c>
      <c r="AY463" t="inlineStr">
        <is>
          <t>2272115040002656</t>
        </is>
      </c>
      <c r="AZ463" t="inlineStr">
        <is>
          <t>BOOK</t>
        </is>
      </c>
      <c r="BB463" t="inlineStr">
        <is>
          <t>9780205111749</t>
        </is>
      </c>
      <c r="BC463" t="inlineStr">
        <is>
          <t>32285002069200</t>
        </is>
      </c>
      <c r="BD463" t="inlineStr">
        <is>
          <t>893596221</t>
        </is>
      </c>
    </row>
    <row r="464">
      <c r="A464" t="inlineStr">
        <is>
          <t>No</t>
        </is>
      </c>
      <c r="B464" t="inlineStr">
        <is>
          <t>LB1050.5 .J6 1977</t>
        </is>
      </c>
      <c r="C464" t="inlineStr">
        <is>
          <t>0                      LB 1050500J  6           1977</t>
        </is>
      </c>
      <c r="D464" t="inlineStr">
        <is>
          <t>Dyslexia in the classroom / Dale R. Jordan.</t>
        </is>
      </c>
      <c r="F464" t="inlineStr">
        <is>
          <t>No</t>
        </is>
      </c>
      <c r="G464" t="inlineStr">
        <is>
          <t>1</t>
        </is>
      </c>
      <c r="H464" t="inlineStr">
        <is>
          <t>No</t>
        </is>
      </c>
      <c r="I464" t="inlineStr">
        <is>
          <t>No</t>
        </is>
      </c>
      <c r="J464" t="inlineStr">
        <is>
          <t>0</t>
        </is>
      </c>
      <c r="K464" t="inlineStr">
        <is>
          <t>Jordan, Dale R.</t>
        </is>
      </c>
      <c r="L464" t="inlineStr">
        <is>
          <t>Columbus, Ohio : C. E. Merrill Pub. Co., c1977.</t>
        </is>
      </c>
      <c r="M464" t="inlineStr">
        <is>
          <t>1977</t>
        </is>
      </c>
      <c r="N464" t="inlineStr">
        <is>
          <t>2d ed.</t>
        </is>
      </c>
      <c r="O464" t="inlineStr">
        <is>
          <t>eng</t>
        </is>
      </c>
      <c r="P464" t="inlineStr">
        <is>
          <t>ohu</t>
        </is>
      </c>
      <c r="R464" t="inlineStr">
        <is>
          <t xml:space="preserve">LB </t>
        </is>
      </c>
      <c r="S464" t="n">
        <v>3</v>
      </c>
      <c r="T464" t="n">
        <v>3</v>
      </c>
      <c r="U464" t="inlineStr">
        <is>
          <t>2010-09-07</t>
        </is>
      </c>
      <c r="V464" t="inlineStr">
        <is>
          <t>2010-09-07</t>
        </is>
      </c>
      <c r="W464" t="inlineStr">
        <is>
          <t>1997-07-02</t>
        </is>
      </c>
      <c r="X464" t="inlineStr">
        <is>
          <t>1997-07-02</t>
        </is>
      </c>
      <c r="Y464" t="n">
        <v>346</v>
      </c>
      <c r="Z464" t="n">
        <v>290</v>
      </c>
      <c r="AA464" t="n">
        <v>565</v>
      </c>
      <c r="AB464" t="n">
        <v>5</v>
      </c>
      <c r="AC464" t="n">
        <v>9</v>
      </c>
      <c r="AD464" t="n">
        <v>11</v>
      </c>
      <c r="AE464" t="n">
        <v>22</v>
      </c>
      <c r="AF464" t="n">
        <v>4</v>
      </c>
      <c r="AG464" t="n">
        <v>8</v>
      </c>
      <c r="AH464" t="n">
        <v>1</v>
      </c>
      <c r="AI464" t="n">
        <v>2</v>
      </c>
      <c r="AJ464" t="n">
        <v>4</v>
      </c>
      <c r="AK464" t="n">
        <v>9</v>
      </c>
      <c r="AL464" t="n">
        <v>4</v>
      </c>
      <c r="AM464" t="n">
        <v>8</v>
      </c>
      <c r="AN464" t="n">
        <v>0</v>
      </c>
      <c r="AO464" t="n">
        <v>0</v>
      </c>
      <c r="AP464" t="inlineStr">
        <is>
          <t>No</t>
        </is>
      </c>
      <c r="AQ464" t="inlineStr">
        <is>
          <t>Yes</t>
        </is>
      </c>
      <c r="AR464">
        <f>HYPERLINK("http://catalog.hathitrust.org/Record/000376687","HathiTrust Record")</f>
        <v/>
      </c>
      <c r="AS464">
        <f>HYPERLINK("https://creighton-primo.hosted.exlibrisgroup.com/primo-explore/search?tab=default_tab&amp;search_scope=EVERYTHING&amp;vid=01CRU&amp;lang=en_US&amp;offset=0&amp;query=any,contains,991004258479702656","Catalog Record")</f>
        <v/>
      </c>
      <c r="AT464">
        <f>HYPERLINK("http://www.worldcat.org/oclc/2834225","WorldCat Record")</f>
        <v/>
      </c>
      <c r="AU464" t="inlineStr">
        <is>
          <t>375990172:eng</t>
        </is>
      </c>
      <c r="AV464" t="inlineStr">
        <is>
          <t>2834225</t>
        </is>
      </c>
      <c r="AW464" t="inlineStr">
        <is>
          <t>991004258479702656</t>
        </is>
      </c>
      <c r="AX464" t="inlineStr">
        <is>
          <t>991004258479702656</t>
        </is>
      </c>
      <c r="AY464" t="inlineStr">
        <is>
          <t>2263757800002656</t>
        </is>
      </c>
      <c r="AZ464" t="inlineStr">
        <is>
          <t>BOOK</t>
        </is>
      </c>
      <c r="BB464" t="inlineStr">
        <is>
          <t>9780675084666</t>
        </is>
      </c>
      <c r="BC464" t="inlineStr">
        <is>
          <t>32285002844784</t>
        </is>
      </c>
      <c r="BD464" t="inlineStr">
        <is>
          <t>893904782</t>
        </is>
      </c>
    </row>
    <row r="465">
      <c r="A465" t="inlineStr">
        <is>
          <t>No</t>
        </is>
      </c>
      <c r="B465" t="inlineStr">
        <is>
          <t>LB1050.5 .R41</t>
        </is>
      </c>
      <c r="C465" t="inlineStr">
        <is>
          <t>0                      LB 1050500R  41</t>
        </is>
      </c>
      <c r="D465" t="inlineStr">
        <is>
          <t>Readings in dyslexia.</t>
        </is>
      </c>
      <c r="F465" t="inlineStr">
        <is>
          <t>No</t>
        </is>
      </c>
      <c r="G465" t="inlineStr">
        <is>
          <t>1</t>
        </is>
      </c>
      <c r="H465" t="inlineStr">
        <is>
          <t>No</t>
        </is>
      </c>
      <c r="I465" t="inlineStr">
        <is>
          <t>No</t>
        </is>
      </c>
      <c r="J465" t="inlineStr">
        <is>
          <t>0</t>
        </is>
      </c>
      <c r="L465" t="inlineStr">
        <is>
          <t>Guilford, Conn. : Special Learning Corporation, 1978-</t>
        </is>
      </c>
      <c r="M465" t="inlineStr">
        <is>
          <t>1978</t>
        </is>
      </c>
      <c r="N465" t="inlineStr">
        <is>
          <t>1st ed.</t>
        </is>
      </c>
      <c r="O465" t="inlineStr">
        <is>
          <t>eng</t>
        </is>
      </c>
      <c r="P465" t="inlineStr">
        <is>
          <t>ctu</t>
        </is>
      </c>
      <c r="Q465" t="inlineStr">
        <is>
          <t>Special education series</t>
        </is>
      </c>
      <c r="R465" t="inlineStr">
        <is>
          <t xml:space="preserve">LB </t>
        </is>
      </c>
      <c r="S465" t="n">
        <v>2</v>
      </c>
      <c r="T465" t="n">
        <v>2</v>
      </c>
      <c r="U465" t="inlineStr">
        <is>
          <t>2000-09-28</t>
        </is>
      </c>
      <c r="V465" t="inlineStr">
        <is>
          <t>2000-09-28</t>
        </is>
      </c>
      <c r="W465" t="inlineStr">
        <is>
          <t>1992-10-27</t>
        </is>
      </c>
      <c r="X465" t="inlineStr">
        <is>
          <t>1992-10-27</t>
        </is>
      </c>
      <c r="Y465" t="n">
        <v>364</v>
      </c>
      <c r="Z465" t="n">
        <v>324</v>
      </c>
      <c r="AA465" t="n">
        <v>331</v>
      </c>
      <c r="AB465" t="n">
        <v>6</v>
      </c>
      <c r="AC465" t="n">
        <v>6</v>
      </c>
      <c r="AD465" t="n">
        <v>12</v>
      </c>
      <c r="AE465" t="n">
        <v>12</v>
      </c>
      <c r="AF465" t="n">
        <v>5</v>
      </c>
      <c r="AG465" t="n">
        <v>5</v>
      </c>
      <c r="AH465" t="n">
        <v>0</v>
      </c>
      <c r="AI465" t="n">
        <v>0</v>
      </c>
      <c r="AJ465" t="n">
        <v>5</v>
      </c>
      <c r="AK465" t="n">
        <v>5</v>
      </c>
      <c r="AL465" t="n">
        <v>4</v>
      </c>
      <c r="AM465" t="n">
        <v>4</v>
      </c>
      <c r="AN465" t="n">
        <v>0</v>
      </c>
      <c r="AO465" t="n">
        <v>0</v>
      </c>
      <c r="AP465" t="inlineStr">
        <is>
          <t>No</t>
        </is>
      </c>
      <c r="AQ465" t="inlineStr">
        <is>
          <t>Yes</t>
        </is>
      </c>
      <c r="AR465">
        <f>HYPERLINK("http://catalog.hathitrust.org/Record/004425142","HathiTrust Record")</f>
        <v/>
      </c>
      <c r="AS465">
        <f>HYPERLINK("https://creighton-primo.hosted.exlibrisgroup.com/primo-explore/search?tab=default_tab&amp;search_scope=EVERYTHING&amp;vid=01CRU&amp;lang=en_US&amp;offset=0&amp;query=any,contains,991004479509702656","Catalog Record")</f>
        <v/>
      </c>
      <c r="AT465">
        <f>HYPERLINK("http://www.worldcat.org/oclc/3624063","WorldCat Record")</f>
        <v/>
      </c>
      <c r="AU465" t="inlineStr">
        <is>
          <t>54206087:eng</t>
        </is>
      </c>
      <c r="AV465" t="inlineStr">
        <is>
          <t>3624063</t>
        </is>
      </c>
      <c r="AW465" t="inlineStr">
        <is>
          <t>991004479509702656</t>
        </is>
      </c>
      <c r="AX465" t="inlineStr">
        <is>
          <t>991004479509702656</t>
        </is>
      </c>
      <c r="AY465" t="inlineStr">
        <is>
          <t>2272222850002656</t>
        </is>
      </c>
      <c r="AZ465" t="inlineStr">
        <is>
          <t>BOOK</t>
        </is>
      </c>
      <c r="BB465" t="inlineStr">
        <is>
          <t>9780895680143</t>
        </is>
      </c>
      <c r="BC465" t="inlineStr">
        <is>
          <t>32285001379105</t>
        </is>
      </c>
      <c r="BD465" t="inlineStr">
        <is>
          <t>893350058</t>
        </is>
      </c>
    </row>
    <row r="466">
      <c r="A466" t="inlineStr">
        <is>
          <t>No</t>
        </is>
      </c>
      <c r="B466" t="inlineStr">
        <is>
          <t>LB1050.5 .R44 1986</t>
        </is>
      </c>
      <c r="C466" t="inlineStr">
        <is>
          <t>0                      LB 1050500R  44          1986</t>
        </is>
      </c>
      <c r="D466" t="inlineStr">
        <is>
          <t>Learning difficulties in reading and writing : a teacher's manual / Rea Reason and Rene Boote.</t>
        </is>
      </c>
      <c r="F466" t="inlineStr">
        <is>
          <t>No</t>
        </is>
      </c>
      <c r="G466" t="inlineStr">
        <is>
          <t>1</t>
        </is>
      </c>
      <c r="H466" t="inlineStr">
        <is>
          <t>No</t>
        </is>
      </c>
      <c r="I466" t="inlineStr">
        <is>
          <t>No</t>
        </is>
      </c>
      <c r="J466" t="inlineStr">
        <is>
          <t>0</t>
        </is>
      </c>
      <c r="K466" t="inlineStr">
        <is>
          <t>Reason, Rea.</t>
        </is>
      </c>
      <c r="L466" t="inlineStr">
        <is>
          <t>Windsor, Berkshire ; Philadelphia : NFER-Nelson, 1986.</t>
        </is>
      </c>
      <c r="M466" t="inlineStr">
        <is>
          <t>1986</t>
        </is>
      </c>
      <c r="O466" t="inlineStr">
        <is>
          <t>eng</t>
        </is>
      </c>
      <c r="P466" t="inlineStr">
        <is>
          <t>enk</t>
        </is>
      </c>
      <c r="R466" t="inlineStr">
        <is>
          <t xml:space="preserve">LB </t>
        </is>
      </c>
      <c r="S466" t="n">
        <v>2</v>
      </c>
      <c r="T466" t="n">
        <v>2</v>
      </c>
      <c r="U466" t="inlineStr">
        <is>
          <t>2000-09-28</t>
        </is>
      </c>
      <c r="V466" t="inlineStr">
        <is>
          <t>2000-09-28</t>
        </is>
      </c>
      <c r="W466" t="inlineStr">
        <is>
          <t>1992-10-27</t>
        </is>
      </c>
      <c r="X466" t="inlineStr">
        <is>
          <t>1992-10-27</t>
        </is>
      </c>
      <c r="Y466" t="n">
        <v>194</v>
      </c>
      <c r="Z466" t="n">
        <v>101</v>
      </c>
      <c r="AA466" t="n">
        <v>107</v>
      </c>
      <c r="AB466" t="n">
        <v>2</v>
      </c>
      <c r="AC466" t="n">
        <v>2</v>
      </c>
      <c r="AD466" t="n">
        <v>3</v>
      </c>
      <c r="AE466" t="n">
        <v>3</v>
      </c>
      <c r="AF466" t="n">
        <v>2</v>
      </c>
      <c r="AG466" t="n">
        <v>2</v>
      </c>
      <c r="AH466" t="n">
        <v>0</v>
      </c>
      <c r="AI466" t="n">
        <v>0</v>
      </c>
      <c r="AJ466" t="n">
        <v>0</v>
      </c>
      <c r="AK466" t="n">
        <v>0</v>
      </c>
      <c r="AL466" t="n">
        <v>1</v>
      </c>
      <c r="AM466" t="n">
        <v>1</v>
      </c>
      <c r="AN466" t="n">
        <v>0</v>
      </c>
      <c r="AO466" t="n">
        <v>0</v>
      </c>
      <c r="AP466" t="inlineStr">
        <is>
          <t>No</t>
        </is>
      </c>
      <c r="AQ466" t="inlineStr">
        <is>
          <t>No</t>
        </is>
      </c>
      <c r="AS466">
        <f>HYPERLINK("https://creighton-primo.hosted.exlibrisgroup.com/primo-explore/search?tab=default_tab&amp;search_scope=EVERYTHING&amp;vid=01CRU&amp;lang=en_US&amp;offset=0&amp;query=any,contains,991000828449702656","Catalog Record")</f>
        <v/>
      </c>
      <c r="AT466">
        <f>HYPERLINK("http://www.worldcat.org/oclc/13425616","WorldCat Record")</f>
        <v/>
      </c>
      <c r="AU466" t="inlineStr">
        <is>
          <t>7308185:eng</t>
        </is>
      </c>
      <c r="AV466" t="inlineStr">
        <is>
          <t>13425616</t>
        </is>
      </c>
      <c r="AW466" t="inlineStr">
        <is>
          <t>991000828449702656</t>
        </is>
      </c>
      <c r="AX466" t="inlineStr">
        <is>
          <t>991000828449702656</t>
        </is>
      </c>
      <c r="AY466" t="inlineStr">
        <is>
          <t>2265019400002656</t>
        </is>
      </c>
      <c r="AZ466" t="inlineStr">
        <is>
          <t>BOOK</t>
        </is>
      </c>
      <c r="BB466" t="inlineStr">
        <is>
          <t>9780700510726</t>
        </is>
      </c>
      <c r="BC466" t="inlineStr">
        <is>
          <t>32285001379113</t>
        </is>
      </c>
      <c r="BD466" t="inlineStr">
        <is>
          <t>893432338</t>
        </is>
      </c>
    </row>
    <row r="467">
      <c r="A467" t="inlineStr">
        <is>
          <t>No</t>
        </is>
      </c>
      <c r="B467" t="inlineStr">
        <is>
          <t>LB1050.5 .R473 1997</t>
        </is>
      </c>
      <c r="C467" t="inlineStr">
        <is>
          <t>0                      LB 1050500R  473         1997</t>
        </is>
      </c>
      <c r="D467" t="inlineStr">
        <is>
          <t>Research in reading recovery / edited by Stanley L. Swartz &amp; Adria F. Klein ; foreword by Gay Su Pinnell.</t>
        </is>
      </c>
      <c r="F467" t="inlineStr">
        <is>
          <t>No</t>
        </is>
      </c>
      <c r="G467" t="inlineStr">
        <is>
          <t>1</t>
        </is>
      </c>
      <c r="H467" t="inlineStr">
        <is>
          <t>No</t>
        </is>
      </c>
      <c r="I467" t="inlineStr">
        <is>
          <t>No</t>
        </is>
      </c>
      <c r="J467" t="inlineStr">
        <is>
          <t>0</t>
        </is>
      </c>
      <c r="L467" t="inlineStr">
        <is>
          <t>Portsmouth, NH : Heinemann, c1997.</t>
        </is>
      </c>
      <c r="M467" t="inlineStr">
        <is>
          <t>1997</t>
        </is>
      </c>
      <c r="O467" t="inlineStr">
        <is>
          <t>eng</t>
        </is>
      </c>
      <c r="P467" t="inlineStr">
        <is>
          <t>nhu</t>
        </is>
      </c>
      <c r="R467" t="inlineStr">
        <is>
          <t xml:space="preserve">LB </t>
        </is>
      </c>
      <c r="S467" t="n">
        <v>3</v>
      </c>
      <c r="T467" t="n">
        <v>3</v>
      </c>
      <c r="U467" t="inlineStr">
        <is>
          <t>1999-04-14</t>
        </is>
      </c>
      <c r="V467" t="inlineStr">
        <is>
          <t>1999-04-14</t>
        </is>
      </c>
      <c r="W467" t="inlineStr">
        <is>
          <t>1997-09-12</t>
        </is>
      </c>
      <c r="X467" t="inlineStr">
        <is>
          <t>1997-09-12</t>
        </is>
      </c>
      <c r="Y467" t="n">
        <v>324</v>
      </c>
      <c r="Z467" t="n">
        <v>285</v>
      </c>
      <c r="AA467" t="n">
        <v>285</v>
      </c>
      <c r="AB467" t="n">
        <v>2</v>
      </c>
      <c r="AC467" t="n">
        <v>2</v>
      </c>
      <c r="AD467" t="n">
        <v>12</v>
      </c>
      <c r="AE467" t="n">
        <v>12</v>
      </c>
      <c r="AF467" t="n">
        <v>1</v>
      </c>
      <c r="AG467" t="n">
        <v>1</v>
      </c>
      <c r="AH467" t="n">
        <v>6</v>
      </c>
      <c r="AI467" t="n">
        <v>6</v>
      </c>
      <c r="AJ467" t="n">
        <v>7</v>
      </c>
      <c r="AK467" t="n">
        <v>7</v>
      </c>
      <c r="AL467" t="n">
        <v>1</v>
      </c>
      <c r="AM467" t="n">
        <v>1</v>
      </c>
      <c r="AN467" t="n">
        <v>0</v>
      </c>
      <c r="AO467" t="n">
        <v>0</v>
      </c>
      <c r="AP467" t="inlineStr">
        <is>
          <t>No</t>
        </is>
      </c>
      <c r="AQ467" t="inlineStr">
        <is>
          <t>No</t>
        </is>
      </c>
      <c r="AS467">
        <f>HYPERLINK("https://creighton-primo.hosted.exlibrisgroup.com/primo-explore/search?tab=default_tab&amp;search_scope=EVERYTHING&amp;vid=01CRU&amp;lang=en_US&amp;offset=0&amp;query=any,contains,991002803979702656","Catalog Record")</f>
        <v/>
      </c>
      <c r="AT467">
        <f>HYPERLINK("http://www.worldcat.org/oclc/36840055","WorldCat Record")</f>
        <v/>
      </c>
      <c r="AU467" t="inlineStr">
        <is>
          <t>4512379321:eng</t>
        </is>
      </c>
      <c r="AV467" t="inlineStr">
        <is>
          <t>36840055</t>
        </is>
      </c>
      <c r="AW467" t="inlineStr">
        <is>
          <t>991002803979702656</t>
        </is>
      </c>
      <c r="AX467" t="inlineStr">
        <is>
          <t>991002803979702656</t>
        </is>
      </c>
      <c r="AY467" t="inlineStr">
        <is>
          <t>2264074490002656</t>
        </is>
      </c>
      <c r="AZ467" t="inlineStr">
        <is>
          <t>BOOK</t>
        </is>
      </c>
      <c r="BB467" t="inlineStr">
        <is>
          <t>9780435072391</t>
        </is>
      </c>
      <c r="BC467" t="inlineStr">
        <is>
          <t>32285003175642</t>
        </is>
      </c>
      <c r="BD467" t="inlineStr">
        <is>
          <t>893716932</t>
        </is>
      </c>
    </row>
    <row r="468">
      <c r="A468" t="inlineStr">
        <is>
          <t>No</t>
        </is>
      </c>
      <c r="B468" t="inlineStr">
        <is>
          <t>LB1050.5 .W36 1990</t>
        </is>
      </c>
      <c r="C468" t="inlineStr">
        <is>
          <t>0                      LB 1050500W  36          1990</t>
        </is>
      </c>
      <c r="D468" t="inlineStr">
        <is>
          <t>Remedial reading / by Barbara J. Walker.</t>
        </is>
      </c>
      <c r="F468" t="inlineStr">
        <is>
          <t>No</t>
        </is>
      </c>
      <c r="G468" t="inlineStr">
        <is>
          <t>1</t>
        </is>
      </c>
      <c r="H468" t="inlineStr">
        <is>
          <t>No</t>
        </is>
      </c>
      <c r="I468" t="inlineStr">
        <is>
          <t>No</t>
        </is>
      </c>
      <c r="J468" t="inlineStr">
        <is>
          <t>0</t>
        </is>
      </c>
      <c r="K468" t="inlineStr">
        <is>
          <t>Walker, Barbara J., 1946-</t>
        </is>
      </c>
      <c r="L468" t="inlineStr">
        <is>
          <t>Washington, D.C. : NEA Professional Library, c1990.</t>
        </is>
      </c>
      <c r="M468" t="inlineStr">
        <is>
          <t>1990</t>
        </is>
      </c>
      <c r="O468" t="inlineStr">
        <is>
          <t>eng</t>
        </is>
      </c>
      <c r="P468" t="inlineStr">
        <is>
          <t>dcu</t>
        </is>
      </c>
      <c r="Q468" t="inlineStr">
        <is>
          <t>What research says to the teacher</t>
        </is>
      </c>
      <c r="R468" t="inlineStr">
        <is>
          <t xml:space="preserve">LB </t>
        </is>
      </c>
      <c r="S468" t="n">
        <v>1</v>
      </c>
      <c r="T468" t="n">
        <v>1</v>
      </c>
      <c r="U468" t="inlineStr">
        <is>
          <t>1993-02-08</t>
        </is>
      </c>
      <c r="V468" t="inlineStr">
        <is>
          <t>1993-02-08</t>
        </is>
      </c>
      <c r="W468" t="inlineStr">
        <is>
          <t>1990-08-10</t>
        </is>
      </c>
      <c r="X468" t="inlineStr">
        <is>
          <t>1990-08-10</t>
        </is>
      </c>
      <c r="Y468" t="n">
        <v>246</v>
      </c>
      <c r="Z468" t="n">
        <v>242</v>
      </c>
      <c r="AA468" t="n">
        <v>248</v>
      </c>
      <c r="AB468" t="n">
        <v>3</v>
      </c>
      <c r="AC468" t="n">
        <v>3</v>
      </c>
      <c r="AD468" t="n">
        <v>7</v>
      </c>
      <c r="AE468" t="n">
        <v>7</v>
      </c>
      <c r="AF468" t="n">
        <v>3</v>
      </c>
      <c r="AG468" t="n">
        <v>3</v>
      </c>
      <c r="AH468" t="n">
        <v>1</v>
      </c>
      <c r="AI468" t="n">
        <v>1</v>
      </c>
      <c r="AJ468" t="n">
        <v>1</v>
      </c>
      <c r="AK468" t="n">
        <v>1</v>
      </c>
      <c r="AL468" t="n">
        <v>2</v>
      </c>
      <c r="AM468" t="n">
        <v>2</v>
      </c>
      <c r="AN468" t="n">
        <v>0</v>
      </c>
      <c r="AO468" t="n">
        <v>0</v>
      </c>
      <c r="AP468" t="inlineStr">
        <is>
          <t>No</t>
        </is>
      </c>
      <c r="AQ468" t="inlineStr">
        <is>
          <t>Yes</t>
        </is>
      </c>
      <c r="AR468">
        <f>HYPERLINK("http://catalog.hathitrust.org/Record/002454914","HathiTrust Record")</f>
        <v/>
      </c>
      <c r="AS468">
        <f>HYPERLINK("https://creighton-primo.hosted.exlibrisgroup.com/primo-explore/search?tab=default_tab&amp;search_scope=EVERYTHING&amp;vid=01CRU&amp;lang=en_US&amp;offset=0&amp;query=any,contains,991001696279702656","Catalog Record")</f>
        <v/>
      </c>
      <c r="AT468">
        <f>HYPERLINK("http://www.worldcat.org/oclc/21483712","WorldCat Record")</f>
        <v/>
      </c>
      <c r="AU468" t="inlineStr">
        <is>
          <t>1075803:eng</t>
        </is>
      </c>
      <c r="AV468" t="inlineStr">
        <is>
          <t>21483712</t>
        </is>
      </c>
      <c r="AW468" t="inlineStr">
        <is>
          <t>991001696279702656</t>
        </is>
      </c>
      <c r="AX468" t="inlineStr">
        <is>
          <t>991001696279702656</t>
        </is>
      </c>
      <c r="AY468" t="inlineStr">
        <is>
          <t>2261568660002656</t>
        </is>
      </c>
      <c r="AZ468" t="inlineStr">
        <is>
          <t>BOOK</t>
        </is>
      </c>
      <c r="BB468" t="inlineStr">
        <is>
          <t>9780810610873</t>
        </is>
      </c>
      <c r="BC468" t="inlineStr">
        <is>
          <t>32285000023985</t>
        </is>
      </c>
      <c r="BD468" t="inlineStr">
        <is>
          <t>893879093</t>
        </is>
      </c>
    </row>
    <row r="469">
      <c r="A469" t="inlineStr">
        <is>
          <t>No</t>
        </is>
      </c>
      <c r="B469" t="inlineStr">
        <is>
          <t>LB1050.5 .W4894 2002</t>
        </is>
      </c>
      <c r="C469" t="inlineStr">
        <is>
          <t>0                      LB 1050500W  4894        2002</t>
        </is>
      </c>
      <c r="D469" t="inlineStr">
        <is>
          <t>Selecting and using good books for struggling readers : a resource for parents and caregivers / Nancy S. Williams.</t>
        </is>
      </c>
      <c r="F469" t="inlineStr">
        <is>
          <t>No</t>
        </is>
      </c>
      <c r="G469" t="inlineStr">
        <is>
          <t>1</t>
        </is>
      </c>
      <c r="H469" t="inlineStr">
        <is>
          <t>No</t>
        </is>
      </c>
      <c r="I469" t="inlineStr">
        <is>
          <t>No</t>
        </is>
      </c>
      <c r="J469" t="inlineStr">
        <is>
          <t>0</t>
        </is>
      </c>
      <c r="K469" t="inlineStr">
        <is>
          <t>Williams, Nancy S.</t>
        </is>
      </c>
      <c r="L469" t="inlineStr">
        <is>
          <t>Lanham, Md. : Scarecrow Press, 2002.</t>
        </is>
      </c>
      <c r="M469" t="inlineStr">
        <is>
          <t>2002</t>
        </is>
      </c>
      <c r="O469" t="inlineStr">
        <is>
          <t>eng</t>
        </is>
      </c>
      <c r="P469" t="inlineStr">
        <is>
          <t>mdu</t>
        </is>
      </c>
      <c r="R469" t="inlineStr">
        <is>
          <t xml:space="preserve">LB </t>
        </is>
      </c>
      <c r="S469" t="n">
        <v>2</v>
      </c>
      <c r="T469" t="n">
        <v>2</v>
      </c>
      <c r="U469" t="inlineStr">
        <is>
          <t>2003-02-19</t>
        </is>
      </c>
      <c r="V469" t="inlineStr">
        <is>
          <t>2003-02-19</t>
        </is>
      </c>
      <c r="W469" t="inlineStr">
        <is>
          <t>2003-02-19</t>
        </is>
      </c>
      <c r="X469" t="inlineStr">
        <is>
          <t>2003-02-19</t>
        </is>
      </c>
      <c r="Y469" t="n">
        <v>245</v>
      </c>
      <c r="Z469" t="n">
        <v>230</v>
      </c>
      <c r="AA469" t="n">
        <v>237</v>
      </c>
      <c r="AB469" t="n">
        <v>2</v>
      </c>
      <c r="AC469" t="n">
        <v>2</v>
      </c>
      <c r="AD469" t="n">
        <v>11</v>
      </c>
      <c r="AE469" t="n">
        <v>11</v>
      </c>
      <c r="AF469" t="n">
        <v>4</v>
      </c>
      <c r="AG469" t="n">
        <v>4</v>
      </c>
      <c r="AH469" t="n">
        <v>3</v>
      </c>
      <c r="AI469" t="n">
        <v>3</v>
      </c>
      <c r="AJ469" t="n">
        <v>6</v>
      </c>
      <c r="AK469" t="n">
        <v>6</v>
      </c>
      <c r="AL469" t="n">
        <v>1</v>
      </c>
      <c r="AM469" t="n">
        <v>1</v>
      </c>
      <c r="AN469" t="n">
        <v>0</v>
      </c>
      <c r="AO469" t="n">
        <v>0</v>
      </c>
      <c r="AP469" t="inlineStr">
        <is>
          <t>No</t>
        </is>
      </c>
      <c r="AQ469" t="inlineStr">
        <is>
          <t>Yes</t>
        </is>
      </c>
      <c r="AR469">
        <f>HYPERLINK("http://catalog.hathitrust.org/Record/004600391","HathiTrust Record")</f>
        <v/>
      </c>
      <c r="AS469">
        <f>HYPERLINK("https://creighton-primo.hosted.exlibrisgroup.com/primo-explore/search?tab=default_tab&amp;search_scope=EVERYTHING&amp;vid=01CRU&amp;lang=en_US&amp;offset=0&amp;query=any,contains,991003977459702656","Catalog Record")</f>
        <v/>
      </c>
      <c r="AT469">
        <f>HYPERLINK("http://www.worldcat.org/oclc/49312717","WorldCat Record")</f>
        <v/>
      </c>
      <c r="AU469" t="inlineStr">
        <is>
          <t>945914983:eng</t>
        </is>
      </c>
      <c r="AV469" t="inlineStr">
        <is>
          <t>49312717</t>
        </is>
      </c>
      <c r="AW469" t="inlineStr">
        <is>
          <t>991003977459702656</t>
        </is>
      </c>
      <c r="AX469" t="inlineStr">
        <is>
          <t>991003977459702656</t>
        </is>
      </c>
      <c r="AY469" t="inlineStr">
        <is>
          <t>2267638550002656</t>
        </is>
      </c>
      <c r="AZ469" t="inlineStr">
        <is>
          <t>BOOK</t>
        </is>
      </c>
      <c r="BB469" t="inlineStr">
        <is>
          <t>9780810843820</t>
        </is>
      </c>
      <c r="BC469" t="inlineStr">
        <is>
          <t>32285004699566</t>
        </is>
      </c>
      <c r="BD469" t="inlineStr">
        <is>
          <t>893618066</t>
        </is>
      </c>
    </row>
    <row r="470">
      <c r="A470" t="inlineStr">
        <is>
          <t>No</t>
        </is>
      </c>
      <c r="B470" t="inlineStr">
        <is>
          <t>LB1050.F79 R4</t>
        </is>
      </c>
      <c r="C470" t="inlineStr">
        <is>
          <t>0                      LB 1050000F  79                 R  4</t>
        </is>
      </c>
      <c r="D470" t="inlineStr">
        <is>
          <t>Reading faster, a drill book.</t>
        </is>
      </c>
      <c r="F470" t="inlineStr">
        <is>
          <t>No</t>
        </is>
      </c>
      <c r="G470" t="inlineStr">
        <is>
          <t>1</t>
        </is>
      </c>
      <c r="H470" t="inlineStr">
        <is>
          <t>No</t>
        </is>
      </c>
      <c r="I470" t="inlineStr">
        <is>
          <t>No</t>
        </is>
      </c>
      <c r="J470" t="inlineStr">
        <is>
          <t>0</t>
        </is>
      </c>
      <c r="K470" t="inlineStr">
        <is>
          <t>Fry, Edward, 1925-</t>
        </is>
      </c>
      <c r="L470" t="inlineStr">
        <is>
          <t>Cambridge [Eng.] University Press, 1967.</t>
        </is>
      </c>
      <c r="M470" t="inlineStr">
        <is>
          <t>1967</t>
        </is>
      </c>
      <c r="O470" t="inlineStr">
        <is>
          <t>eng</t>
        </is>
      </c>
      <c r="P470" t="inlineStr">
        <is>
          <t>enk</t>
        </is>
      </c>
      <c r="R470" t="inlineStr">
        <is>
          <t xml:space="preserve">LB </t>
        </is>
      </c>
      <c r="S470" t="n">
        <v>2</v>
      </c>
      <c r="T470" t="n">
        <v>2</v>
      </c>
      <c r="U470" t="inlineStr">
        <is>
          <t>2004-03-21</t>
        </is>
      </c>
      <c r="V470" t="inlineStr">
        <is>
          <t>2004-03-21</t>
        </is>
      </c>
      <c r="W470" t="inlineStr">
        <is>
          <t>1997-05-04</t>
        </is>
      </c>
      <c r="X470" t="inlineStr">
        <is>
          <t>1997-05-04</t>
        </is>
      </c>
      <c r="Y470" t="n">
        <v>12</v>
      </c>
      <c r="Z470" t="n">
        <v>2</v>
      </c>
      <c r="AA470" t="n">
        <v>43</v>
      </c>
      <c r="AB470" t="n">
        <v>1</v>
      </c>
      <c r="AC470" t="n">
        <v>1</v>
      </c>
      <c r="AD470" t="n">
        <v>0</v>
      </c>
      <c r="AE470" t="n">
        <v>3</v>
      </c>
      <c r="AF470" t="n">
        <v>0</v>
      </c>
      <c r="AG470" t="n">
        <v>0</v>
      </c>
      <c r="AH470" t="n">
        <v>0</v>
      </c>
      <c r="AI470" t="n">
        <v>2</v>
      </c>
      <c r="AJ470" t="n">
        <v>0</v>
      </c>
      <c r="AK470" t="n">
        <v>3</v>
      </c>
      <c r="AL470" t="n">
        <v>0</v>
      </c>
      <c r="AM470" t="n">
        <v>0</v>
      </c>
      <c r="AN470" t="n">
        <v>0</v>
      </c>
      <c r="AO470" t="n">
        <v>0</v>
      </c>
      <c r="AP470" t="inlineStr">
        <is>
          <t>No</t>
        </is>
      </c>
      <c r="AQ470" t="inlineStr">
        <is>
          <t>No</t>
        </is>
      </c>
      <c r="AS470">
        <f>HYPERLINK("https://creighton-primo.hosted.exlibrisgroup.com/primo-explore/search?tab=default_tab&amp;search_scope=EVERYTHING&amp;vid=01CRU&amp;lang=en_US&amp;offset=0&amp;query=any,contains,991000691929702656","Catalog Record")</f>
        <v/>
      </c>
      <c r="AT470">
        <f>HYPERLINK("http://www.worldcat.org/oclc/12490951","WorldCat Record")</f>
        <v/>
      </c>
      <c r="AU470" t="inlineStr">
        <is>
          <t>675259928:eng</t>
        </is>
      </c>
      <c r="AV470" t="inlineStr">
        <is>
          <t>12490951</t>
        </is>
      </c>
      <c r="AW470" t="inlineStr">
        <is>
          <t>991000691929702656</t>
        </is>
      </c>
      <c r="AX470" t="inlineStr">
        <is>
          <t>991000691929702656</t>
        </is>
      </c>
      <c r="AY470" t="inlineStr">
        <is>
          <t>2267470990002656</t>
        </is>
      </c>
      <c r="AZ470" t="inlineStr">
        <is>
          <t>BOOK</t>
        </is>
      </c>
      <c r="BC470" t="inlineStr">
        <is>
          <t>32285002632031</t>
        </is>
      </c>
      <c r="BD470" t="inlineStr">
        <is>
          <t>893708617</t>
        </is>
      </c>
    </row>
    <row r="471">
      <c r="A471" t="inlineStr">
        <is>
          <t>No</t>
        </is>
      </c>
      <c r="B471" t="inlineStr">
        <is>
          <t>LB1051 .A747</t>
        </is>
      </c>
      <c r="C471" t="inlineStr">
        <is>
          <t>0                      LB 1051000A  747</t>
        </is>
      </c>
      <c r="D471" t="inlineStr">
        <is>
          <t>Educational psychology; a cognitive view [by] David P. Ausubel.</t>
        </is>
      </c>
      <c r="F471" t="inlineStr">
        <is>
          <t>No</t>
        </is>
      </c>
      <c r="G471" t="inlineStr">
        <is>
          <t>1</t>
        </is>
      </c>
      <c r="H471" t="inlineStr">
        <is>
          <t>No</t>
        </is>
      </c>
      <c r="I471" t="inlineStr">
        <is>
          <t>No</t>
        </is>
      </c>
      <c r="J471" t="inlineStr">
        <is>
          <t>0</t>
        </is>
      </c>
      <c r="K471" t="inlineStr">
        <is>
          <t>Ausubel, David Paul.</t>
        </is>
      </c>
      <c r="L471" t="inlineStr">
        <is>
          <t>New York, Holt, Rinehart and Winston [1968]</t>
        </is>
      </c>
      <c r="M471" t="inlineStr">
        <is>
          <t>1968</t>
        </is>
      </c>
      <c r="O471" t="inlineStr">
        <is>
          <t>eng</t>
        </is>
      </c>
      <c r="P471" t="inlineStr">
        <is>
          <t>nyu</t>
        </is>
      </c>
      <c r="R471" t="inlineStr">
        <is>
          <t xml:space="preserve">LB </t>
        </is>
      </c>
      <c r="S471" t="n">
        <v>3</v>
      </c>
      <c r="T471" t="n">
        <v>3</v>
      </c>
      <c r="U471" t="inlineStr">
        <is>
          <t>2003-02-28</t>
        </is>
      </c>
      <c r="V471" t="inlineStr">
        <is>
          <t>2003-02-28</t>
        </is>
      </c>
      <c r="W471" t="inlineStr">
        <is>
          <t>1997-05-05</t>
        </is>
      </c>
      <c r="X471" t="inlineStr">
        <is>
          <t>1997-05-05</t>
        </is>
      </c>
      <c r="Y471" t="n">
        <v>661</v>
      </c>
      <c r="Z471" t="n">
        <v>469</v>
      </c>
      <c r="AA471" t="n">
        <v>571</v>
      </c>
      <c r="AB471" t="n">
        <v>5</v>
      </c>
      <c r="AC471" t="n">
        <v>5</v>
      </c>
      <c r="AD471" t="n">
        <v>26</v>
      </c>
      <c r="AE471" t="n">
        <v>29</v>
      </c>
      <c r="AF471" t="n">
        <v>12</v>
      </c>
      <c r="AG471" t="n">
        <v>13</v>
      </c>
      <c r="AH471" t="n">
        <v>5</v>
      </c>
      <c r="AI471" t="n">
        <v>5</v>
      </c>
      <c r="AJ471" t="n">
        <v>13</v>
      </c>
      <c r="AK471" t="n">
        <v>15</v>
      </c>
      <c r="AL471" t="n">
        <v>4</v>
      </c>
      <c r="AM471" t="n">
        <v>4</v>
      </c>
      <c r="AN471" t="n">
        <v>0</v>
      </c>
      <c r="AO471" t="n">
        <v>0</v>
      </c>
      <c r="AP471" t="inlineStr">
        <is>
          <t>No</t>
        </is>
      </c>
      <c r="AQ471" t="inlineStr">
        <is>
          <t>Yes</t>
        </is>
      </c>
      <c r="AR471">
        <f>HYPERLINK("http://catalog.hathitrust.org/Record/001280037","HathiTrust Record")</f>
        <v/>
      </c>
      <c r="AS471">
        <f>HYPERLINK("https://creighton-primo.hosted.exlibrisgroup.com/primo-explore/search?tab=default_tab&amp;search_scope=EVERYTHING&amp;vid=01CRU&amp;lang=en_US&amp;offset=0&amp;query=any,contains,991002784999702656","Catalog Record")</f>
        <v/>
      </c>
      <c r="AT471">
        <f>HYPERLINK("http://www.worldcat.org/oclc/441295","WorldCat Record")</f>
        <v/>
      </c>
      <c r="AU471" t="inlineStr">
        <is>
          <t>1089942555:eng</t>
        </is>
      </c>
      <c r="AV471" t="inlineStr">
        <is>
          <t>441295</t>
        </is>
      </c>
      <c r="AW471" t="inlineStr">
        <is>
          <t>991002784999702656</t>
        </is>
      </c>
      <c r="AX471" t="inlineStr">
        <is>
          <t>991002784999702656</t>
        </is>
      </c>
      <c r="AY471" t="inlineStr">
        <is>
          <t>2255453550002656</t>
        </is>
      </c>
      <c r="AZ471" t="inlineStr">
        <is>
          <t>BOOK</t>
        </is>
      </c>
      <c r="BC471" t="inlineStr">
        <is>
          <t>32285002632668</t>
        </is>
      </c>
      <c r="BD471" t="inlineStr">
        <is>
          <t>893251608</t>
        </is>
      </c>
    </row>
    <row r="472">
      <c r="A472" t="inlineStr">
        <is>
          <t>No</t>
        </is>
      </c>
      <c r="B472" t="inlineStr">
        <is>
          <t>LB1051 .B452117 1974</t>
        </is>
      </c>
      <c r="C472" t="inlineStr">
        <is>
          <t>0                      LB 1051000B  452117      1974</t>
        </is>
      </c>
      <c r="D472" t="inlineStr">
        <is>
          <t>Psychology applied to teaching / [by] Robert F. Biehler.</t>
        </is>
      </c>
      <c r="F472" t="inlineStr">
        <is>
          <t>No</t>
        </is>
      </c>
      <c r="G472" t="inlineStr">
        <is>
          <t>1</t>
        </is>
      </c>
      <c r="H472" t="inlineStr">
        <is>
          <t>No</t>
        </is>
      </c>
      <c r="I472" t="inlineStr">
        <is>
          <t>No</t>
        </is>
      </c>
      <c r="J472" t="inlineStr">
        <is>
          <t>0</t>
        </is>
      </c>
      <c r="K472" t="inlineStr">
        <is>
          <t>Biehler, Robert F. (Robert Frederick), 1927-</t>
        </is>
      </c>
      <c r="L472" t="inlineStr">
        <is>
          <t>Boston : Houghton Mifflin, [1974]</t>
        </is>
      </c>
      <c r="M472" t="inlineStr">
        <is>
          <t>1974</t>
        </is>
      </c>
      <c r="N472" t="inlineStr">
        <is>
          <t>2d ed.</t>
        </is>
      </c>
      <c r="O472" t="inlineStr">
        <is>
          <t>eng</t>
        </is>
      </c>
      <c r="P472" t="inlineStr">
        <is>
          <t>mau</t>
        </is>
      </c>
      <c r="R472" t="inlineStr">
        <is>
          <t xml:space="preserve">LB </t>
        </is>
      </c>
      <c r="S472" t="n">
        <v>7</v>
      </c>
      <c r="T472" t="n">
        <v>7</v>
      </c>
      <c r="U472" t="inlineStr">
        <is>
          <t>2007-11-14</t>
        </is>
      </c>
      <c r="V472" t="inlineStr">
        <is>
          <t>2007-11-14</t>
        </is>
      </c>
      <c r="W472" t="inlineStr">
        <is>
          <t>1992-11-05</t>
        </is>
      </c>
      <c r="X472" t="inlineStr">
        <is>
          <t>1992-11-05</t>
        </is>
      </c>
      <c r="Y472" t="n">
        <v>311</v>
      </c>
      <c r="Z472" t="n">
        <v>242</v>
      </c>
      <c r="AA472" t="n">
        <v>1149</v>
      </c>
      <c r="AB472" t="n">
        <v>1</v>
      </c>
      <c r="AC472" t="n">
        <v>13</v>
      </c>
      <c r="AD472" t="n">
        <v>6</v>
      </c>
      <c r="AE472" t="n">
        <v>43</v>
      </c>
      <c r="AF472" t="n">
        <v>2</v>
      </c>
      <c r="AG472" t="n">
        <v>13</v>
      </c>
      <c r="AH472" t="n">
        <v>1</v>
      </c>
      <c r="AI472" t="n">
        <v>7</v>
      </c>
      <c r="AJ472" t="n">
        <v>5</v>
      </c>
      <c r="AK472" t="n">
        <v>19</v>
      </c>
      <c r="AL472" t="n">
        <v>0</v>
      </c>
      <c r="AM472" t="n">
        <v>11</v>
      </c>
      <c r="AN472" t="n">
        <v>0</v>
      </c>
      <c r="AO472" t="n">
        <v>0</v>
      </c>
      <c r="AP472" t="inlineStr">
        <is>
          <t>No</t>
        </is>
      </c>
      <c r="AQ472" t="inlineStr">
        <is>
          <t>Yes</t>
        </is>
      </c>
      <c r="AR472">
        <f>HYPERLINK("http://catalog.hathitrust.org/Record/001280056","HathiTrust Record")</f>
        <v/>
      </c>
      <c r="AS472">
        <f>HYPERLINK("https://creighton-primo.hosted.exlibrisgroup.com/primo-explore/search?tab=default_tab&amp;search_scope=EVERYTHING&amp;vid=01CRU&amp;lang=en_US&amp;offset=0&amp;query=any,contains,991004216259702656","Catalog Record")</f>
        <v/>
      </c>
      <c r="AT472">
        <f>HYPERLINK("http://www.worldcat.org/oclc/2696331","WorldCat Record")</f>
        <v/>
      </c>
      <c r="AU472" t="inlineStr">
        <is>
          <t>1313074:eng</t>
        </is>
      </c>
      <c r="AV472" t="inlineStr">
        <is>
          <t>2696331</t>
        </is>
      </c>
      <c r="AW472" t="inlineStr">
        <is>
          <t>991004216259702656</t>
        </is>
      </c>
      <c r="AX472" t="inlineStr">
        <is>
          <t>991004216259702656</t>
        </is>
      </c>
      <c r="AY472" t="inlineStr">
        <is>
          <t>2265453420002656</t>
        </is>
      </c>
      <c r="AZ472" t="inlineStr">
        <is>
          <t>BOOK</t>
        </is>
      </c>
      <c r="BB472" t="inlineStr">
        <is>
          <t>9780395171684</t>
        </is>
      </c>
      <c r="BC472" t="inlineStr">
        <is>
          <t>32285001383057</t>
        </is>
      </c>
      <c r="BD472" t="inlineStr">
        <is>
          <t>893794611</t>
        </is>
      </c>
    </row>
    <row r="473">
      <c r="A473" t="inlineStr">
        <is>
          <t>No</t>
        </is>
      </c>
      <c r="B473" t="inlineStr">
        <is>
          <t>LB1051 .B45212 1982</t>
        </is>
      </c>
      <c r="C473" t="inlineStr">
        <is>
          <t>0                      LB 1051000B  45212       1982</t>
        </is>
      </c>
      <c r="D473" t="inlineStr">
        <is>
          <t>Learning theories for teachers / Morris L. Bigge.</t>
        </is>
      </c>
      <c r="F473" t="inlineStr">
        <is>
          <t>No</t>
        </is>
      </c>
      <c r="G473" t="inlineStr">
        <is>
          <t>1</t>
        </is>
      </c>
      <c r="H473" t="inlineStr">
        <is>
          <t>No</t>
        </is>
      </c>
      <c r="I473" t="inlineStr">
        <is>
          <t>No</t>
        </is>
      </c>
      <c r="J473" t="inlineStr">
        <is>
          <t>0</t>
        </is>
      </c>
      <c r="K473" t="inlineStr">
        <is>
          <t>Bigge, Morris L.</t>
        </is>
      </c>
      <c r="L473" t="inlineStr">
        <is>
          <t>New York : Harper &amp; Row, c1982.</t>
        </is>
      </c>
      <c r="M473" t="inlineStr">
        <is>
          <t>1982</t>
        </is>
      </c>
      <c r="N473" t="inlineStr">
        <is>
          <t>4th ed.</t>
        </is>
      </c>
      <c r="O473" t="inlineStr">
        <is>
          <t>eng</t>
        </is>
      </c>
      <c r="P473" t="inlineStr">
        <is>
          <t>nyu</t>
        </is>
      </c>
      <c r="R473" t="inlineStr">
        <is>
          <t xml:space="preserve">LB </t>
        </is>
      </c>
      <c r="S473" t="n">
        <v>9</v>
      </c>
      <c r="T473" t="n">
        <v>9</v>
      </c>
      <c r="U473" t="inlineStr">
        <is>
          <t>2004-09-05</t>
        </is>
      </c>
      <c r="V473" t="inlineStr">
        <is>
          <t>2004-09-05</t>
        </is>
      </c>
      <c r="W473" t="inlineStr">
        <is>
          <t>1992-02-20</t>
        </is>
      </c>
      <c r="X473" t="inlineStr">
        <is>
          <t>1992-02-20</t>
        </is>
      </c>
      <c r="Y473" t="n">
        <v>532</v>
      </c>
      <c r="Z473" t="n">
        <v>352</v>
      </c>
      <c r="AA473" t="n">
        <v>1089</v>
      </c>
      <c r="AB473" t="n">
        <v>5</v>
      </c>
      <c r="AC473" t="n">
        <v>14</v>
      </c>
      <c r="AD473" t="n">
        <v>13</v>
      </c>
      <c r="AE473" t="n">
        <v>50</v>
      </c>
      <c r="AF473" t="n">
        <v>4</v>
      </c>
      <c r="AG473" t="n">
        <v>22</v>
      </c>
      <c r="AH473" t="n">
        <v>3</v>
      </c>
      <c r="AI473" t="n">
        <v>9</v>
      </c>
      <c r="AJ473" t="n">
        <v>7</v>
      </c>
      <c r="AK473" t="n">
        <v>21</v>
      </c>
      <c r="AL473" t="n">
        <v>2</v>
      </c>
      <c r="AM473" t="n">
        <v>11</v>
      </c>
      <c r="AN473" t="n">
        <v>0</v>
      </c>
      <c r="AO473" t="n">
        <v>0</v>
      </c>
      <c r="AP473" t="inlineStr">
        <is>
          <t>No</t>
        </is>
      </c>
      <c r="AQ473" t="inlineStr">
        <is>
          <t>Yes</t>
        </is>
      </c>
      <c r="AR473">
        <f>HYPERLINK("http://catalog.hathitrust.org/Record/000314690","HathiTrust Record")</f>
        <v/>
      </c>
      <c r="AS473">
        <f>HYPERLINK("https://creighton-primo.hosted.exlibrisgroup.com/primo-explore/search?tab=default_tab&amp;search_scope=EVERYTHING&amp;vid=01CRU&amp;lang=en_US&amp;offset=0&amp;query=any,contains,991005134349702656","Catalog Record")</f>
        <v/>
      </c>
      <c r="AT473">
        <f>HYPERLINK("http://www.worldcat.org/oclc/7575476","WorldCat Record")</f>
        <v/>
      </c>
      <c r="AU473" t="inlineStr">
        <is>
          <t>666216:eng</t>
        </is>
      </c>
      <c r="AV473" t="inlineStr">
        <is>
          <t>7575476</t>
        </is>
      </c>
      <c r="AW473" t="inlineStr">
        <is>
          <t>991005134349702656</t>
        </is>
      </c>
      <c r="AX473" t="inlineStr">
        <is>
          <t>991005134349702656</t>
        </is>
      </c>
      <c r="AY473" t="inlineStr">
        <is>
          <t>2265560610002656</t>
        </is>
      </c>
      <c r="AZ473" t="inlineStr">
        <is>
          <t>BOOK</t>
        </is>
      </c>
      <c r="BB473" t="inlineStr">
        <is>
          <t>9780060406738</t>
        </is>
      </c>
      <c r="BC473" t="inlineStr">
        <is>
          <t>32285000972504</t>
        </is>
      </c>
      <c r="BD473" t="inlineStr">
        <is>
          <t>893701069</t>
        </is>
      </c>
    </row>
    <row r="474">
      <c r="A474" t="inlineStr">
        <is>
          <t>No</t>
        </is>
      </c>
      <c r="B474" t="inlineStr">
        <is>
          <t>LB1051 .B4545</t>
        </is>
      </c>
      <c r="C474" t="inlineStr">
        <is>
          <t>0                      LB 1051000B  4545</t>
        </is>
      </c>
      <c r="D474" t="inlineStr">
        <is>
          <t>Human characteristics and school learning / Benjamin S. Bloom.</t>
        </is>
      </c>
      <c r="F474" t="inlineStr">
        <is>
          <t>No</t>
        </is>
      </c>
      <c r="G474" t="inlineStr">
        <is>
          <t>1</t>
        </is>
      </c>
      <c r="H474" t="inlineStr">
        <is>
          <t>No</t>
        </is>
      </c>
      <c r="I474" t="inlineStr">
        <is>
          <t>No</t>
        </is>
      </c>
      <c r="J474" t="inlineStr">
        <is>
          <t>0</t>
        </is>
      </c>
      <c r="K474" t="inlineStr">
        <is>
          <t>Bloom, Benjamin S. (Benjamin Samuel), 1913-1999.</t>
        </is>
      </c>
      <c r="L474" t="inlineStr">
        <is>
          <t>New York : McGraw-Hill, c1976.</t>
        </is>
      </c>
      <c r="M474" t="inlineStr">
        <is>
          <t>1976</t>
        </is>
      </c>
      <c r="O474" t="inlineStr">
        <is>
          <t>eng</t>
        </is>
      </c>
      <c r="P474" t="inlineStr">
        <is>
          <t>nyu</t>
        </is>
      </c>
      <c r="R474" t="inlineStr">
        <is>
          <t xml:space="preserve">LB </t>
        </is>
      </c>
      <c r="S474" t="n">
        <v>2</v>
      </c>
      <c r="T474" t="n">
        <v>2</v>
      </c>
      <c r="U474" t="inlineStr">
        <is>
          <t>2006-01-23</t>
        </is>
      </c>
      <c r="V474" t="inlineStr">
        <is>
          <t>2006-01-23</t>
        </is>
      </c>
      <c r="W474" t="inlineStr">
        <is>
          <t>1997-05-05</t>
        </is>
      </c>
      <c r="X474" t="inlineStr">
        <is>
          <t>1997-05-05</t>
        </is>
      </c>
      <c r="Y474" t="n">
        <v>1209</v>
      </c>
      <c r="Z474" t="n">
        <v>974</v>
      </c>
      <c r="AA474" t="n">
        <v>1028</v>
      </c>
      <c r="AB474" t="n">
        <v>10</v>
      </c>
      <c r="AC474" t="n">
        <v>10</v>
      </c>
      <c r="AD474" t="n">
        <v>39</v>
      </c>
      <c r="AE474" t="n">
        <v>42</v>
      </c>
      <c r="AF474" t="n">
        <v>13</v>
      </c>
      <c r="AG474" t="n">
        <v>15</v>
      </c>
      <c r="AH474" t="n">
        <v>8</v>
      </c>
      <c r="AI474" t="n">
        <v>10</v>
      </c>
      <c r="AJ474" t="n">
        <v>19</v>
      </c>
      <c r="AK474" t="n">
        <v>20</v>
      </c>
      <c r="AL474" t="n">
        <v>7</v>
      </c>
      <c r="AM474" t="n">
        <v>7</v>
      </c>
      <c r="AN474" t="n">
        <v>1</v>
      </c>
      <c r="AO474" t="n">
        <v>1</v>
      </c>
      <c r="AP474" t="inlineStr">
        <is>
          <t>No</t>
        </is>
      </c>
      <c r="AQ474" t="inlineStr">
        <is>
          <t>Yes</t>
        </is>
      </c>
      <c r="AR474">
        <f>HYPERLINK("http://catalog.hathitrust.org/Record/000691326","HathiTrust Record")</f>
        <v/>
      </c>
      <c r="AS474">
        <f>HYPERLINK("https://creighton-primo.hosted.exlibrisgroup.com/primo-explore/search?tab=default_tab&amp;search_scope=EVERYTHING&amp;vid=01CRU&amp;lang=en_US&amp;offset=0&amp;query=any,contains,991003992029702656","Catalog Record")</f>
        <v/>
      </c>
      <c r="AT474">
        <f>HYPERLINK("http://www.worldcat.org/oclc/2048219","WorldCat Record")</f>
        <v/>
      </c>
      <c r="AU474" t="inlineStr">
        <is>
          <t>4736:eng</t>
        </is>
      </c>
      <c r="AV474" t="inlineStr">
        <is>
          <t>2048219</t>
        </is>
      </c>
      <c r="AW474" t="inlineStr">
        <is>
          <t>991003992029702656</t>
        </is>
      </c>
      <c r="AX474" t="inlineStr">
        <is>
          <t>991003992029702656</t>
        </is>
      </c>
      <c r="AY474" t="inlineStr">
        <is>
          <t>2269350350002656</t>
        </is>
      </c>
      <c r="AZ474" t="inlineStr">
        <is>
          <t>BOOK</t>
        </is>
      </c>
      <c r="BB474" t="inlineStr">
        <is>
          <t>9780070061170</t>
        </is>
      </c>
      <c r="BC474" t="inlineStr">
        <is>
          <t>32285002632767</t>
        </is>
      </c>
      <c r="BD474" t="inlineStr">
        <is>
          <t>893693394</t>
        </is>
      </c>
    </row>
    <row r="475">
      <c r="A475" t="inlineStr">
        <is>
          <t>No</t>
        </is>
      </c>
      <c r="B475" t="inlineStr">
        <is>
          <t>LB1051 .B74 1973</t>
        </is>
      </c>
      <c r="C475" t="inlineStr">
        <is>
          <t>0                      LB 1051000B  74          1973</t>
        </is>
      </c>
      <c r="D475" t="inlineStr">
        <is>
          <t>The relevance of education, by Jerome S. Bruner. Edited by Anita Gil.</t>
        </is>
      </c>
      <c r="F475" t="inlineStr">
        <is>
          <t>No</t>
        </is>
      </c>
      <c r="G475" t="inlineStr">
        <is>
          <t>1</t>
        </is>
      </c>
      <c r="H475" t="inlineStr">
        <is>
          <t>No</t>
        </is>
      </c>
      <c r="I475" t="inlineStr">
        <is>
          <t>No</t>
        </is>
      </c>
      <c r="J475" t="inlineStr">
        <is>
          <t>0</t>
        </is>
      </c>
      <c r="K475" t="inlineStr">
        <is>
          <t>Bruner, Jerome S. (Jerome Seymour)</t>
        </is>
      </c>
      <c r="L475" t="inlineStr">
        <is>
          <t>New York, Norton [1973]</t>
        </is>
      </c>
      <c r="M475" t="inlineStr">
        <is>
          <t>1973</t>
        </is>
      </c>
      <c r="O475" t="inlineStr">
        <is>
          <t>eng</t>
        </is>
      </c>
      <c r="P475" t="inlineStr">
        <is>
          <t>nyu</t>
        </is>
      </c>
      <c r="Q475" t="inlineStr">
        <is>
          <t>The Norton library</t>
        </is>
      </c>
      <c r="R475" t="inlineStr">
        <is>
          <t xml:space="preserve">LB </t>
        </is>
      </c>
      <c r="S475" t="n">
        <v>1</v>
      </c>
      <c r="T475" t="n">
        <v>1</v>
      </c>
      <c r="U475" t="inlineStr">
        <is>
          <t>2000-10-23</t>
        </is>
      </c>
      <c r="V475" t="inlineStr">
        <is>
          <t>2000-10-23</t>
        </is>
      </c>
      <c r="W475" t="inlineStr">
        <is>
          <t>1992-03-03</t>
        </is>
      </c>
      <c r="X475" t="inlineStr">
        <is>
          <t>1992-03-03</t>
        </is>
      </c>
      <c r="Y475" t="n">
        <v>271</v>
      </c>
      <c r="Z475" t="n">
        <v>235</v>
      </c>
      <c r="AA475" t="n">
        <v>1122</v>
      </c>
      <c r="AB475" t="n">
        <v>1</v>
      </c>
      <c r="AC475" t="n">
        <v>11</v>
      </c>
      <c r="AD475" t="n">
        <v>6</v>
      </c>
      <c r="AE475" t="n">
        <v>48</v>
      </c>
      <c r="AF475" t="n">
        <v>5</v>
      </c>
      <c r="AG475" t="n">
        <v>20</v>
      </c>
      <c r="AH475" t="n">
        <v>2</v>
      </c>
      <c r="AI475" t="n">
        <v>10</v>
      </c>
      <c r="AJ475" t="n">
        <v>1</v>
      </c>
      <c r="AK475" t="n">
        <v>19</v>
      </c>
      <c r="AL475" t="n">
        <v>0</v>
      </c>
      <c r="AM475" t="n">
        <v>10</v>
      </c>
      <c r="AN475" t="n">
        <v>0</v>
      </c>
      <c r="AO475" t="n">
        <v>0</v>
      </c>
      <c r="AP475" t="inlineStr">
        <is>
          <t>No</t>
        </is>
      </c>
      <c r="AQ475" t="inlineStr">
        <is>
          <t>No</t>
        </is>
      </c>
      <c r="AS475">
        <f>HYPERLINK("https://creighton-primo.hosted.exlibrisgroup.com/primo-explore/search?tab=default_tab&amp;search_scope=EVERYTHING&amp;vid=01CRU&amp;lang=en_US&amp;offset=0&amp;query=any,contains,991003005389702656","Catalog Record")</f>
        <v/>
      </c>
      <c r="AT475">
        <f>HYPERLINK("http://www.worldcat.org/oclc/572743","WorldCat Record")</f>
        <v/>
      </c>
      <c r="AU475" t="inlineStr">
        <is>
          <t>9490375792:eng</t>
        </is>
      </c>
      <c r="AV475" t="inlineStr">
        <is>
          <t>572743</t>
        </is>
      </c>
      <c r="AW475" t="inlineStr">
        <is>
          <t>991003005389702656</t>
        </is>
      </c>
      <c r="AX475" t="inlineStr">
        <is>
          <t>991003005389702656</t>
        </is>
      </c>
      <c r="AY475" t="inlineStr">
        <is>
          <t>2272419290002656</t>
        </is>
      </c>
      <c r="AZ475" t="inlineStr">
        <is>
          <t>BOOK</t>
        </is>
      </c>
      <c r="BB475" t="inlineStr">
        <is>
          <t>9780393006902</t>
        </is>
      </c>
      <c r="BC475" t="inlineStr">
        <is>
          <t>32285000990951</t>
        </is>
      </c>
      <c r="BD475" t="inlineStr">
        <is>
          <t>893323634</t>
        </is>
      </c>
    </row>
    <row r="476">
      <c r="A476" t="inlineStr">
        <is>
          <t>No</t>
        </is>
      </c>
      <c r="B476" t="inlineStr">
        <is>
          <t>LB1051 .D37 1988</t>
        </is>
      </c>
      <c r="C476" t="inlineStr">
        <is>
          <t>0                      LB 1051000D  37          1988</t>
        </is>
      </c>
      <c r="D476" t="inlineStr">
        <is>
          <t>Applying educational psychology in the classroom / Myron H. Dembo.</t>
        </is>
      </c>
      <c r="F476" t="inlineStr">
        <is>
          <t>No</t>
        </is>
      </c>
      <c r="G476" t="inlineStr">
        <is>
          <t>1</t>
        </is>
      </c>
      <c r="H476" t="inlineStr">
        <is>
          <t>No</t>
        </is>
      </c>
      <c r="I476" t="inlineStr">
        <is>
          <t>No</t>
        </is>
      </c>
      <c r="J476" t="inlineStr">
        <is>
          <t>0</t>
        </is>
      </c>
      <c r="K476" t="inlineStr">
        <is>
          <t>Dembo, Myron H.</t>
        </is>
      </c>
      <c r="L476" t="inlineStr">
        <is>
          <t>New York : Longman, c1988.</t>
        </is>
      </c>
      <c r="M476" t="inlineStr">
        <is>
          <t>1988</t>
        </is>
      </c>
      <c r="N476" t="inlineStr">
        <is>
          <t>3rd ed.</t>
        </is>
      </c>
      <c r="O476" t="inlineStr">
        <is>
          <t>eng</t>
        </is>
      </c>
      <c r="P476" t="inlineStr">
        <is>
          <t>nyu</t>
        </is>
      </c>
      <c r="R476" t="inlineStr">
        <is>
          <t xml:space="preserve">LB </t>
        </is>
      </c>
      <c r="S476" t="n">
        <v>8</v>
      </c>
      <c r="T476" t="n">
        <v>8</v>
      </c>
      <c r="U476" t="inlineStr">
        <is>
          <t>2010-09-19</t>
        </is>
      </c>
      <c r="V476" t="inlineStr">
        <is>
          <t>2010-09-19</t>
        </is>
      </c>
      <c r="W476" t="inlineStr">
        <is>
          <t>1992-11-04</t>
        </is>
      </c>
      <c r="X476" t="inlineStr">
        <is>
          <t>1992-11-04</t>
        </is>
      </c>
      <c r="Y476" t="n">
        <v>225</v>
      </c>
      <c r="Z476" t="n">
        <v>188</v>
      </c>
      <c r="AA476" t="n">
        <v>319</v>
      </c>
      <c r="AB476" t="n">
        <v>3</v>
      </c>
      <c r="AC476" t="n">
        <v>3</v>
      </c>
      <c r="AD476" t="n">
        <v>10</v>
      </c>
      <c r="AE476" t="n">
        <v>14</v>
      </c>
      <c r="AF476" t="n">
        <v>2</v>
      </c>
      <c r="AG476" t="n">
        <v>3</v>
      </c>
      <c r="AH476" t="n">
        <v>3</v>
      </c>
      <c r="AI476" t="n">
        <v>4</v>
      </c>
      <c r="AJ476" t="n">
        <v>5</v>
      </c>
      <c r="AK476" t="n">
        <v>9</v>
      </c>
      <c r="AL476" t="n">
        <v>2</v>
      </c>
      <c r="AM476" t="n">
        <v>2</v>
      </c>
      <c r="AN476" t="n">
        <v>0</v>
      </c>
      <c r="AO476" t="n">
        <v>0</v>
      </c>
      <c r="AP476" t="inlineStr">
        <is>
          <t>No</t>
        </is>
      </c>
      <c r="AQ476" t="inlineStr">
        <is>
          <t>No</t>
        </is>
      </c>
      <c r="AS476">
        <f>HYPERLINK("https://creighton-primo.hosted.exlibrisgroup.com/primo-explore/search?tab=default_tab&amp;search_scope=EVERYTHING&amp;vid=01CRU&amp;lang=en_US&amp;offset=0&amp;query=any,contains,991001037759702656","Catalog Record")</f>
        <v/>
      </c>
      <c r="AT476">
        <f>HYPERLINK("http://www.worldcat.org/oclc/15550487","WorldCat Record")</f>
        <v/>
      </c>
      <c r="AU476" t="inlineStr">
        <is>
          <t>351282:eng</t>
        </is>
      </c>
      <c r="AV476" t="inlineStr">
        <is>
          <t>15550487</t>
        </is>
      </c>
      <c r="AW476" t="inlineStr">
        <is>
          <t>991001037759702656</t>
        </is>
      </c>
      <c r="AX476" t="inlineStr">
        <is>
          <t>991001037759702656</t>
        </is>
      </c>
      <c r="AY476" t="inlineStr">
        <is>
          <t>2256350870002656</t>
        </is>
      </c>
      <c r="AZ476" t="inlineStr">
        <is>
          <t>BOOK</t>
        </is>
      </c>
      <c r="BB476" t="inlineStr">
        <is>
          <t>9780582290365</t>
        </is>
      </c>
      <c r="BC476" t="inlineStr">
        <is>
          <t>32285004385075</t>
        </is>
      </c>
      <c r="BD476" t="inlineStr">
        <is>
          <t>893791107</t>
        </is>
      </c>
    </row>
    <row r="477">
      <c r="A477" t="inlineStr">
        <is>
          <t>No</t>
        </is>
      </c>
      <c r="B477" t="inlineStr">
        <is>
          <t>LB1051 .D81 1988</t>
        </is>
      </c>
      <c r="C477" t="inlineStr">
        <is>
          <t>0                      LB 1051000D  81          1988</t>
        </is>
      </c>
      <c r="D477" t="inlineStr">
        <is>
          <t>Learning styles : quiet revolution in American secondary schools / by Rita Dunn and Shirley A. Griggs.</t>
        </is>
      </c>
      <c r="F477" t="inlineStr">
        <is>
          <t>No</t>
        </is>
      </c>
      <c r="G477" t="inlineStr">
        <is>
          <t>1</t>
        </is>
      </c>
      <c r="H477" t="inlineStr">
        <is>
          <t>No</t>
        </is>
      </c>
      <c r="I477" t="inlineStr">
        <is>
          <t>No</t>
        </is>
      </c>
      <c r="J477" t="inlineStr">
        <is>
          <t>0</t>
        </is>
      </c>
      <c r="K477" t="inlineStr">
        <is>
          <t>Dunn, Rita, 1929-2009.</t>
        </is>
      </c>
      <c r="L477" t="inlineStr">
        <is>
          <t>Reston, Va. : National Association of Secondary School Principals, c1988.</t>
        </is>
      </c>
      <c r="M477" t="inlineStr">
        <is>
          <t>1988</t>
        </is>
      </c>
      <c r="O477" t="inlineStr">
        <is>
          <t>eng</t>
        </is>
      </c>
      <c r="P477" t="inlineStr">
        <is>
          <t>vau</t>
        </is>
      </c>
      <c r="R477" t="inlineStr">
        <is>
          <t xml:space="preserve">LB </t>
        </is>
      </c>
      <c r="S477" t="n">
        <v>11</v>
      </c>
      <c r="T477" t="n">
        <v>11</v>
      </c>
      <c r="U477" t="inlineStr">
        <is>
          <t>2006-01-18</t>
        </is>
      </c>
      <c r="V477" t="inlineStr">
        <is>
          <t>2006-01-18</t>
        </is>
      </c>
      <c r="W477" t="inlineStr">
        <is>
          <t>1992-11-04</t>
        </is>
      </c>
      <c r="X477" t="inlineStr">
        <is>
          <t>1992-11-04</t>
        </is>
      </c>
      <c r="Y477" t="n">
        <v>622</v>
      </c>
      <c r="Z477" t="n">
        <v>561</v>
      </c>
      <c r="AA477" t="n">
        <v>564</v>
      </c>
      <c r="AB477" t="n">
        <v>7</v>
      </c>
      <c r="AC477" t="n">
        <v>7</v>
      </c>
      <c r="AD477" t="n">
        <v>28</v>
      </c>
      <c r="AE477" t="n">
        <v>28</v>
      </c>
      <c r="AF477" t="n">
        <v>12</v>
      </c>
      <c r="AG477" t="n">
        <v>12</v>
      </c>
      <c r="AH477" t="n">
        <v>5</v>
      </c>
      <c r="AI477" t="n">
        <v>5</v>
      </c>
      <c r="AJ477" t="n">
        <v>11</v>
      </c>
      <c r="AK477" t="n">
        <v>11</v>
      </c>
      <c r="AL477" t="n">
        <v>6</v>
      </c>
      <c r="AM477" t="n">
        <v>6</v>
      </c>
      <c r="AN477" t="n">
        <v>0</v>
      </c>
      <c r="AO477" t="n">
        <v>0</v>
      </c>
      <c r="AP477" t="inlineStr">
        <is>
          <t>No</t>
        </is>
      </c>
      <c r="AQ477" t="inlineStr">
        <is>
          <t>Yes</t>
        </is>
      </c>
      <c r="AR477">
        <f>HYPERLINK("http://catalog.hathitrust.org/Record/000947559","HathiTrust Record")</f>
        <v/>
      </c>
      <c r="AS477">
        <f>HYPERLINK("https://creighton-primo.hosted.exlibrisgroup.com/primo-explore/search?tab=default_tab&amp;search_scope=EVERYTHING&amp;vid=01CRU&amp;lang=en_US&amp;offset=0&amp;query=any,contains,991001286869702656","Catalog Record")</f>
        <v/>
      </c>
      <c r="AT477">
        <f>HYPERLINK("http://www.worldcat.org/oclc/17957583","WorldCat Record")</f>
        <v/>
      </c>
      <c r="AU477" t="inlineStr">
        <is>
          <t>287828434:eng</t>
        </is>
      </c>
      <c r="AV477" t="inlineStr">
        <is>
          <t>17957583</t>
        </is>
      </c>
      <c r="AW477" t="inlineStr">
        <is>
          <t>991001286869702656</t>
        </is>
      </c>
      <c r="AX477" t="inlineStr">
        <is>
          <t>991001286869702656</t>
        </is>
      </c>
      <c r="AY477" t="inlineStr">
        <is>
          <t>2262740590002656</t>
        </is>
      </c>
      <c r="AZ477" t="inlineStr">
        <is>
          <t>BOOK</t>
        </is>
      </c>
      <c r="BB477" t="inlineStr">
        <is>
          <t>9780882102092</t>
        </is>
      </c>
      <c r="BC477" t="inlineStr">
        <is>
          <t>32285001381648</t>
        </is>
      </c>
      <c r="BD477" t="inlineStr">
        <is>
          <t>893439040</t>
        </is>
      </c>
    </row>
    <row r="478">
      <c r="A478" t="inlineStr">
        <is>
          <t>No</t>
        </is>
      </c>
      <c r="B478" t="inlineStr">
        <is>
          <t>LB1051 .E389</t>
        </is>
      </c>
      <c r="C478" t="inlineStr">
        <is>
          <t>0                      LB 1051000E  389</t>
        </is>
      </c>
      <c r="D478" t="inlineStr">
        <is>
          <t>Styles of learning and teaching : an integrated outline of educational psychology for students, teachers, and lecturers / Noel Entwistle.</t>
        </is>
      </c>
      <c r="F478" t="inlineStr">
        <is>
          <t>No</t>
        </is>
      </c>
      <c r="G478" t="inlineStr">
        <is>
          <t>1</t>
        </is>
      </c>
      <c r="H478" t="inlineStr">
        <is>
          <t>Yes</t>
        </is>
      </c>
      <c r="I478" t="inlineStr">
        <is>
          <t>No</t>
        </is>
      </c>
      <c r="J478" t="inlineStr">
        <is>
          <t>0</t>
        </is>
      </c>
      <c r="K478" t="inlineStr">
        <is>
          <t>Entwistle, Noel James.</t>
        </is>
      </c>
      <c r="L478" t="inlineStr">
        <is>
          <t>New York : John Wiley, 1981.</t>
        </is>
      </c>
      <c r="M478" t="inlineStr">
        <is>
          <t>1981</t>
        </is>
      </c>
      <c r="O478" t="inlineStr">
        <is>
          <t>eng</t>
        </is>
      </c>
      <c r="P478" t="inlineStr">
        <is>
          <t xml:space="preserve">xx </t>
        </is>
      </c>
      <c r="R478" t="inlineStr">
        <is>
          <t xml:space="preserve">LB </t>
        </is>
      </c>
      <c r="S478" t="n">
        <v>15</v>
      </c>
      <c r="T478" t="n">
        <v>15</v>
      </c>
      <c r="U478" t="inlineStr">
        <is>
          <t>2006-01-18</t>
        </is>
      </c>
      <c r="V478" t="inlineStr">
        <is>
          <t>2006-01-18</t>
        </is>
      </c>
      <c r="W478" t="inlineStr">
        <is>
          <t>1992-11-04</t>
        </is>
      </c>
      <c r="X478" t="inlineStr">
        <is>
          <t>1992-11-04</t>
        </is>
      </c>
      <c r="Y478" t="n">
        <v>647</v>
      </c>
      <c r="Z478" t="n">
        <v>460</v>
      </c>
      <c r="AA478" t="n">
        <v>495</v>
      </c>
      <c r="AB478" t="n">
        <v>6</v>
      </c>
      <c r="AC478" t="n">
        <v>6</v>
      </c>
      <c r="AD478" t="n">
        <v>23</v>
      </c>
      <c r="AE478" t="n">
        <v>23</v>
      </c>
      <c r="AF478" t="n">
        <v>12</v>
      </c>
      <c r="AG478" t="n">
        <v>12</v>
      </c>
      <c r="AH478" t="n">
        <v>3</v>
      </c>
      <c r="AI478" t="n">
        <v>3</v>
      </c>
      <c r="AJ478" t="n">
        <v>10</v>
      </c>
      <c r="AK478" t="n">
        <v>10</v>
      </c>
      <c r="AL478" t="n">
        <v>3</v>
      </c>
      <c r="AM478" t="n">
        <v>3</v>
      </c>
      <c r="AN478" t="n">
        <v>0</v>
      </c>
      <c r="AO478" t="n">
        <v>0</v>
      </c>
      <c r="AP478" t="inlineStr">
        <is>
          <t>No</t>
        </is>
      </c>
      <c r="AQ478" t="inlineStr">
        <is>
          <t>Yes</t>
        </is>
      </c>
      <c r="AR478">
        <f>HYPERLINK("http://catalog.hathitrust.org/Record/000807407","HathiTrust Record")</f>
        <v/>
      </c>
      <c r="AS478">
        <f>HYPERLINK("https://creighton-primo.hosted.exlibrisgroup.com/primo-explore/search?tab=default_tab&amp;search_scope=EVERYTHING&amp;vid=01CRU&amp;lang=en_US&amp;offset=0&amp;query=any,contains,991005169709702656","Catalog Record")</f>
        <v/>
      </c>
      <c r="AT478">
        <f>HYPERLINK("http://www.worldcat.org/oclc/7842512","WorldCat Record")</f>
        <v/>
      </c>
      <c r="AU478" t="inlineStr">
        <is>
          <t>866850871:eng</t>
        </is>
      </c>
      <c r="AV478" t="inlineStr">
        <is>
          <t>7842512</t>
        </is>
      </c>
      <c r="AW478" t="inlineStr">
        <is>
          <t>991005169709702656</t>
        </is>
      </c>
      <c r="AX478" t="inlineStr">
        <is>
          <t>991005169709702656</t>
        </is>
      </c>
      <c r="AY478" t="inlineStr">
        <is>
          <t>2266995480002656</t>
        </is>
      </c>
      <c r="AZ478" t="inlineStr">
        <is>
          <t>BOOK</t>
        </is>
      </c>
      <c r="BB478" t="inlineStr">
        <is>
          <t>9780471279013</t>
        </is>
      </c>
      <c r="BC478" t="inlineStr">
        <is>
          <t>32285001381671</t>
        </is>
      </c>
      <c r="BD478" t="inlineStr">
        <is>
          <t>893719906</t>
        </is>
      </c>
    </row>
    <row r="479">
      <c r="A479" t="inlineStr">
        <is>
          <t>No</t>
        </is>
      </c>
      <c r="B479" t="inlineStr">
        <is>
          <t>LB1051 .F556 1986</t>
        </is>
      </c>
      <c r="C479" t="inlineStr">
        <is>
          <t>0                      LB 1051000F  556         1986</t>
        </is>
      </c>
      <c r="D479" t="inlineStr">
        <is>
          <t>Teaching and personality / David Fontana.</t>
        </is>
      </c>
      <c r="F479" t="inlineStr">
        <is>
          <t>No</t>
        </is>
      </c>
      <c r="G479" t="inlineStr">
        <is>
          <t>1</t>
        </is>
      </c>
      <c r="H479" t="inlineStr">
        <is>
          <t>No</t>
        </is>
      </c>
      <c r="I479" t="inlineStr">
        <is>
          <t>No</t>
        </is>
      </c>
      <c r="J479" t="inlineStr">
        <is>
          <t>0</t>
        </is>
      </c>
      <c r="K479" t="inlineStr">
        <is>
          <t>Fontana, David.</t>
        </is>
      </c>
      <c r="L479" t="inlineStr">
        <is>
          <t>Oxford [Oxfordshire] ; New York, NY, USA : B. Blackwell, 1986.</t>
        </is>
      </c>
      <c r="M479" t="inlineStr">
        <is>
          <t>1986</t>
        </is>
      </c>
      <c r="N479" t="inlineStr">
        <is>
          <t>2nd ed.</t>
        </is>
      </c>
      <c r="O479" t="inlineStr">
        <is>
          <t>eng</t>
        </is>
      </c>
      <c r="P479" t="inlineStr">
        <is>
          <t>enk</t>
        </is>
      </c>
      <c r="R479" t="inlineStr">
        <is>
          <t xml:space="preserve">LB </t>
        </is>
      </c>
      <c r="S479" t="n">
        <v>1</v>
      </c>
      <c r="T479" t="n">
        <v>1</v>
      </c>
      <c r="U479" t="inlineStr">
        <is>
          <t>2006-02-03</t>
        </is>
      </c>
      <c r="V479" t="inlineStr">
        <is>
          <t>2006-02-03</t>
        </is>
      </c>
      <c r="W479" t="inlineStr">
        <is>
          <t>1992-11-04</t>
        </is>
      </c>
      <c r="X479" t="inlineStr">
        <is>
          <t>1992-11-04</t>
        </is>
      </c>
      <c r="Y479" t="n">
        <v>255</v>
      </c>
      <c r="Z479" t="n">
        <v>154</v>
      </c>
      <c r="AA479" t="n">
        <v>161</v>
      </c>
      <c r="AB479" t="n">
        <v>3</v>
      </c>
      <c r="AC479" t="n">
        <v>3</v>
      </c>
      <c r="AD479" t="n">
        <v>8</v>
      </c>
      <c r="AE479" t="n">
        <v>9</v>
      </c>
      <c r="AF479" t="n">
        <v>2</v>
      </c>
      <c r="AG479" t="n">
        <v>3</v>
      </c>
      <c r="AH479" t="n">
        <v>1</v>
      </c>
      <c r="AI479" t="n">
        <v>1</v>
      </c>
      <c r="AJ479" t="n">
        <v>6</v>
      </c>
      <c r="AK479" t="n">
        <v>7</v>
      </c>
      <c r="AL479" t="n">
        <v>2</v>
      </c>
      <c r="AM479" t="n">
        <v>2</v>
      </c>
      <c r="AN479" t="n">
        <v>0</v>
      </c>
      <c r="AO479" t="n">
        <v>0</v>
      </c>
      <c r="AP479" t="inlineStr">
        <is>
          <t>No</t>
        </is>
      </c>
      <c r="AQ479" t="inlineStr">
        <is>
          <t>No</t>
        </is>
      </c>
      <c r="AS479">
        <f>HYPERLINK("https://creighton-primo.hosted.exlibrisgroup.com/primo-explore/search?tab=default_tab&amp;search_scope=EVERYTHING&amp;vid=01CRU&amp;lang=en_US&amp;offset=0&amp;query=any,contains,991000761689702656","Catalog Record")</f>
        <v/>
      </c>
      <c r="AT479">
        <f>HYPERLINK("http://www.worldcat.org/oclc/12973739","WorldCat Record")</f>
        <v/>
      </c>
      <c r="AU479" t="inlineStr">
        <is>
          <t>5619628:eng</t>
        </is>
      </c>
      <c r="AV479" t="inlineStr">
        <is>
          <t>12973739</t>
        </is>
      </c>
      <c r="AW479" t="inlineStr">
        <is>
          <t>991000761689702656</t>
        </is>
      </c>
      <c r="AX479" t="inlineStr">
        <is>
          <t>991000761689702656</t>
        </is>
      </c>
      <c r="AY479" t="inlineStr">
        <is>
          <t>2263308300002656</t>
        </is>
      </c>
      <c r="AZ479" t="inlineStr">
        <is>
          <t>BOOK</t>
        </is>
      </c>
      <c r="BB479" t="inlineStr">
        <is>
          <t>9780631149149</t>
        </is>
      </c>
      <c r="BC479" t="inlineStr">
        <is>
          <t>32285001381697</t>
        </is>
      </c>
      <c r="BD479" t="inlineStr">
        <is>
          <t>893589719</t>
        </is>
      </c>
    </row>
    <row r="480">
      <c r="A480" t="inlineStr">
        <is>
          <t>No</t>
        </is>
      </c>
      <c r="B480" t="inlineStr">
        <is>
          <t>LB1051 .G19 1977</t>
        </is>
      </c>
      <c r="C480" t="inlineStr">
        <is>
          <t>0                      LB 1051000G  19          1977</t>
        </is>
      </c>
      <c r="D480" t="inlineStr">
        <is>
          <t>The conditions of learning / Robert M. Gagné.</t>
        </is>
      </c>
      <c r="F480" t="inlineStr">
        <is>
          <t>No</t>
        </is>
      </c>
      <c r="G480" t="inlineStr">
        <is>
          <t>1</t>
        </is>
      </c>
      <c r="H480" t="inlineStr">
        <is>
          <t>No</t>
        </is>
      </c>
      <c r="I480" t="inlineStr">
        <is>
          <t>No</t>
        </is>
      </c>
      <c r="J480" t="inlineStr">
        <is>
          <t>0</t>
        </is>
      </c>
      <c r="K480" t="inlineStr">
        <is>
          <t>Gagné, Robert M. (Robert Mills), 1916-2002.</t>
        </is>
      </c>
      <c r="L480" t="inlineStr">
        <is>
          <t>New York : Holt, Rinehart and Winston, c1977.</t>
        </is>
      </c>
      <c r="M480" t="inlineStr">
        <is>
          <t>1977</t>
        </is>
      </c>
      <c r="N480" t="inlineStr">
        <is>
          <t>3d ed.</t>
        </is>
      </c>
      <c r="O480" t="inlineStr">
        <is>
          <t>eng</t>
        </is>
      </c>
      <c r="P480" t="inlineStr">
        <is>
          <t>nyu</t>
        </is>
      </c>
      <c r="R480" t="inlineStr">
        <is>
          <t xml:space="preserve">LB </t>
        </is>
      </c>
      <c r="S480" t="n">
        <v>6</v>
      </c>
      <c r="T480" t="n">
        <v>6</v>
      </c>
      <c r="U480" t="inlineStr">
        <is>
          <t>2000-08-28</t>
        </is>
      </c>
      <c r="V480" t="inlineStr">
        <is>
          <t>2000-08-28</t>
        </is>
      </c>
      <c r="W480" t="inlineStr">
        <is>
          <t>1997-05-05</t>
        </is>
      </c>
      <c r="X480" t="inlineStr">
        <is>
          <t>1997-05-05</t>
        </is>
      </c>
      <c r="Y480" t="n">
        <v>613</v>
      </c>
      <c r="Z480" t="n">
        <v>414</v>
      </c>
      <c r="AA480" t="n">
        <v>1080</v>
      </c>
      <c r="AB480" t="n">
        <v>4</v>
      </c>
      <c r="AC480" t="n">
        <v>10</v>
      </c>
      <c r="AD480" t="n">
        <v>16</v>
      </c>
      <c r="AE480" t="n">
        <v>39</v>
      </c>
      <c r="AF480" t="n">
        <v>6</v>
      </c>
      <c r="AG480" t="n">
        <v>16</v>
      </c>
      <c r="AH480" t="n">
        <v>2</v>
      </c>
      <c r="AI480" t="n">
        <v>8</v>
      </c>
      <c r="AJ480" t="n">
        <v>8</v>
      </c>
      <c r="AK480" t="n">
        <v>19</v>
      </c>
      <c r="AL480" t="n">
        <v>3</v>
      </c>
      <c r="AM480" t="n">
        <v>7</v>
      </c>
      <c r="AN480" t="n">
        <v>0</v>
      </c>
      <c r="AO480" t="n">
        <v>0</v>
      </c>
      <c r="AP480" t="inlineStr">
        <is>
          <t>No</t>
        </is>
      </c>
      <c r="AQ480" t="inlineStr">
        <is>
          <t>Yes</t>
        </is>
      </c>
      <c r="AR480">
        <f>HYPERLINK("http://catalog.hathitrust.org/Record/000172796","HathiTrust Record")</f>
        <v/>
      </c>
      <c r="AS480">
        <f>HYPERLINK("https://creighton-primo.hosted.exlibrisgroup.com/primo-explore/search?tab=default_tab&amp;search_scope=EVERYTHING&amp;vid=01CRU&amp;lang=en_US&amp;offset=0&amp;query=any,contains,991005266529702656","Catalog Record")</f>
        <v/>
      </c>
      <c r="AT480">
        <f>HYPERLINK("http://www.worldcat.org/oclc/2784760","WorldCat Record")</f>
        <v/>
      </c>
      <c r="AU480" t="inlineStr">
        <is>
          <t>4926815020:eng</t>
        </is>
      </c>
      <c r="AV480" t="inlineStr">
        <is>
          <t>2784760</t>
        </is>
      </c>
      <c r="AW480" t="inlineStr">
        <is>
          <t>991005266529702656</t>
        </is>
      </c>
      <c r="AX480" t="inlineStr">
        <is>
          <t>991005266529702656</t>
        </is>
      </c>
      <c r="AY480" t="inlineStr">
        <is>
          <t>2269813470002656</t>
        </is>
      </c>
      <c r="AZ480" t="inlineStr">
        <is>
          <t>BOOK</t>
        </is>
      </c>
      <c r="BB480" t="inlineStr">
        <is>
          <t>9780030899652</t>
        </is>
      </c>
      <c r="BC480" t="inlineStr">
        <is>
          <t>32285002632965</t>
        </is>
      </c>
      <c r="BD480" t="inlineStr">
        <is>
          <t>893607106</t>
        </is>
      </c>
    </row>
    <row r="481">
      <c r="A481" t="inlineStr">
        <is>
          <t>No</t>
        </is>
      </c>
      <c r="B481" t="inlineStr">
        <is>
          <t>LB1051 .G484</t>
        </is>
      </c>
      <c r="C481" t="inlineStr">
        <is>
          <t>0                      LB 1051000G  484</t>
        </is>
      </c>
      <c r="D481" t="inlineStr">
        <is>
          <t>Psychology for the classroom / Janice T. Gibson.</t>
        </is>
      </c>
      <c r="F481" t="inlineStr">
        <is>
          <t>No</t>
        </is>
      </c>
      <c r="G481" t="inlineStr">
        <is>
          <t>1</t>
        </is>
      </c>
      <c r="H481" t="inlineStr">
        <is>
          <t>No</t>
        </is>
      </c>
      <c r="I481" t="inlineStr">
        <is>
          <t>No</t>
        </is>
      </c>
      <c r="J481" t="inlineStr">
        <is>
          <t>0</t>
        </is>
      </c>
      <c r="K481" t="inlineStr">
        <is>
          <t>Gibson-Cline, Janice, 1934-</t>
        </is>
      </c>
      <c r="L481" t="inlineStr">
        <is>
          <t>Englewood Cliffs, N.J. : Prentice-Hall, c1976.</t>
        </is>
      </c>
      <c r="M481" t="inlineStr">
        <is>
          <t>1976</t>
        </is>
      </c>
      <c r="O481" t="inlineStr">
        <is>
          <t>eng</t>
        </is>
      </c>
      <c r="P481" t="inlineStr">
        <is>
          <t>nju</t>
        </is>
      </c>
      <c r="R481" t="inlineStr">
        <is>
          <t xml:space="preserve">LB </t>
        </is>
      </c>
      <c r="S481" t="n">
        <v>2</v>
      </c>
      <c r="T481" t="n">
        <v>2</v>
      </c>
      <c r="U481" t="inlineStr">
        <is>
          <t>2005-03-24</t>
        </is>
      </c>
      <c r="V481" t="inlineStr">
        <is>
          <t>2005-03-24</t>
        </is>
      </c>
      <c r="W481" t="inlineStr">
        <is>
          <t>1997-05-05</t>
        </is>
      </c>
      <c r="X481" t="inlineStr">
        <is>
          <t>1997-05-05</t>
        </is>
      </c>
      <c r="Y481" t="n">
        <v>307</v>
      </c>
      <c r="Z481" t="n">
        <v>215</v>
      </c>
      <c r="AA481" t="n">
        <v>304</v>
      </c>
      <c r="AB481" t="n">
        <v>3</v>
      </c>
      <c r="AC481" t="n">
        <v>5</v>
      </c>
      <c r="AD481" t="n">
        <v>12</v>
      </c>
      <c r="AE481" t="n">
        <v>16</v>
      </c>
      <c r="AF481" t="n">
        <v>4</v>
      </c>
      <c r="AG481" t="n">
        <v>4</v>
      </c>
      <c r="AH481" t="n">
        <v>3</v>
      </c>
      <c r="AI481" t="n">
        <v>5</v>
      </c>
      <c r="AJ481" t="n">
        <v>7</v>
      </c>
      <c r="AK481" t="n">
        <v>8</v>
      </c>
      <c r="AL481" t="n">
        <v>2</v>
      </c>
      <c r="AM481" t="n">
        <v>4</v>
      </c>
      <c r="AN481" t="n">
        <v>0</v>
      </c>
      <c r="AO481" t="n">
        <v>0</v>
      </c>
      <c r="AP481" t="inlineStr">
        <is>
          <t>No</t>
        </is>
      </c>
      <c r="AQ481" t="inlineStr">
        <is>
          <t>Yes</t>
        </is>
      </c>
      <c r="AR481">
        <f>HYPERLINK("http://catalog.hathitrust.org/Record/009905657","HathiTrust Record")</f>
        <v/>
      </c>
      <c r="AS481">
        <f>HYPERLINK("https://creighton-primo.hosted.exlibrisgroup.com/primo-explore/search?tab=default_tab&amp;search_scope=EVERYTHING&amp;vid=01CRU&amp;lang=en_US&amp;offset=0&amp;query=any,contains,991003884669702656","Catalog Record")</f>
        <v/>
      </c>
      <c r="AT481">
        <f>HYPERLINK("http://www.worldcat.org/oclc/1733745","WorldCat Record")</f>
        <v/>
      </c>
      <c r="AU481" t="inlineStr">
        <is>
          <t>2708989:eng</t>
        </is>
      </c>
      <c r="AV481" t="inlineStr">
        <is>
          <t>1733745</t>
        </is>
      </c>
      <c r="AW481" t="inlineStr">
        <is>
          <t>991003884669702656</t>
        </is>
      </c>
      <c r="AX481" t="inlineStr">
        <is>
          <t>991003884669702656</t>
        </is>
      </c>
      <c r="AY481" t="inlineStr">
        <is>
          <t>2256752060002656</t>
        </is>
      </c>
      <c r="AZ481" t="inlineStr">
        <is>
          <t>BOOK</t>
        </is>
      </c>
      <c r="BB481" t="inlineStr">
        <is>
          <t>9780137332878</t>
        </is>
      </c>
      <c r="BC481" t="inlineStr">
        <is>
          <t>32285002632999</t>
        </is>
      </c>
      <c r="BD481" t="inlineStr">
        <is>
          <t>893718176</t>
        </is>
      </c>
    </row>
    <row r="482">
      <c r="A482" t="inlineStr">
        <is>
          <t>No</t>
        </is>
      </c>
      <c r="B482" t="inlineStr">
        <is>
          <t>LB1051 .H226</t>
        </is>
      </c>
      <c r="C482" t="inlineStr">
        <is>
          <t>0                      LB 1051000H  226</t>
        </is>
      </c>
      <c r="D482" t="inlineStr">
        <is>
          <t>Classical conditioning and instrumental learning : a contemporary approach / John F. Hall.</t>
        </is>
      </c>
      <c r="F482" t="inlineStr">
        <is>
          <t>No</t>
        </is>
      </c>
      <c r="G482" t="inlineStr">
        <is>
          <t>1</t>
        </is>
      </c>
      <c r="H482" t="inlineStr">
        <is>
          <t>No</t>
        </is>
      </c>
      <c r="I482" t="inlineStr">
        <is>
          <t>No</t>
        </is>
      </c>
      <c r="J482" t="inlineStr">
        <is>
          <t>0</t>
        </is>
      </c>
      <c r="K482" t="inlineStr">
        <is>
          <t>Hall, John F.</t>
        </is>
      </c>
      <c r="L482" t="inlineStr">
        <is>
          <t>Philadelphia : Lippincott, c1976.</t>
        </is>
      </c>
      <c r="M482" t="inlineStr">
        <is>
          <t>1976</t>
        </is>
      </c>
      <c r="O482" t="inlineStr">
        <is>
          <t>eng</t>
        </is>
      </c>
      <c r="P482" t="inlineStr">
        <is>
          <t>pau</t>
        </is>
      </c>
      <c r="R482" t="inlineStr">
        <is>
          <t xml:space="preserve">LB </t>
        </is>
      </c>
      <c r="S482" t="n">
        <v>4</v>
      </c>
      <c r="T482" t="n">
        <v>4</v>
      </c>
      <c r="U482" t="inlineStr">
        <is>
          <t>2002-04-02</t>
        </is>
      </c>
      <c r="V482" t="inlineStr">
        <is>
          <t>2002-04-02</t>
        </is>
      </c>
      <c r="W482" t="inlineStr">
        <is>
          <t>1997-05-05</t>
        </is>
      </c>
      <c r="X482" t="inlineStr">
        <is>
          <t>1997-05-05</t>
        </is>
      </c>
      <c r="Y482" t="n">
        <v>267</v>
      </c>
      <c r="Z482" t="n">
        <v>208</v>
      </c>
      <c r="AA482" t="n">
        <v>214</v>
      </c>
      <c r="AB482" t="n">
        <v>1</v>
      </c>
      <c r="AC482" t="n">
        <v>1</v>
      </c>
      <c r="AD482" t="n">
        <v>11</v>
      </c>
      <c r="AE482" t="n">
        <v>11</v>
      </c>
      <c r="AF482" t="n">
        <v>5</v>
      </c>
      <c r="AG482" t="n">
        <v>5</v>
      </c>
      <c r="AH482" t="n">
        <v>3</v>
      </c>
      <c r="AI482" t="n">
        <v>3</v>
      </c>
      <c r="AJ482" t="n">
        <v>7</v>
      </c>
      <c r="AK482" t="n">
        <v>7</v>
      </c>
      <c r="AL482" t="n">
        <v>0</v>
      </c>
      <c r="AM482" t="n">
        <v>0</v>
      </c>
      <c r="AN482" t="n">
        <v>0</v>
      </c>
      <c r="AO482" t="n">
        <v>0</v>
      </c>
      <c r="AP482" t="inlineStr">
        <is>
          <t>No</t>
        </is>
      </c>
      <c r="AQ482" t="inlineStr">
        <is>
          <t>No</t>
        </is>
      </c>
      <c r="AS482">
        <f>HYPERLINK("https://creighton-primo.hosted.exlibrisgroup.com/primo-explore/search?tab=default_tab&amp;search_scope=EVERYTHING&amp;vid=01CRU&amp;lang=en_US&amp;offset=0&amp;query=any,contains,991003884599702656","Catalog Record")</f>
        <v/>
      </c>
      <c r="AT482">
        <f>HYPERLINK("http://www.worldcat.org/oclc/1733706","WorldCat Record")</f>
        <v/>
      </c>
      <c r="AU482" t="inlineStr">
        <is>
          <t>909648999:eng</t>
        </is>
      </c>
      <c r="AV482" t="inlineStr">
        <is>
          <t>1733706</t>
        </is>
      </c>
      <c r="AW482" t="inlineStr">
        <is>
          <t>991003884599702656</t>
        </is>
      </c>
      <c r="AX482" t="inlineStr">
        <is>
          <t>991003884599702656</t>
        </is>
      </c>
      <c r="AY482" t="inlineStr">
        <is>
          <t>2256748530002656</t>
        </is>
      </c>
      <c r="AZ482" t="inlineStr">
        <is>
          <t>BOOK</t>
        </is>
      </c>
      <c r="BB482" t="inlineStr">
        <is>
          <t>9780397473465</t>
        </is>
      </c>
      <c r="BC482" t="inlineStr">
        <is>
          <t>32285002633054</t>
        </is>
      </c>
      <c r="BD482" t="inlineStr">
        <is>
          <t>893423087</t>
        </is>
      </c>
    </row>
    <row r="483">
      <c r="A483" t="inlineStr">
        <is>
          <t>No</t>
        </is>
      </c>
      <c r="B483" t="inlineStr">
        <is>
          <t>LB1051 .H2278 1979</t>
        </is>
      </c>
      <c r="C483" t="inlineStr">
        <is>
          <t>0                      LB 1051000H  2278        1979</t>
        </is>
      </c>
      <c r="D483" t="inlineStr">
        <is>
          <t>Psychology in teaching, learning, and growth / Don E. Hamachek.</t>
        </is>
      </c>
      <c r="F483" t="inlineStr">
        <is>
          <t>No</t>
        </is>
      </c>
      <c r="G483" t="inlineStr">
        <is>
          <t>1</t>
        </is>
      </c>
      <c r="H483" t="inlineStr">
        <is>
          <t>No</t>
        </is>
      </c>
      <c r="I483" t="inlineStr">
        <is>
          <t>No</t>
        </is>
      </c>
      <c r="J483" t="inlineStr">
        <is>
          <t>0</t>
        </is>
      </c>
      <c r="K483" t="inlineStr">
        <is>
          <t>Hamachek, Don E.</t>
        </is>
      </c>
      <c r="L483" t="inlineStr">
        <is>
          <t>Boston : Allyn and Bacon, c1979.</t>
        </is>
      </c>
      <c r="M483" t="inlineStr">
        <is>
          <t>1979</t>
        </is>
      </c>
      <c r="N483" t="inlineStr">
        <is>
          <t>2d ed.</t>
        </is>
      </c>
      <c r="O483" t="inlineStr">
        <is>
          <t>eng</t>
        </is>
      </c>
      <c r="P483" t="inlineStr">
        <is>
          <t>mau</t>
        </is>
      </c>
      <c r="R483" t="inlineStr">
        <is>
          <t xml:space="preserve">LB </t>
        </is>
      </c>
      <c r="S483" t="n">
        <v>6</v>
      </c>
      <c r="T483" t="n">
        <v>6</v>
      </c>
      <c r="U483" t="inlineStr">
        <is>
          <t>1996-10-22</t>
        </is>
      </c>
      <c r="V483" t="inlineStr">
        <is>
          <t>1996-10-22</t>
        </is>
      </c>
      <c r="W483" t="inlineStr">
        <is>
          <t>1992-11-04</t>
        </is>
      </c>
      <c r="X483" t="inlineStr">
        <is>
          <t>1992-11-04</t>
        </is>
      </c>
      <c r="Y483" t="n">
        <v>217</v>
      </c>
      <c r="Z483" t="n">
        <v>150</v>
      </c>
      <c r="AA483" t="n">
        <v>346</v>
      </c>
      <c r="AB483" t="n">
        <v>4</v>
      </c>
      <c r="AC483" t="n">
        <v>6</v>
      </c>
      <c r="AD483" t="n">
        <v>7</v>
      </c>
      <c r="AE483" t="n">
        <v>16</v>
      </c>
      <c r="AF483" t="n">
        <v>2</v>
      </c>
      <c r="AG483" t="n">
        <v>5</v>
      </c>
      <c r="AH483" t="n">
        <v>1</v>
      </c>
      <c r="AI483" t="n">
        <v>1</v>
      </c>
      <c r="AJ483" t="n">
        <v>3</v>
      </c>
      <c r="AK483" t="n">
        <v>9</v>
      </c>
      <c r="AL483" t="n">
        <v>3</v>
      </c>
      <c r="AM483" t="n">
        <v>5</v>
      </c>
      <c r="AN483" t="n">
        <v>0</v>
      </c>
      <c r="AO483" t="n">
        <v>0</v>
      </c>
      <c r="AP483" t="inlineStr">
        <is>
          <t>No</t>
        </is>
      </c>
      <c r="AQ483" t="inlineStr">
        <is>
          <t>Yes</t>
        </is>
      </c>
      <c r="AR483">
        <f>HYPERLINK("http://catalog.hathitrust.org/Record/000039544","HathiTrust Record")</f>
        <v/>
      </c>
      <c r="AS483">
        <f>HYPERLINK("https://creighton-primo.hosted.exlibrisgroup.com/primo-explore/search?tab=default_tab&amp;search_scope=EVERYTHING&amp;vid=01CRU&amp;lang=en_US&amp;offset=0&amp;query=any,contains,991004646079702656","Catalog Record")</f>
        <v/>
      </c>
      <c r="AT483">
        <f>HYPERLINK("http://www.worldcat.org/oclc/4492007","WorldCat Record")</f>
        <v/>
      </c>
      <c r="AU483" t="inlineStr">
        <is>
          <t>212436:eng</t>
        </is>
      </c>
      <c r="AV483" t="inlineStr">
        <is>
          <t>4492007</t>
        </is>
      </c>
      <c r="AW483" t="inlineStr">
        <is>
          <t>991004646079702656</t>
        </is>
      </c>
      <c r="AX483" t="inlineStr">
        <is>
          <t>991004646079702656</t>
        </is>
      </c>
      <c r="AY483" t="inlineStr">
        <is>
          <t>2263534630002656</t>
        </is>
      </c>
      <c r="AZ483" t="inlineStr">
        <is>
          <t>BOOK</t>
        </is>
      </c>
      <c r="BB483" t="inlineStr">
        <is>
          <t>9780205065066</t>
        </is>
      </c>
      <c r="BC483" t="inlineStr">
        <is>
          <t>32285001381739</t>
        </is>
      </c>
      <c r="BD483" t="inlineStr">
        <is>
          <t>893895238</t>
        </is>
      </c>
    </row>
    <row r="484">
      <c r="A484" t="inlineStr">
        <is>
          <t>No</t>
        </is>
      </c>
      <c r="B484" t="inlineStr">
        <is>
          <t>LB1051 .M155</t>
        </is>
      </c>
      <c r="C484" t="inlineStr">
        <is>
          <t>0                      LB 1051000M  155</t>
        </is>
      </c>
      <c r="D484" t="inlineStr">
        <is>
          <t>"Ah hah!" : the inquiry process of generating and testing knowledge / John A. McCollum.</t>
        </is>
      </c>
      <c r="F484" t="inlineStr">
        <is>
          <t>No</t>
        </is>
      </c>
      <c r="G484" t="inlineStr">
        <is>
          <t>1</t>
        </is>
      </c>
      <c r="H484" t="inlineStr">
        <is>
          <t>No</t>
        </is>
      </c>
      <c r="I484" t="inlineStr">
        <is>
          <t>No</t>
        </is>
      </c>
      <c r="J484" t="inlineStr">
        <is>
          <t>0</t>
        </is>
      </c>
      <c r="K484" t="inlineStr">
        <is>
          <t>McCollum, John A.</t>
        </is>
      </c>
      <c r="L484" t="inlineStr">
        <is>
          <t>Santa Monica, Calif. : Goodyear Pub. Co., c1978.</t>
        </is>
      </c>
      <c r="M484" t="inlineStr">
        <is>
          <t>1978</t>
        </is>
      </c>
      <c r="O484" t="inlineStr">
        <is>
          <t>eng</t>
        </is>
      </c>
      <c r="P484" t="inlineStr">
        <is>
          <t>cau</t>
        </is>
      </c>
      <c r="R484" t="inlineStr">
        <is>
          <t xml:space="preserve">LB </t>
        </is>
      </c>
      <c r="S484" t="n">
        <v>2</v>
      </c>
      <c r="T484" t="n">
        <v>2</v>
      </c>
      <c r="U484" t="inlineStr">
        <is>
          <t>2000-11-26</t>
        </is>
      </c>
      <c r="V484" t="inlineStr">
        <is>
          <t>2000-11-26</t>
        </is>
      </c>
      <c r="W484" t="inlineStr">
        <is>
          <t>1997-05-06</t>
        </is>
      </c>
      <c r="X484" t="inlineStr">
        <is>
          <t>1997-05-06</t>
        </is>
      </c>
      <c r="Y484" t="n">
        <v>247</v>
      </c>
      <c r="Z484" t="n">
        <v>207</v>
      </c>
      <c r="AA484" t="n">
        <v>209</v>
      </c>
      <c r="AB484" t="n">
        <v>1</v>
      </c>
      <c r="AC484" t="n">
        <v>1</v>
      </c>
      <c r="AD484" t="n">
        <v>6</v>
      </c>
      <c r="AE484" t="n">
        <v>6</v>
      </c>
      <c r="AF484" t="n">
        <v>3</v>
      </c>
      <c r="AG484" t="n">
        <v>3</v>
      </c>
      <c r="AH484" t="n">
        <v>2</v>
      </c>
      <c r="AI484" t="n">
        <v>2</v>
      </c>
      <c r="AJ484" t="n">
        <v>4</v>
      </c>
      <c r="AK484" t="n">
        <v>4</v>
      </c>
      <c r="AL484" t="n">
        <v>0</v>
      </c>
      <c r="AM484" t="n">
        <v>0</v>
      </c>
      <c r="AN484" t="n">
        <v>0</v>
      </c>
      <c r="AO484" t="n">
        <v>0</v>
      </c>
      <c r="AP484" t="inlineStr">
        <is>
          <t>No</t>
        </is>
      </c>
      <c r="AQ484" t="inlineStr">
        <is>
          <t>Yes</t>
        </is>
      </c>
      <c r="AR484">
        <f>HYPERLINK("http://catalog.hathitrust.org/Record/009920100","HathiTrust Record")</f>
        <v/>
      </c>
      <c r="AS484">
        <f>HYPERLINK("https://creighton-primo.hosted.exlibrisgroup.com/primo-explore/search?tab=default_tab&amp;search_scope=EVERYTHING&amp;vid=01CRU&amp;lang=en_US&amp;offset=0&amp;query=any,contains,991004429019702656","Catalog Record")</f>
        <v/>
      </c>
      <c r="AT484">
        <f>HYPERLINK("http://www.worldcat.org/oclc/3414536","WorldCat Record")</f>
        <v/>
      </c>
      <c r="AU484" t="inlineStr">
        <is>
          <t>919275690:eng</t>
        </is>
      </c>
      <c r="AV484" t="inlineStr">
        <is>
          <t>3414536</t>
        </is>
      </c>
      <c r="AW484" t="inlineStr">
        <is>
          <t>991004429019702656</t>
        </is>
      </c>
      <c r="AX484" t="inlineStr">
        <is>
          <t>991004429019702656</t>
        </is>
      </c>
      <c r="AY484" t="inlineStr">
        <is>
          <t>2260082950002656</t>
        </is>
      </c>
      <c r="AZ484" t="inlineStr">
        <is>
          <t>BOOK</t>
        </is>
      </c>
      <c r="BB484" t="inlineStr">
        <is>
          <t>9780876200520</t>
        </is>
      </c>
      <c r="BC484" t="inlineStr">
        <is>
          <t>32285002633161</t>
        </is>
      </c>
      <c r="BD484" t="inlineStr">
        <is>
          <t>893325379</t>
        </is>
      </c>
    </row>
    <row r="485">
      <c r="A485" t="inlineStr">
        <is>
          <t>No</t>
        </is>
      </c>
      <c r="B485" t="inlineStr">
        <is>
          <t>LB1051 .M19</t>
        </is>
      </c>
      <c r="C485" t="inlineStr">
        <is>
          <t>0                      LB 1051000M  19</t>
        </is>
      </c>
      <c r="D485" t="inlineStr">
        <is>
          <t>Teacher/teachim : The toughest game in town / Joel Macht.</t>
        </is>
      </c>
      <c r="F485" t="inlineStr">
        <is>
          <t>No</t>
        </is>
      </c>
      <c r="G485" t="inlineStr">
        <is>
          <t>1</t>
        </is>
      </c>
      <c r="H485" t="inlineStr">
        <is>
          <t>No</t>
        </is>
      </c>
      <c r="I485" t="inlineStr">
        <is>
          <t>No</t>
        </is>
      </c>
      <c r="J485" t="inlineStr">
        <is>
          <t>0</t>
        </is>
      </c>
      <c r="K485" t="inlineStr">
        <is>
          <t>Macht, Joel, 1938-</t>
        </is>
      </c>
      <c r="L485" t="inlineStr">
        <is>
          <t>New York : Wiley, [1975]</t>
        </is>
      </c>
      <c r="M485" t="inlineStr">
        <is>
          <t>1975</t>
        </is>
      </c>
      <c r="O485" t="inlineStr">
        <is>
          <t>eng</t>
        </is>
      </c>
      <c r="P485" t="inlineStr">
        <is>
          <t>nyu</t>
        </is>
      </c>
      <c r="R485" t="inlineStr">
        <is>
          <t xml:space="preserve">LB </t>
        </is>
      </c>
      <c r="S485" t="n">
        <v>2</v>
      </c>
      <c r="T485" t="n">
        <v>2</v>
      </c>
      <c r="U485" t="inlineStr">
        <is>
          <t>2007-04-27</t>
        </is>
      </c>
      <c r="V485" t="inlineStr">
        <is>
          <t>2007-04-27</t>
        </is>
      </c>
      <c r="W485" t="inlineStr">
        <is>
          <t>1997-05-06</t>
        </is>
      </c>
      <c r="X485" t="inlineStr">
        <is>
          <t>1997-05-06</t>
        </is>
      </c>
      <c r="Y485" t="n">
        <v>241</v>
      </c>
      <c r="Z485" t="n">
        <v>178</v>
      </c>
      <c r="AA485" t="n">
        <v>183</v>
      </c>
      <c r="AB485" t="n">
        <v>4</v>
      </c>
      <c r="AC485" t="n">
        <v>4</v>
      </c>
      <c r="AD485" t="n">
        <v>7</v>
      </c>
      <c r="AE485" t="n">
        <v>7</v>
      </c>
      <c r="AF485" t="n">
        <v>2</v>
      </c>
      <c r="AG485" t="n">
        <v>2</v>
      </c>
      <c r="AH485" t="n">
        <v>0</v>
      </c>
      <c r="AI485" t="n">
        <v>0</v>
      </c>
      <c r="AJ485" t="n">
        <v>3</v>
      </c>
      <c r="AK485" t="n">
        <v>3</v>
      </c>
      <c r="AL485" t="n">
        <v>2</v>
      </c>
      <c r="AM485" t="n">
        <v>2</v>
      </c>
      <c r="AN485" t="n">
        <v>0</v>
      </c>
      <c r="AO485" t="n">
        <v>0</v>
      </c>
      <c r="AP485" t="inlineStr">
        <is>
          <t>No</t>
        </is>
      </c>
      <c r="AQ485" t="inlineStr">
        <is>
          <t>Yes</t>
        </is>
      </c>
      <c r="AR485">
        <f>HYPERLINK("http://catalog.hathitrust.org/Record/004425427","HathiTrust Record")</f>
        <v/>
      </c>
      <c r="AS485">
        <f>HYPERLINK("https://creighton-primo.hosted.exlibrisgroup.com/primo-explore/search?tab=default_tab&amp;search_scope=EVERYTHING&amp;vid=01CRU&amp;lang=en_US&amp;offset=0&amp;query=any,contains,991003599099702656","Catalog Record")</f>
        <v/>
      </c>
      <c r="AT485">
        <f>HYPERLINK("http://www.worldcat.org/oclc/1176862","WorldCat Record")</f>
        <v/>
      </c>
      <c r="AU485" t="inlineStr">
        <is>
          <t>836700410:eng</t>
        </is>
      </c>
      <c r="AV485" t="inlineStr">
        <is>
          <t>1176862</t>
        </is>
      </c>
      <c r="AW485" t="inlineStr">
        <is>
          <t>991003599099702656</t>
        </is>
      </c>
      <c r="AX485" t="inlineStr">
        <is>
          <t>991003599099702656</t>
        </is>
      </c>
      <c r="AY485" t="inlineStr">
        <is>
          <t>2269667840002656</t>
        </is>
      </c>
      <c r="AZ485" t="inlineStr">
        <is>
          <t>BOOK</t>
        </is>
      </c>
      <c r="BB485" t="inlineStr">
        <is>
          <t>9780471562429</t>
        </is>
      </c>
      <c r="BC485" t="inlineStr">
        <is>
          <t>32285002633179</t>
        </is>
      </c>
      <c r="BD485" t="inlineStr">
        <is>
          <t>893617515</t>
        </is>
      </c>
    </row>
    <row r="486">
      <c r="A486" t="inlineStr">
        <is>
          <t>No</t>
        </is>
      </c>
      <c r="B486" t="inlineStr">
        <is>
          <t>LB1051 .N28</t>
        </is>
      </c>
      <c r="C486" t="inlineStr">
        <is>
          <t>0                      LB 1051000N  28</t>
        </is>
      </c>
      <c r="D486" t="inlineStr">
        <is>
          <t>Student learning styles : diagnosing and prescribing programs / National Association of Secondary School Principals.</t>
        </is>
      </c>
      <c r="F486" t="inlineStr">
        <is>
          <t>No</t>
        </is>
      </c>
      <c r="G486" t="inlineStr">
        <is>
          <t>1</t>
        </is>
      </c>
      <c r="H486" t="inlineStr">
        <is>
          <t>No</t>
        </is>
      </c>
      <c r="I486" t="inlineStr">
        <is>
          <t>No</t>
        </is>
      </c>
      <c r="J486" t="inlineStr">
        <is>
          <t>0</t>
        </is>
      </c>
      <c r="K486" t="inlineStr">
        <is>
          <t>National Association of Secondary School Principals (U.S.)</t>
        </is>
      </c>
      <c r="L486" t="inlineStr">
        <is>
          <t>Reston, Va. : The Association, c1979.</t>
        </is>
      </c>
      <c r="M486" t="inlineStr">
        <is>
          <t>1979</t>
        </is>
      </c>
      <c r="O486" t="inlineStr">
        <is>
          <t>eng</t>
        </is>
      </c>
      <c r="P486" t="inlineStr">
        <is>
          <t>vau</t>
        </is>
      </c>
      <c r="R486" t="inlineStr">
        <is>
          <t xml:space="preserve">LB </t>
        </is>
      </c>
      <c r="S486" t="n">
        <v>7</v>
      </c>
      <c r="T486" t="n">
        <v>7</v>
      </c>
      <c r="U486" t="inlineStr">
        <is>
          <t>2000-10-30</t>
        </is>
      </c>
      <c r="V486" t="inlineStr">
        <is>
          <t>2000-10-30</t>
        </is>
      </c>
      <c r="W486" t="inlineStr">
        <is>
          <t>1992-11-04</t>
        </is>
      </c>
      <c r="X486" t="inlineStr">
        <is>
          <t>1992-11-04</t>
        </is>
      </c>
      <c r="Y486" t="n">
        <v>625</v>
      </c>
      <c r="Z486" t="n">
        <v>568</v>
      </c>
      <c r="AA486" t="n">
        <v>574</v>
      </c>
      <c r="AB486" t="n">
        <v>9</v>
      </c>
      <c r="AC486" t="n">
        <v>9</v>
      </c>
      <c r="AD486" t="n">
        <v>28</v>
      </c>
      <c r="AE486" t="n">
        <v>28</v>
      </c>
      <c r="AF486" t="n">
        <v>11</v>
      </c>
      <c r="AG486" t="n">
        <v>11</v>
      </c>
      <c r="AH486" t="n">
        <v>7</v>
      </c>
      <c r="AI486" t="n">
        <v>7</v>
      </c>
      <c r="AJ486" t="n">
        <v>13</v>
      </c>
      <c r="AK486" t="n">
        <v>13</v>
      </c>
      <c r="AL486" t="n">
        <v>6</v>
      </c>
      <c r="AM486" t="n">
        <v>6</v>
      </c>
      <c r="AN486" t="n">
        <v>0</v>
      </c>
      <c r="AO486" t="n">
        <v>0</v>
      </c>
      <c r="AP486" t="inlineStr">
        <is>
          <t>No</t>
        </is>
      </c>
      <c r="AQ486" t="inlineStr">
        <is>
          <t>Yes</t>
        </is>
      </c>
      <c r="AR486">
        <f>HYPERLINK("http://catalog.hathitrust.org/Record/000094272","HathiTrust Record")</f>
        <v/>
      </c>
      <c r="AS486">
        <f>HYPERLINK("https://creighton-primo.hosted.exlibrisgroup.com/primo-explore/search?tab=default_tab&amp;search_scope=EVERYTHING&amp;vid=01CRU&amp;lang=en_US&amp;offset=0&amp;query=any,contains,991004872669702656","Catalog Record")</f>
        <v/>
      </c>
      <c r="AT486">
        <f>HYPERLINK("http://www.worldcat.org/oclc/6040692","WorldCat Record")</f>
        <v/>
      </c>
      <c r="AU486" t="inlineStr">
        <is>
          <t>996654492:eng</t>
        </is>
      </c>
      <c r="AV486" t="inlineStr">
        <is>
          <t>6040692</t>
        </is>
      </c>
      <c r="AW486" t="inlineStr">
        <is>
          <t>991004872669702656</t>
        </is>
      </c>
      <c r="AX486" t="inlineStr">
        <is>
          <t>991004872669702656</t>
        </is>
      </c>
      <c r="AY486" t="inlineStr">
        <is>
          <t>2269645860002656</t>
        </is>
      </c>
      <c r="AZ486" t="inlineStr">
        <is>
          <t>BOOK</t>
        </is>
      </c>
      <c r="BB486" t="inlineStr">
        <is>
          <t>9780882101033</t>
        </is>
      </c>
      <c r="BC486" t="inlineStr">
        <is>
          <t>32285001381887</t>
        </is>
      </c>
      <c r="BD486" t="inlineStr">
        <is>
          <t>893688302</t>
        </is>
      </c>
    </row>
    <row r="487">
      <c r="A487" t="inlineStr">
        <is>
          <t>No</t>
        </is>
      </c>
      <c r="B487" t="inlineStr">
        <is>
          <t>LB1051 .P7292</t>
        </is>
      </c>
      <c r="C487" t="inlineStr">
        <is>
          <t>0                      LB 1051000P  7292</t>
        </is>
      </c>
      <c r="D487" t="inlineStr">
        <is>
          <t>Psychology and education : the state of the union / edited by Frank H. Farley and Neal J. Gordon.</t>
        </is>
      </c>
      <c r="F487" t="inlineStr">
        <is>
          <t>No</t>
        </is>
      </c>
      <c r="G487" t="inlineStr">
        <is>
          <t>1</t>
        </is>
      </c>
      <c r="H487" t="inlineStr">
        <is>
          <t>No</t>
        </is>
      </c>
      <c r="I487" t="inlineStr">
        <is>
          <t>No</t>
        </is>
      </c>
      <c r="J487" t="inlineStr">
        <is>
          <t>0</t>
        </is>
      </c>
      <c r="L487" t="inlineStr">
        <is>
          <t>Berkeley, Calif. : McCutchan Pub. Corp., 1981.</t>
        </is>
      </c>
      <c r="M487" t="inlineStr">
        <is>
          <t>1981</t>
        </is>
      </c>
      <c r="O487" t="inlineStr">
        <is>
          <t>eng</t>
        </is>
      </c>
      <c r="P487" t="inlineStr">
        <is>
          <t>cau</t>
        </is>
      </c>
      <c r="Q487" t="inlineStr">
        <is>
          <t>Series on contemporary educational issues</t>
        </is>
      </c>
      <c r="R487" t="inlineStr">
        <is>
          <t xml:space="preserve">LB </t>
        </is>
      </c>
      <c r="S487" t="n">
        <v>2</v>
      </c>
      <c r="T487" t="n">
        <v>2</v>
      </c>
      <c r="U487" t="inlineStr">
        <is>
          <t>1997-03-13</t>
        </is>
      </c>
      <c r="V487" t="inlineStr">
        <is>
          <t>1997-03-13</t>
        </is>
      </c>
      <c r="W487" t="inlineStr">
        <is>
          <t>1992-02-20</t>
        </is>
      </c>
      <c r="X487" t="inlineStr">
        <is>
          <t>1992-02-20</t>
        </is>
      </c>
      <c r="Y487" t="n">
        <v>303</v>
      </c>
      <c r="Z487" t="n">
        <v>242</v>
      </c>
      <c r="AA487" t="n">
        <v>248</v>
      </c>
      <c r="AB487" t="n">
        <v>1</v>
      </c>
      <c r="AC487" t="n">
        <v>1</v>
      </c>
      <c r="AD487" t="n">
        <v>6</v>
      </c>
      <c r="AE487" t="n">
        <v>6</v>
      </c>
      <c r="AF487" t="n">
        <v>1</v>
      </c>
      <c r="AG487" t="n">
        <v>1</v>
      </c>
      <c r="AH487" t="n">
        <v>3</v>
      </c>
      <c r="AI487" t="n">
        <v>3</v>
      </c>
      <c r="AJ487" t="n">
        <v>4</v>
      </c>
      <c r="AK487" t="n">
        <v>4</v>
      </c>
      <c r="AL487" t="n">
        <v>0</v>
      </c>
      <c r="AM487" t="n">
        <v>0</v>
      </c>
      <c r="AN487" t="n">
        <v>0</v>
      </c>
      <c r="AO487" t="n">
        <v>0</v>
      </c>
      <c r="AP487" t="inlineStr">
        <is>
          <t>No</t>
        </is>
      </c>
      <c r="AQ487" t="inlineStr">
        <is>
          <t>Yes</t>
        </is>
      </c>
      <c r="AR487">
        <f>HYPERLINK("http://catalog.hathitrust.org/Record/000571023","HathiTrust Record")</f>
        <v/>
      </c>
      <c r="AS487">
        <f>HYPERLINK("https://creighton-primo.hosted.exlibrisgroup.com/primo-explore/search?tab=default_tab&amp;search_scope=EVERYTHING&amp;vid=01CRU&amp;lang=en_US&amp;offset=0&amp;query=any,contains,991005143379702656","Catalog Record")</f>
        <v/>
      </c>
      <c r="AT487">
        <f>HYPERLINK("http://www.worldcat.org/oclc/7648910","WorldCat Record")</f>
        <v/>
      </c>
      <c r="AU487" t="inlineStr">
        <is>
          <t>864256420:eng</t>
        </is>
      </c>
      <c r="AV487" t="inlineStr">
        <is>
          <t>7648910</t>
        </is>
      </c>
      <c r="AW487" t="inlineStr">
        <is>
          <t>991005143379702656</t>
        </is>
      </c>
      <c r="AX487" t="inlineStr">
        <is>
          <t>991005143379702656</t>
        </is>
      </c>
      <c r="AY487" t="inlineStr">
        <is>
          <t>2262396040002656</t>
        </is>
      </c>
      <c r="AZ487" t="inlineStr">
        <is>
          <t>BOOK</t>
        </is>
      </c>
      <c r="BB487" t="inlineStr">
        <is>
          <t>9780821105061</t>
        </is>
      </c>
      <c r="BC487" t="inlineStr">
        <is>
          <t>32285000972652</t>
        </is>
      </c>
      <c r="BD487" t="inlineStr">
        <is>
          <t>893600694</t>
        </is>
      </c>
    </row>
    <row r="488">
      <c r="A488" t="inlineStr">
        <is>
          <t>No</t>
        </is>
      </c>
      <c r="B488" t="inlineStr">
        <is>
          <t>LB1051 .S419</t>
        </is>
      </c>
      <c r="C488" t="inlineStr">
        <is>
          <t>0                      LB 1051000S  419</t>
        </is>
      </c>
      <c r="D488" t="inlineStr">
        <is>
          <t>Anxiety, learning, and instruction / Joan E. Sieber, Harold F. O'Neil, Jr., Sigmund Tobias.</t>
        </is>
      </c>
      <c r="F488" t="inlineStr">
        <is>
          <t>No</t>
        </is>
      </c>
      <c r="G488" t="inlineStr">
        <is>
          <t>1</t>
        </is>
      </c>
      <c r="H488" t="inlineStr">
        <is>
          <t>No</t>
        </is>
      </c>
      <c r="I488" t="inlineStr">
        <is>
          <t>No</t>
        </is>
      </c>
      <c r="J488" t="inlineStr">
        <is>
          <t>0</t>
        </is>
      </c>
      <c r="K488" t="inlineStr">
        <is>
          <t>Sieber, Joan E.</t>
        </is>
      </c>
      <c r="L488" t="inlineStr">
        <is>
          <t>Hillsdale, N.J. : Lawrence Erlbaum Associates ; New York : distributed by Halsted Press, 1977.</t>
        </is>
      </c>
      <c r="M488" t="inlineStr">
        <is>
          <t>1977</t>
        </is>
      </c>
      <c r="O488" t="inlineStr">
        <is>
          <t>eng</t>
        </is>
      </c>
      <c r="P488" t="inlineStr">
        <is>
          <t>nju</t>
        </is>
      </c>
      <c r="R488" t="inlineStr">
        <is>
          <t xml:space="preserve">LB </t>
        </is>
      </c>
      <c r="S488" t="n">
        <v>2</v>
      </c>
      <c r="T488" t="n">
        <v>2</v>
      </c>
      <c r="U488" t="inlineStr">
        <is>
          <t>1997-11-04</t>
        </is>
      </c>
      <c r="V488" t="inlineStr">
        <is>
          <t>1997-11-04</t>
        </is>
      </c>
      <c r="W488" t="inlineStr">
        <is>
          <t>1997-05-06</t>
        </is>
      </c>
      <c r="X488" t="inlineStr">
        <is>
          <t>1997-05-06</t>
        </is>
      </c>
      <c r="Y488" t="n">
        <v>418</v>
      </c>
      <c r="Z488" t="n">
        <v>322</v>
      </c>
      <c r="AA488" t="n">
        <v>353</v>
      </c>
      <c r="AB488" t="n">
        <v>2</v>
      </c>
      <c r="AC488" t="n">
        <v>2</v>
      </c>
      <c r="AD488" t="n">
        <v>10</v>
      </c>
      <c r="AE488" t="n">
        <v>10</v>
      </c>
      <c r="AF488" t="n">
        <v>3</v>
      </c>
      <c r="AG488" t="n">
        <v>3</v>
      </c>
      <c r="AH488" t="n">
        <v>2</v>
      </c>
      <c r="AI488" t="n">
        <v>2</v>
      </c>
      <c r="AJ488" t="n">
        <v>6</v>
      </c>
      <c r="AK488" t="n">
        <v>6</v>
      </c>
      <c r="AL488" t="n">
        <v>1</v>
      </c>
      <c r="AM488" t="n">
        <v>1</v>
      </c>
      <c r="AN488" t="n">
        <v>0</v>
      </c>
      <c r="AO488" t="n">
        <v>0</v>
      </c>
      <c r="AP488" t="inlineStr">
        <is>
          <t>No</t>
        </is>
      </c>
      <c r="AQ488" t="inlineStr">
        <is>
          <t>No</t>
        </is>
      </c>
      <c r="AS488">
        <f>HYPERLINK("https://creighton-primo.hosted.exlibrisgroup.com/primo-explore/search?tab=default_tab&amp;search_scope=EVERYTHING&amp;vid=01CRU&amp;lang=en_US&amp;offset=0&amp;query=any,contains,991004373929702656","Catalog Record")</f>
        <v/>
      </c>
      <c r="AT488">
        <f>HYPERLINK("http://www.worldcat.org/oclc/3203342","WorldCat Record")</f>
        <v/>
      </c>
      <c r="AU488" t="inlineStr">
        <is>
          <t>554491:eng</t>
        </is>
      </c>
      <c r="AV488" t="inlineStr">
        <is>
          <t>3203342</t>
        </is>
      </c>
      <c r="AW488" t="inlineStr">
        <is>
          <t>991004373929702656</t>
        </is>
      </c>
      <c r="AX488" t="inlineStr">
        <is>
          <t>991004373929702656</t>
        </is>
      </c>
      <c r="AY488" t="inlineStr">
        <is>
          <t>2268873600002656</t>
        </is>
      </c>
      <c r="AZ488" t="inlineStr">
        <is>
          <t>BOOK</t>
        </is>
      </c>
      <c r="BB488" t="inlineStr">
        <is>
          <t>9780470992999</t>
        </is>
      </c>
      <c r="BC488" t="inlineStr">
        <is>
          <t>32285002633260</t>
        </is>
      </c>
      <c r="BD488" t="inlineStr">
        <is>
          <t>893500475</t>
        </is>
      </c>
    </row>
    <row r="489">
      <c r="A489" t="inlineStr">
        <is>
          <t>No</t>
        </is>
      </c>
      <c r="B489" t="inlineStr">
        <is>
          <t>LB1051 .S6218</t>
        </is>
      </c>
      <c r="C489" t="inlineStr">
        <is>
          <t>0                      LB 1051000S  6218</t>
        </is>
      </c>
      <c r="D489" t="inlineStr">
        <is>
          <t>Comprehension and learning : a conceptual framework for teachers / Frank Smith.</t>
        </is>
      </c>
      <c r="F489" t="inlineStr">
        <is>
          <t>No</t>
        </is>
      </c>
      <c r="G489" t="inlineStr">
        <is>
          <t>1</t>
        </is>
      </c>
      <c r="H489" t="inlineStr">
        <is>
          <t>No</t>
        </is>
      </c>
      <c r="I489" t="inlineStr">
        <is>
          <t>No</t>
        </is>
      </c>
      <c r="J489" t="inlineStr">
        <is>
          <t>0</t>
        </is>
      </c>
      <c r="K489" t="inlineStr">
        <is>
          <t>Smith, Frank, 1928-</t>
        </is>
      </c>
      <c r="L489" t="inlineStr">
        <is>
          <t>New York : Holt, Rinehart and Winston, [1975]</t>
        </is>
      </c>
      <c r="M489" t="inlineStr">
        <is>
          <t>1975</t>
        </is>
      </c>
      <c r="O489" t="inlineStr">
        <is>
          <t>eng</t>
        </is>
      </c>
      <c r="P489" t="inlineStr">
        <is>
          <t>nyu</t>
        </is>
      </c>
      <c r="R489" t="inlineStr">
        <is>
          <t xml:space="preserve">LB </t>
        </is>
      </c>
      <c r="S489" t="n">
        <v>1</v>
      </c>
      <c r="T489" t="n">
        <v>1</v>
      </c>
      <c r="U489" t="inlineStr">
        <is>
          <t>2005-02-24</t>
        </is>
      </c>
      <c r="V489" t="inlineStr">
        <is>
          <t>2005-02-24</t>
        </is>
      </c>
      <c r="W489" t="inlineStr">
        <is>
          <t>1997-05-06</t>
        </is>
      </c>
      <c r="X489" t="inlineStr">
        <is>
          <t>1997-05-06</t>
        </is>
      </c>
      <c r="Y489" t="n">
        <v>600</v>
      </c>
      <c r="Z489" t="n">
        <v>453</v>
      </c>
      <c r="AA489" t="n">
        <v>470</v>
      </c>
      <c r="AB489" t="n">
        <v>3</v>
      </c>
      <c r="AC489" t="n">
        <v>4</v>
      </c>
      <c r="AD489" t="n">
        <v>17</v>
      </c>
      <c r="AE489" t="n">
        <v>18</v>
      </c>
      <c r="AF489" t="n">
        <v>7</v>
      </c>
      <c r="AG489" t="n">
        <v>7</v>
      </c>
      <c r="AH489" t="n">
        <v>3</v>
      </c>
      <c r="AI489" t="n">
        <v>3</v>
      </c>
      <c r="AJ489" t="n">
        <v>8</v>
      </c>
      <c r="AK489" t="n">
        <v>8</v>
      </c>
      <c r="AL489" t="n">
        <v>2</v>
      </c>
      <c r="AM489" t="n">
        <v>3</v>
      </c>
      <c r="AN489" t="n">
        <v>0</v>
      </c>
      <c r="AO489" t="n">
        <v>0</v>
      </c>
      <c r="AP489" t="inlineStr">
        <is>
          <t>No</t>
        </is>
      </c>
      <c r="AQ489" t="inlineStr">
        <is>
          <t>Yes</t>
        </is>
      </c>
      <c r="AR489">
        <f>HYPERLINK("http://catalog.hathitrust.org/Record/000042354","HathiTrust Record")</f>
        <v/>
      </c>
      <c r="AS489">
        <f>HYPERLINK("https://creighton-primo.hosted.exlibrisgroup.com/primo-explore/search?tab=default_tab&amp;search_scope=EVERYTHING&amp;vid=01CRU&amp;lang=en_US&amp;offset=0&amp;query=any,contains,991003599039702656","Catalog Record")</f>
        <v/>
      </c>
      <c r="AT489">
        <f>HYPERLINK("http://www.worldcat.org/oclc/1176840","WorldCat Record")</f>
        <v/>
      </c>
      <c r="AU489" t="inlineStr">
        <is>
          <t>146954327:eng</t>
        </is>
      </c>
      <c r="AV489" t="inlineStr">
        <is>
          <t>1176840</t>
        </is>
      </c>
      <c r="AW489" t="inlineStr">
        <is>
          <t>991003599039702656</t>
        </is>
      </c>
      <c r="AX489" t="inlineStr">
        <is>
          <t>991003599039702656</t>
        </is>
      </c>
      <c r="AY489" t="inlineStr">
        <is>
          <t>2269664010002656</t>
        </is>
      </c>
      <c r="AZ489" t="inlineStr">
        <is>
          <t>BOOK</t>
        </is>
      </c>
      <c r="BB489" t="inlineStr">
        <is>
          <t>9780030110115</t>
        </is>
      </c>
      <c r="BC489" t="inlineStr">
        <is>
          <t>32285002633302</t>
        </is>
      </c>
      <c r="BD489" t="inlineStr">
        <is>
          <t>893342737</t>
        </is>
      </c>
    </row>
    <row r="490">
      <c r="A490" t="inlineStr">
        <is>
          <t>No</t>
        </is>
      </c>
      <c r="B490" t="inlineStr">
        <is>
          <t>LB1051 .S635 1985</t>
        </is>
      </c>
      <c r="C490" t="inlineStr">
        <is>
          <t>0                      LB 1051000S  635         1985</t>
        </is>
      </c>
      <c r="D490" t="inlineStr">
        <is>
          <t>Learning theory, instructional theory, and psychoeducational design / Glenn E. Snelbecker.</t>
        </is>
      </c>
      <c r="F490" t="inlineStr">
        <is>
          <t>No</t>
        </is>
      </c>
      <c r="G490" t="inlineStr">
        <is>
          <t>1</t>
        </is>
      </c>
      <c r="H490" t="inlineStr">
        <is>
          <t>Yes</t>
        </is>
      </c>
      <c r="I490" t="inlineStr">
        <is>
          <t>No</t>
        </is>
      </c>
      <c r="J490" t="inlineStr">
        <is>
          <t>0</t>
        </is>
      </c>
      <c r="K490" t="inlineStr">
        <is>
          <t>Snelbecker, Glenn E., 1931-</t>
        </is>
      </c>
      <c r="L490" t="inlineStr">
        <is>
          <t>Lanham, MD : University Press of America, c1985.</t>
        </is>
      </c>
      <c r="M490" t="inlineStr">
        <is>
          <t>1985</t>
        </is>
      </c>
      <c r="O490" t="inlineStr">
        <is>
          <t>eng</t>
        </is>
      </c>
      <c r="P490" t="inlineStr">
        <is>
          <t>mdu</t>
        </is>
      </c>
      <c r="R490" t="inlineStr">
        <is>
          <t xml:space="preserve">LB </t>
        </is>
      </c>
      <c r="S490" t="n">
        <v>6</v>
      </c>
      <c r="T490" t="n">
        <v>10</v>
      </c>
      <c r="U490" t="inlineStr">
        <is>
          <t>1999-06-28</t>
        </is>
      </c>
      <c r="V490" t="inlineStr">
        <is>
          <t>2001-12-19</t>
        </is>
      </c>
      <c r="W490" t="inlineStr">
        <is>
          <t>1992-11-04</t>
        </is>
      </c>
      <c r="X490" t="inlineStr">
        <is>
          <t>1992-11-04</t>
        </is>
      </c>
      <c r="Y490" t="n">
        <v>162</v>
      </c>
      <c r="Z490" t="n">
        <v>149</v>
      </c>
      <c r="AA490" t="n">
        <v>560</v>
      </c>
      <c r="AB490" t="n">
        <v>3</v>
      </c>
      <c r="AC490" t="n">
        <v>7</v>
      </c>
      <c r="AD490" t="n">
        <v>3</v>
      </c>
      <c r="AE490" t="n">
        <v>21</v>
      </c>
      <c r="AF490" t="n">
        <v>0</v>
      </c>
      <c r="AG490" t="n">
        <v>6</v>
      </c>
      <c r="AH490" t="n">
        <v>1</v>
      </c>
      <c r="AI490" t="n">
        <v>4</v>
      </c>
      <c r="AJ490" t="n">
        <v>1</v>
      </c>
      <c r="AK490" t="n">
        <v>10</v>
      </c>
      <c r="AL490" t="n">
        <v>1</v>
      </c>
      <c r="AM490" t="n">
        <v>5</v>
      </c>
      <c r="AN490" t="n">
        <v>0</v>
      </c>
      <c r="AO490" t="n">
        <v>0</v>
      </c>
      <c r="AP490" t="inlineStr">
        <is>
          <t>No</t>
        </is>
      </c>
      <c r="AQ490" t="inlineStr">
        <is>
          <t>Yes</t>
        </is>
      </c>
      <c r="AR490">
        <f>HYPERLINK("http://catalog.hathitrust.org/Record/009816242","HathiTrust Record")</f>
        <v/>
      </c>
      <c r="AS490">
        <f>HYPERLINK("https://creighton-primo.hosted.exlibrisgroup.com/primo-explore/search?tab=default_tab&amp;search_scope=EVERYTHING&amp;vid=01CRU&amp;lang=en_US&amp;offset=0&amp;query=any,contains,991001757729702656","Catalog Record")</f>
        <v/>
      </c>
      <c r="AT490">
        <f>HYPERLINK("http://www.worldcat.org/oclc/12214290","WorldCat Record")</f>
        <v/>
      </c>
      <c r="AU490" t="inlineStr">
        <is>
          <t>1755238:eng</t>
        </is>
      </c>
      <c r="AV490" t="inlineStr">
        <is>
          <t>12214290</t>
        </is>
      </c>
      <c r="AW490" t="inlineStr">
        <is>
          <t>991001757729702656</t>
        </is>
      </c>
      <c r="AX490" t="inlineStr">
        <is>
          <t>991001757729702656</t>
        </is>
      </c>
      <c r="AY490" t="inlineStr">
        <is>
          <t>2268421450002656</t>
        </is>
      </c>
      <c r="AZ490" t="inlineStr">
        <is>
          <t>BOOK</t>
        </is>
      </c>
      <c r="BB490" t="inlineStr">
        <is>
          <t>9780819148360</t>
        </is>
      </c>
      <c r="BC490" t="inlineStr">
        <is>
          <t>32285001382018</t>
        </is>
      </c>
      <c r="BD490" t="inlineStr">
        <is>
          <t>893690881</t>
        </is>
      </c>
    </row>
    <row r="491">
      <c r="A491" t="inlineStr">
        <is>
          <t>No</t>
        </is>
      </c>
      <c r="B491" t="inlineStr">
        <is>
          <t>LB1051 .S6435</t>
        </is>
      </c>
      <c r="C491" t="inlineStr">
        <is>
          <t>0                      LB 1051000S  6435</t>
        </is>
      </c>
      <c r="D491" t="inlineStr">
        <is>
          <t>The Social psychology of school learning / edited by James H. McMillan.</t>
        </is>
      </c>
      <c r="F491" t="inlineStr">
        <is>
          <t>No</t>
        </is>
      </c>
      <c r="G491" t="inlineStr">
        <is>
          <t>1</t>
        </is>
      </c>
      <c r="H491" t="inlineStr">
        <is>
          <t>No</t>
        </is>
      </c>
      <c r="I491" t="inlineStr">
        <is>
          <t>No</t>
        </is>
      </c>
      <c r="J491" t="inlineStr">
        <is>
          <t>0</t>
        </is>
      </c>
      <c r="L491" t="inlineStr">
        <is>
          <t>New York : Academic Press, 1980.</t>
        </is>
      </c>
      <c r="M491" t="inlineStr">
        <is>
          <t>1980</t>
        </is>
      </c>
      <c r="O491" t="inlineStr">
        <is>
          <t>eng</t>
        </is>
      </c>
      <c r="P491" t="inlineStr">
        <is>
          <t>nyu</t>
        </is>
      </c>
      <c r="Q491" t="inlineStr">
        <is>
          <t>Educational psychology</t>
        </is>
      </c>
      <c r="R491" t="inlineStr">
        <is>
          <t xml:space="preserve">LB </t>
        </is>
      </c>
      <c r="S491" t="n">
        <v>1</v>
      </c>
      <c r="T491" t="n">
        <v>1</v>
      </c>
      <c r="U491" t="inlineStr">
        <is>
          <t>2002-11-05</t>
        </is>
      </c>
      <c r="V491" t="inlineStr">
        <is>
          <t>2002-11-05</t>
        </is>
      </c>
      <c r="W491" t="inlineStr">
        <is>
          <t>1992-11-04</t>
        </is>
      </c>
      <c r="X491" t="inlineStr">
        <is>
          <t>1992-11-04</t>
        </is>
      </c>
      <c r="Y491" t="n">
        <v>392</v>
      </c>
      <c r="Z491" t="n">
        <v>255</v>
      </c>
      <c r="AA491" t="n">
        <v>257</v>
      </c>
      <c r="AB491" t="n">
        <v>3</v>
      </c>
      <c r="AC491" t="n">
        <v>3</v>
      </c>
      <c r="AD491" t="n">
        <v>7</v>
      </c>
      <c r="AE491" t="n">
        <v>7</v>
      </c>
      <c r="AF491" t="n">
        <v>1</v>
      </c>
      <c r="AG491" t="n">
        <v>1</v>
      </c>
      <c r="AH491" t="n">
        <v>2</v>
      </c>
      <c r="AI491" t="n">
        <v>2</v>
      </c>
      <c r="AJ491" t="n">
        <v>4</v>
      </c>
      <c r="AK491" t="n">
        <v>4</v>
      </c>
      <c r="AL491" t="n">
        <v>2</v>
      </c>
      <c r="AM491" t="n">
        <v>2</v>
      </c>
      <c r="AN491" t="n">
        <v>0</v>
      </c>
      <c r="AO491" t="n">
        <v>0</v>
      </c>
      <c r="AP491" t="inlineStr">
        <is>
          <t>No</t>
        </is>
      </c>
      <c r="AQ491" t="inlineStr">
        <is>
          <t>Yes</t>
        </is>
      </c>
      <c r="AR491">
        <f>HYPERLINK("http://catalog.hathitrust.org/Record/000190895","HathiTrust Record")</f>
        <v/>
      </c>
      <c r="AS491">
        <f>HYPERLINK("https://creighton-primo.hosted.exlibrisgroup.com/primo-explore/search?tab=default_tab&amp;search_scope=EVERYTHING&amp;vid=01CRU&amp;lang=en_US&amp;offset=0&amp;query=any,contains,991004970269702656","Catalog Record")</f>
        <v/>
      </c>
      <c r="AT491">
        <f>HYPERLINK("http://www.worldcat.org/oclc/6357307","WorldCat Record")</f>
        <v/>
      </c>
      <c r="AU491" t="inlineStr">
        <is>
          <t>54383720:eng</t>
        </is>
      </c>
      <c r="AV491" t="inlineStr">
        <is>
          <t>6357307</t>
        </is>
      </c>
      <c r="AW491" t="inlineStr">
        <is>
          <t>991004970269702656</t>
        </is>
      </c>
      <c r="AX491" t="inlineStr">
        <is>
          <t>991004970269702656</t>
        </is>
      </c>
      <c r="AY491" t="inlineStr">
        <is>
          <t>2256019980002656</t>
        </is>
      </c>
      <c r="AZ491" t="inlineStr">
        <is>
          <t>BOOK</t>
        </is>
      </c>
      <c r="BB491" t="inlineStr">
        <is>
          <t>9780124857506</t>
        </is>
      </c>
      <c r="BC491" t="inlineStr">
        <is>
          <t>32285001382026</t>
        </is>
      </c>
      <c r="BD491" t="inlineStr">
        <is>
          <t>893707068</t>
        </is>
      </c>
    </row>
    <row r="492">
      <c r="A492" t="inlineStr">
        <is>
          <t>No</t>
        </is>
      </c>
      <c r="B492" t="inlineStr">
        <is>
          <t>LB1051 .S6457 1981</t>
        </is>
      </c>
      <c r="C492" t="inlineStr">
        <is>
          <t>0                      LB 1051000S  6457        1981</t>
        </is>
      </c>
      <c r="D492" t="inlineStr">
        <is>
          <t>Educational psychology : a developmental approach / Richard C. Sprinthall, Norman A. Sprinthall.</t>
        </is>
      </c>
      <c r="F492" t="inlineStr">
        <is>
          <t>No</t>
        </is>
      </c>
      <c r="G492" t="inlineStr">
        <is>
          <t>1</t>
        </is>
      </c>
      <c r="H492" t="inlineStr">
        <is>
          <t>No</t>
        </is>
      </c>
      <c r="I492" t="inlineStr">
        <is>
          <t>No</t>
        </is>
      </c>
      <c r="J492" t="inlineStr">
        <is>
          <t>0</t>
        </is>
      </c>
      <c r="K492" t="inlineStr">
        <is>
          <t>Sprinthall, Richard C., 1930-</t>
        </is>
      </c>
      <c r="L492" t="inlineStr">
        <is>
          <t>Reading, Mass. : Addison-Wesley Pub. Co., c1981.</t>
        </is>
      </c>
      <c r="M492" t="inlineStr">
        <is>
          <t>1981</t>
        </is>
      </c>
      <c r="N492" t="inlineStr">
        <is>
          <t>3d ed.</t>
        </is>
      </c>
      <c r="O492" t="inlineStr">
        <is>
          <t>eng</t>
        </is>
      </c>
      <c r="P492" t="inlineStr">
        <is>
          <t>mau</t>
        </is>
      </c>
      <c r="Q492" t="inlineStr">
        <is>
          <t>Addison-Wesley series in education</t>
        </is>
      </c>
      <c r="R492" t="inlineStr">
        <is>
          <t xml:space="preserve">LB </t>
        </is>
      </c>
      <c r="S492" t="n">
        <v>9</v>
      </c>
      <c r="T492" t="n">
        <v>9</v>
      </c>
      <c r="U492" t="inlineStr">
        <is>
          <t>1999-02-01</t>
        </is>
      </c>
      <c r="V492" t="inlineStr">
        <is>
          <t>1999-02-01</t>
        </is>
      </c>
      <c r="W492" t="inlineStr">
        <is>
          <t>1992-11-04</t>
        </is>
      </c>
      <c r="X492" t="inlineStr">
        <is>
          <t>1992-11-04</t>
        </is>
      </c>
      <c r="Y492" t="n">
        <v>197</v>
      </c>
      <c r="Z492" t="n">
        <v>138</v>
      </c>
      <c r="AA492" t="n">
        <v>616</v>
      </c>
      <c r="AB492" t="n">
        <v>3</v>
      </c>
      <c r="AC492" t="n">
        <v>5</v>
      </c>
      <c r="AD492" t="n">
        <v>2</v>
      </c>
      <c r="AE492" t="n">
        <v>22</v>
      </c>
      <c r="AF492" t="n">
        <v>0</v>
      </c>
      <c r="AG492" t="n">
        <v>9</v>
      </c>
      <c r="AH492" t="n">
        <v>0</v>
      </c>
      <c r="AI492" t="n">
        <v>2</v>
      </c>
      <c r="AJ492" t="n">
        <v>1</v>
      </c>
      <c r="AK492" t="n">
        <v>11</v>
      </c>
      <c r="AL492" t="n">
        <v>1</v>
      </c>
      <c r="AM492" t="n">
        <v>3</v>
      </c>
      <c r="AN492" t="n">
        <v>0</v>
      </c>
      <c r="AO492" t="n">
        <v>0</v>
      </c>
      <c r="AP492" t="inlineStr">
        <is>
          <t>No</t>
        </is>
      </c>
      <c r="AQ492" t="inlineStr">
        <is>
          <t>No</t>
        </is>
      </c>
      <c r="AS492">
        <f>HYPERLINK("https://creighton-primo.hosted.exlibrisgroup.com/primo-explore/search?tab=default_tab&amp;search_scope=EVERYTHING&amp;vid=01CRU&amp;lang=en_US&amp;offset=0&amp;query=any,contains,991004968639702656","Catalog Record")</f>
        <v/>
      </c>
      <c r="AT492">
        <f>HYPERLINK("http://www.worldcat.org/oclc/6355775","WorldCat Record")</f>
        <v/>
      </c>
      <c r="AU492" t="inlineStr">
        <is>
          <t>67294630:eng</t>
        </is>
      </c>
      <c r="AV492" t="inlineStr">
        <is>
          <t>6355775</t>
        </is>
      </c>
      <c r="AW492" t="inlineStr">
        <is>
          <t>991004968639702656</t>
        </is>
      </c>
      <c r="AX492" t="inlineStr">
        <is>
          <t>991004968639702656</t>
        </is>
      </c>
      <c r="AY492" t="inlineStr">
        <is>
          <t>2256570640002656</t>
        </is>
      </c>
      <c r="AZ492" t="inlineStr">
        <is>
          <t>BOOK</t>
        </is>
      </c>
      <c r="BB492" t="inlineStr">
        <is>
          <t>9780201068726</t>
        </is>
      </c>
      <c r="BC492" t="inlineStr">
        <is>
          <t>32285001382034</t>
        </is>
      </c>
      <c r="BD492" t="inlineStr">
        <is>
          <t>893501143</t>
        </is>
      </c>
    </row>
    <row r="493">
      <c r="A493" t="inlineStr">
        <is>
          <t>No</t>
        </is>
      </c>
      <c r="B493" t="inlineStr">
        <is>
          <t>LB1051 .S71256 1980</t>
        </is>
      </c>
      <c r="C493" t="inlineStr">
        <is>
          <t>0                      LB 1051000S  71256       1980</t>
        </is>
      </c>
      <c r="D493" t="inlineStr">
        <is>
          <t>Behaviorism and schooling / Ira S. Steinberg.</t>
        </is>
      </c>
      <c r="F493" t="inlineStr">
        <is>
          <t>No</t>
        </is>
      </c>
      <c r="G493" t="inlineStr">
        <is>
          <t>1</t>
        </is>
      </c>
      <c r="H493" t="inlineStr">
        <is>
          <t>No</t>
        </is>
      </c>
      <c r="I493" t="inlineStr">
        <is>
          <t>No</t>
        </is>
      </c>
      <c r="J493" t="inlineStr">
        <is>
          <t>0</t>
        </is>
      </c>
      <c r="K493" t="inlineStr">
        <is>
          <t>Steinberg, Ira S.</t>
        </is>
      </c>
      <c r="L493" t="inlineStr">
        <is>
          <t>New York : St. Martin's, 1980.</t>
        </is>
      </c>
      <c r="M493" t="inlineStr">
        <is>
          <t>1980</t>
        </is>
      </c>
      <c r="O493" t="inlineStr">
        <is>
          <t>eng</t>
        </is>
      </c>
      <c r="P493" t="inlineStr">
        <is>
          <t>nyu</t>
        </is>
      </c>
      <c r="R493" t="inlineStr">
        <is>
          <t xml:space="preserve">LB </t>
        </is>
      </c>
      <c r="S493" t="n">
        <v>2</v>
      </c>
      <c r="T493" t="n">
        <v>2</v>
      </c>
      <c r="U493" t="inlineStr">
        <is>
          <t>1997-12-07</t>
        </is>
      </c>
      <c r="V493" t="inlineStr">
        <is>
          <t>1997-12-07</t>
        </is>
      </c>
      <c r="W493" t="inlineStr">
        <is>
          <t>1992-11-04</t>
        </is>
      </c>
      <c r="X493" t="inlineStr">
        <is>
          <t>1992-11-04</t>
        </is>
      </c>
      <c r="Y493" t="n">
        <v>436</v>
      </c>
      <c r="Z493" t="n">
        <v>388</v>
      </c>
      <c r="AA493" t="n">
        <v>418</v>
      </c>
      <c r="AB493" t="n">
        <v>4</v>
      </c>
      <c r="AC493" t="n">
        <v>5</v>
      </c>
      <c r="AD493" t="n">
        <v>23</v>
      </c>
      <c r="AE493" t="n">
        <v>24</v>
      </c>
      <c r="AF493" t="n">
        <v>11</v>
      </c>
      <c r="AG493" t="n">
        <v>11</v>
      </c>
      <c r="AH493" t="n">
        <v>5</v>
      </c>
      <c r="AI493" t="n">
        <v>5</v>
      </c>
      <c r="AJ493" t="n">
        <v>10</v>
      </c>
      <c r="AK493" t="n">
        <v>10</v>
      </c>
      <c r="AL493" t="n">
        <v>2</v>
      </c>
      <c r="AM493" t="n">
        <v>3</v>
      </c>
      <c r="AN493" t="n">
        <v>0</v>
      </c>
      <c r="AO493" t="n">
        <v>0</v>
      </c>
      <c r="AP493" t="inlineStr">
        <is>
          <t>No</t>
        </is>
      </c>
      <c r="AQ493" t="inlineStr">
        <is>
          <t>No</t>
        </is>
      </c>
      <c r="AS493">
        <f>HYPERLINK("https://creighton-primo.hosted.exlibrisgroup.com/primo-explore/search?tab=default_tab&amp;search_scope=EVERYTHING&amp;vid=01CRU&amp;lang=en_US&amp;offset=0&amp;query=any,contains,991004947309702656","Catalog Record")</f>
        <v/>
      </c>
      <c r="AT493">
        <f>HYPERLINK("http://www.worldcat.org/oclc/6222682","WorldCat Record")</f>
        <v/>
      </c>
      <c r="AU493" t="inlineStr">
        <is>
          <t>441663:eng</t>
        </is>
      </c>
      <c r="AV493" t="inlineStr">
        <is>
          <t>6222682</t>
        </is>
      </c>
      <c r="AW493" t="inlineStr">
        <is>
          <t>991004947309702656</t>
        </is>
      </c>
      <c r="AX493" t="inlineStr">
        <is>
          <t>991004947309702656</t>
        </is>
      </c>
      <c r="AY493" t="inlineStr">
        <is>
          <t>2266707060002656</t>
        </is>
      </c>
      <c r="AZ493" t="inlineStr">
        <is>
          <t>BOOK</t>
        </is>
      </c>
      <c r="BB493" t="inlineStr">
        <is>
          <t>9780312072537</t>
        </is>
      </c>
      <c r="BC493" t="inlineStr">
        <is>
          <t>32285001382042</t>
        </is>
      </c>
      <c r="BD493" t="inlineStr">
        <is>
          <t>893594272</t>
        </is>
      </c>
    </row>
    <row r="494">
      <c r="A494" t="inlineStr">
        <is>
          <t>No</t>
        </is>
      </c>
      <c r="B494" t="inlineStr">
        <is>
          <t>LB1051 .T652</t>
        </is>
      </c>
      <c r="C494" t="inlineStr">
        <is>
          <t>0                      LB 1051000T  652</t>
        </is>
      </c>
      <c r="D494" t="inlineStr">
        <is>
          <t>Learning from experience : toward consciousness / [by] William R. Torbert.</t>
        </is>
      </c>
      <c r="F494" t="inlineStr">
        <is>
          <t>No</t>
        </is>
      </c>
      <c r="G494" t="inlineStr">
        <is>
          <t>1</t>
        </is>
      </c>
      <c r="H494" t="inlineStr">
        <is>
          <t>No</t>
        </is>
      </c>
      <c r="I494" t="inlineStr">
        <is>
          <t>No</t>
        </is>
      </c>
      <c r="J494" t="inlineStr">
        <is>
          <t>0</t>
        </is>
      </c>
      <c r="K494" t="inlineStr">
        <is>
          <t>Torbert, William R., 1944-</t>
        </is>
      </c>
      <c r="L494" t="inlineStr">
        <is>
          <t>New York : Columbia University Press, 1972.</t>
        </is>
      </c>
      <c r="M494" t="inlineStr">
        <is>
          <t>1972</t>
        </is>
      </c>
      <c r="O494" t="inlineStr">
        <is>
          <t>eng</t>
        </is>
      </c>
      <c r="P494" t="inlineStr">
        <is>
          <t>nyu</t>
        </is>
      </c>
      <c r="R494" t="inlineStr">
        <is>
          <t xml:space="preserve">LB </t>
        </is>
      </c>
      <c r="S494" t="n">
        <v>3</v>
      </c>
      <c r="T494" t="n">
        <v>3</v>
      </c>
      <c r="U494" t="inlineStr">
        <is>
          <t>1999-03-12</t>
        </is>
      </c>
      <c r="V494" t="inlineStr">
        <is>
          <t>1999-03-12</t>
        </is>
      </c>
      <c r="W494" t="inlineStr">
        <is>
          <t>1994-05-20</t>
        </is>
      </c>
      <c r="X494" t="inlineStr">
        <is>
          <t>1994-05-20</t>
        </is>
      </c>
      <c r="Y494" t="n">
        <v>483</v>
      </c>
      <c r="Z494" t="n">
        <v>367</v>
      </c>
      <c r="AA494" t="n">
        <v>373</v>
      </c>
      <c r="AB494" t="n">
        <v>2</v>
      </c>
      <c r="AC494" t="n">
        <v>2</v>
      </c>
      <c r="AD494" t="n">
        <v>12</v>
      </c>
      <c r="AE494" t="n">
        <v>12</v>
      </c>
      <c r="AF494" t="n">
        <v>5</v>
      </c>
      <c r="AG494" t="n">
        <v>5</v>
      </c>
      <c r="AH494" t="n">
        <v>1</v>
      </c>
      <c r="AI494" t="n">
        <v>1</v>
      </c>
      <c r="AJ494" t="n">
        <v>6</v>
      </c>
      <c r="AK494" t="n">
        <v>6</v>
      </c>
      <c r="AL494" t="n">
        <v>1</v>
      </c>
      <c r="AM494" t="n">
        <v>1</v>
      </c>
      <c r="AN494" t="n">
        <v>0</v>
      </c>
      <c r="AO494" t="n">
        <v>0</v>
      </c>
      <c r="AP494" t="inlineStr">
        <is>
          <t>No</t>
        </is>
      </c>
      <c r="AQ494" t="inlineStr">
        <is>
          <t>No</t>
        </is>
      </c>
      <c r="AS494">
        <f>HYPERLINK("https://creighton-primo.hosted.exlibrisgroup.com/primo-explore/search?tab=default_tab&amp;search_scope=EVERYTHING&amp;vid=01CRU&amp;lang=en_US&amp;offset=0&amp;query=any,contains,991002729769702656","Catalog Record")</f>
        <v/>
      </c>
      <c r="AT494">
        <f>HYPERLINK("http://www.worldcat.org/oclc/415538","WorldCat Record")</f>
        <v/>
      </c>
      <c r="AU494" t="inlineStr">
        <is>
          <t>1475747:eng</t>
        </is>
      </c>
      <c r="AV494" t="inlineStr">
        <is>
          <t>415538</t>
        </is>
      </c>
      <c r="AW494" t="inlineStr">
        <is>
          <t>991002729769702656</t>
        </is>
      </c>
      <c r="AX494" t="inlineStr">
        <is>
          <t>991002729769702656</t>
        </is>
      </c>
      <c r="AY494" t="inlineStr">
        <is>
          <t>2266916580002656</t>
        </is>
      </c>
      <c r="AZ494" t="inlineStr">
        <is>
          <t>BOOK</t>
        </is>
      </c>
      <c r="BB494" t="inlineStr">
        <is>
          <t>9780231036726</t>
        </is>
      </c>
      <c r="BC494" t="inlineStr">
        <is>
          <t>32285001911444</t>
        </is>
      </c>
      <c r="BD494" t="inlineStr">
        <is>
          <t>893892907</t>
        </is>
      </c>
    </row>
    <row r="495">
      <c r="A495" t="inlineStr">
        <is>
          <t>No</t>
        </is>
      </c>
      <c r="B495" t="inlineStr">
        <is>
          <t>LB1051 .T655</t>
        </is>
      </c>
      <c r="C495" t="inlineStr">
        <is>
          <t>0                      LB 1051000T  655</t>
        </is>
      </c>
      <c r="D495" t="inlineStr">
        <is>
          <t>The mastery approach to competency-based education / Kay Pomerance Torshen.</t>
        </is>
      </c>
      <c r="F495" t="inlineStr">
        <is>
          <t>No</t>
        </is>
      </c>
      <c r="G495" t="inlineStr">
        <is>
          <t>1</t>
        </is>
      </c>
      <c r="H495" t="inlineStr">
        <is>
          <t>No</t>
        </is>
      </c>
      <c r="I495" t="inlineStr">
        <is>
          <t>No</t>
        </is>
      </c>
      <c r="J495" t="inlineStr">
        <is>
          <t>0</t>
        </is>
      </c>
      <c r="K495" t="inlineStr">
        <is>
          <t>Torshen, Kay Pomerance.</t>
        </is>
      </c>
      <c r="L495" t="inlineStr">
        <is>
          <t>New York : Academic Press, 1977.</t>
        </is>
      </c>
      <c r="M495" t="inlineStr">
        <is>
          <t>1977</t>
        </is>
      </c>
      <c r="O495" t="inlineStr">
        <is>
          <t>eng</t>
        </is>
      </c>
      <c r="P495" t="inlineStr">
        <is>
          <t>nyu</t>
        </is>
      </c>
      <c r="Q495" t="inlineStr">
        <is>
          <t>Educational psychology</t>
        </is>
      </c>
      <c r="R495" t="inlineStr">
        <is>
          <t xml:space="preserve">LB </t>
        </is>
      </c>
      <c r="S495" t="n">
        <v>3</v>
      </c>
      <c r="T495" t="n">
        <v>3</v>
      </c>
      <c r="U495" t="inlineStr">
        <is>
          <t>1999-03-12</t>
        </is>
      </c>
      <c r="V495" t="inlineStr">
        <is>
          <t>1999-03-12</t>
        </is>
      </c>
      <c r="W495" t="inlineStr">
        <is>
          <t>1997-05-06</t>
        </is>
      </c>
      <c r="X495" t="inlineStr">
        <is>
          <t>1997-05-06</t>
        </is>
      </c>
      <c r="Y495" t="n">
        <v>449</v>
      </c>
      <c r="Z495" t="n">
        <v>340</v>
      </c>
      <c r="AA495" t="n">
        <v>345</v>
      </c>
      <c r="AB495" t="n">
        <v>2</v>
      </c>
      <c r="AC495" t="n">
        <v>2</v>
      </c>
      <c r="AD495" t="n">
        <v>12</v>
      </c>
      <c r="AE495" t="n">
        <v>12</v>
      </c>
      <c r="AF495" t="n">
        <v>6</v>
      </c>
      <c r="AG495" t="n">
        <v>6</v>
      </c>
      <c r="AH495" t="n">
        <v>3</v>
      </c>
      <c r="AI495" t="n">
        <v>3</v>
      </c>
      <c r="AJ495" t="n">
        <v>5</v>
      </c>
      <c r="AK495" t="n">
        <v>5</v>
      </c>
      <c r="AL495" t="n">
        <v>1</v>
      </c>
      <c r="AM495" t="n">
        <v>1</v>
      </c>
      <c r="AN495" t="n">
        <v>0</v>
      </c>
      <c r="AO495" t="n">
        <v>0</v>
      </c>
      <c r="AP495" t="inlineStr">
        <is>
          <t>No</t>
        </is>
      </c>
      <c r="AQ495" t="inlineStr">
        <is>
          <t>Yes</t>
        </is>
      </c>
      <c r="AR495">
        <f>HYPERLINK("http://catalog.hathitrust.org/Record/004425797","HathiTrust Record")</f>
        <v/>
      </c>
      <c r="AS495">
        <f>HYPERLINK("https://creighton-primo.hosted.exlibrisgroup.com/primo-explore/search?tab=default_tab&amp;search_scope=EVERYTHING&amp;vid=01CRU&amp;lang=en_US&amp;offset=0&amp;query=any,contains,991004342729702656","Catalog Record")</f>
        <v/>
      </c>
      <c r="AT495">
        <f>HYPERLINK("http://www.worldcat.org/oclc/3090192","WorldCat Record")</f>
        <v/>
      </c>
      <c r="AU495" t="inlineStr">
        <is>
          <t>8118352:eng</t>
        </is>
      </c>
      <c r="AV495" t="inlineStr">
        <is>
          <t>3090192</t>
        </is>
      </c>
      <c r="AW495" t="inlineStr">
        <is>
          <t>991004342729702656</t>
        </is>
      </c>
      <c r="AX495" t="inlineStr">
        <is>
          <t>991004342729702656</t>
        </is>
      </c>
      <c r="AY495" t="inlineStr">
        <is>
          <t>2260551380002656</t>
        </is>
      </c>
      <c r="AZ495" t="inlineStr">
        <is>
          <t>BOOK</t>
        </is>
      </c>
      <c r="BB495" t="inlineStr">
        <is>
          <t>9780126960501</t>
        </is>
      </c>
      <c r="BC495" t="inlineStr">
        <is>
          <t>32285002633351</t>
        </is>
      </c>
      <c r="BD495" t="inlineStr">
        <is>
          <t>893712477</t>
        </is>
      </c>
    </row>
    <row r="496">
      <c r="A496" t="inlineStr">
        <is>
          <t>No</t>
        </is>
      </c>
      <c r="B496" t="inlineStr">
        <is>
          <t>LB1051.B37 P4</t>
        </is>
      </c>
      <c r="C496" t="inlineStr">
        <is>
          <t>0                      LB 1051000B  37                 P  4</t>
        </is>
      </c>
      <c r="D496" t="inlineStr">
        <is>
          <t>Philosophy and educational development [by] Henry David Aiken [and others] Edited by George Barnett.</t>
        </is>
      </c>
      <c r="F496" t="inlineStr">
        <is>
          <t>No</t>
        </is>
      </c>
      <c r="G496" t="inlineStr">
        <is>
          <t>1</t>
        </is>
      </c>
      <c r="H496" t="inlineStr">
        <is>
          <t>No</t>
        </is>
      </c>
      <c r="I496" t="inlineStr">
        <is>
          <t>No</t>
        </is>
      </c>
      <c r="J496" t="inlineStr">
        <is>
          <t>0</t>
        </is>
      </c>
      <c r="K496" t="inlineStr">
        <is>
          <t>Barnett, George, 1914-, editor.</t>
        </is>
      </c>
      <c r="L496" t="inlineStr">
        <is>
          <t>Boston, Houghton Mifflin [1966]</t>
        </is>
      </c>
      <c r="M496" t="inlineStr">
        <is>
          <t>1966</t>
        </is>
      </c>
      <c r="O496" t="inlineStr">
        <is>
          <t>eng</t>
        </is>
      </c>
      <c r="P496" t="inlineStr">
        <is>
          <t>mau</t>
        </is>
      </c>
      <c r="R496" t="inlineStr">
        <is>
          <t xml:space="preserve">LB </t>
        </is>
      </c>
      <c r="S496" t="n">
        <v>1</v>
      </c>
      <c r="T496" t="n">
        <v>1</v>
      </c>
      <c r="U496" t="inlineStr">
        <is>
          <t>2002-04-29</t>
        </is>
      </c>
      <c r="V496" t="inlineStr">
        <is>
          <t>2002-04-29</t>
        </is>
      </c>
      <c r="W496" t="inlineStr">
        <is>
          <t>1997-05-05</t>
        </is>
      </c>
      <c r="X496" t="inlineStr">
        <is>
          <t>1997-05-05</t>
        </is>
      </c>
      <c r="Y496" t="n">
        <v>536</v>
      </c>
      <c r="Z496" t="n">
        <v>464</v>
      </c>
      <c r="AA496" t="n">
        <v>470</v>
      </c>
      <c r="AB496" t="n">
        <v>8</v>
      </c>
      <c r="AC496" t="n">
        <v>8</v>
      </c>
      <c r="AD496" t="n">
        <v>26</v>
      </c>
      <c r="AE496" t="n">
        <v>26</v>
      </c>
      <c r="AF496" t="n">
        <v>8</v>
      </c>
      <c r="AG496" t="n">
        <v>8</v>
      </c>
      <c r="AH496" t="n">
        <v>5</v>
      </c>
      <c r="AI496" t="n">
        <v>5</v>
      </c>
      <c r="AJ496" t="n">
        <v>12</v>
      </c>
      <c r="AK496" t="n">
        <v>12</v>
      </c>
      <c r="AL496" t="n">
        <v>7</v>
      </c>
      <c r="AM496" t="n">
        <v>7</v>
      </c>
      <c r="AN496" t="n">
        <v>0</v>
      </c>
      <c r="AO496" t="n">
        <v>0</v>
      </c>
      <c r="AP496" t="inlineStr">
        <is>
          <t>No</t>
        </is>
      </c>
      <c r="AQ496" t="inlineStr">
        <is>
          <t>Yes</t>
        </is>
      </c>
      <c r="AR496">
        <f>HYPERLINK("http://catalog.hathitrust.org/Record/001055851","HathiTrust Record")</f>
        <v/>
      </c>
      <c r="AS496">
        <f>HYPERLINK("https://creighton-primo.hosted.exlibrisgroup.com/primo-explore/search?tab=default_tab&amp;search_scope=EVERYTHING&amp;vid=01CRU&amp;lang=en_US&amp;offset=0&amp;query=any,contains,991001057859702656","Catalog Record")</f>
        <v/>
      </c>
      <c r="AT496">
        <f>HYPERLINK("http://www.worldcat.org/oclc/177720","WorldCat Record")</f>
        <v/>
      </c>
      <c r="AU496" t="inlineStr">
        <is>
          <t>1314869:eng</t>
        </is>
      </c>
      <c r="AV496" t="inlineStr">
        <is>
          <t>177720</t>
        </is>
      </c>
      <c r="AW496" t="inlineStr">
        <is>
          <t>991001057859702656</t>
        </is>
      </c>
      <c r="AX496" t="inlineStr">
        <is>
          <t>991001057859702656</t>
        </is>
      </c>
      <c r="AY496" t="inlineStr">
        <is>
          <t>2268140600002656</t>
        </is>
      </c>
      <c r="AZ496" t="inlineStr">
        <is>
          <t>BOOK</t>
        </is>
      </c>
      <c r="BC496" t="inlineStr">
        <is>
          <t>32285002632734</t>
        </is>
      </c>
      <c r="BD496" t="inlineStr">
        <is>
          <t>893778522</t>
        </is>
      </c>
    </row>
    <row r="497">
      <c r="A497" t="inlineStr">
        <is>
          <t>No</t>
        </is>
      </c>
      <c r="B497" t="inlineStr">
        <is>
          <t>LB1053 .H86</t>
        </is>
      </c>
      <c r="C497" t="inlineStr">
        <is>
          <t>0                      LB 1053000H  86</t>
        </is>
      </c>
      <c r="D497" t="inlineStr">
        <is>
          <t>Teach more--faster! : A programed book / [by] Madeline Hunter.</t>
        </is>
      </c>
      <c r="F497" t="inlineStr">
        <is>
          <t>No</t>
        </is>
      </c>
      <c r="G497" t="inlineStr">
        <is>
          <t>1</t>
        </is>
      </c>
      <c r="H497" t="inlineStr">
        <is>
          <t>No</t>
        </is>
      </c>
      <c r="I497" t="inlineStr">
        <is>
          <t>No</t>
        </is>
      </c>
      <c r="J497" t="inlineStr">
        <is>
          <t>0</t>
        </is>
      </c>
      <c r="K497" t="inlineStr">
        <is>
          <t>Hunter, Madeline C.</t>
        </is>
      </c>
      <c r="L497" t="inlineStr">
        <is>
          <t>El Segundo, Calif. : TIP Publications, c1969.</t>
        </is>
      </c>
      <c r="M497" t="inlineStr">
        <is>
          <t>1969</t>
        </is>
      </c>
      <c r="O497" t="inlineStr">
        <is>
          <t>eng</t>
        </is>
      </c>
      <c r="P497" t="inlineStr">
        <is>
          <t>cau</t>
        </is>
      </c>
      <c r="Q497" t="inlineStr">
        <is>
          <t>Theory into practice</t>
        </is>
      </c>
      <c r="R497" t="inlineStr">
        <is>
          <t xml:space="preserve">LB </t>
        </is>
      </c>
      <c r="S497" t="n">
        <v>2</v>
      </c>
      <c r="T497" t="n">
        <v>2</v>
      </c>
      <c r="U497" t="inlineStr">
        <is>
          <t>2003-04-13</t>
        </is>
      </c>
      <c r="V497" t="inlineStr">
        <is>
          <t>2003-04-13</t>
        </is>
      </c>
      <c r="W497" t="inlineStr">
        <is>
          <t>1997-05-06</t>
        </is>
      </c>
      <c r="X497" t="inlineStr">
        <is>
          <t>1997-05-06</t>
        </is>
      </c>
      <c r="Y497" t="n">
        <v>150</v>
      </c>
      <c r="Z497" t="n">
        <v>138</v>
      </c>
      <c r="AA497" t="n">
        <v>395</v>
      </c>
      <c r="AB497" t="n">
        <v>3</v>
      </c>
      <c r="AC497" t="n">
        <v>10</v>
      </c>
      <c r="AD497" t="n">
        <v>3</v>
      </c>
      <c r="AE497" t="n">
        <v>17</v>
      </c>
      <c r="AF497" t="n">
        <v>2</v>
      </c>
      <c r="AG497" t="n">
        <v>9</v>
      </c>
      <c r="AH497" t="n">
        <v>0</v>
      </c>
      <c r="AI497" t="n">
        <v>2</v>
      </c>
      <c r="AJ497" t="n">
        <v>2</v>
      </c>
      <c r="AK497" t="n">
        <v>4</v>
      </c>
      <c r="AL497" t="n">
        <v>1</v>
      </c>
      <c r="AM497" t="n">
        <v>7</v>
      </c>
      <c r="AN497" t="n">
        <v>0</v>
      </c>
      <c r="AO497" t="n">
        <v>0</v>
      </c>
      <c r="AP497" t="inlineStr">
        <is>
          <t>No</t>
        </is>
      </c>
      <c r="AQ497" t="inlineStr">
        <is>
          <t>Yes</t>
        </is>
      </c>
      <c r="AR497">
        <f>HYPERLINK("http://catalog.hathitrust.org/Record/009907798","HathiTrust Record")</f>
        <v/>
      </c>
      <c r="AS497">
        <f>HYPERLINK("https://creighton-primo.hosted.exlibrisgroup.com/primo-explore/search?tab=default_tab&amp;search_scope=EVERYTHING&amp;vid=01CRU&amp;lang=en_US&amp;offset=0&amp;query=any,contains,991004834739702656","Catalog Record")</f>
        <v/>
      </c>
      <c r="AT497">
        <f>HYPERLINK("http://www.worldcat.org/oclc/5437669","WorldCat Record")</f>
        <v/>
      </c>
      <c r="AU497" t="inlineStr">
        <is>
          <t>7318772:eng</t>
        </is>
      </c>
      <c r="AV497" t="inlineStr">
        <is>
          <t>5437669</t>
        </is>
      </c>
      <c r="AW497" t="inlineStr">
        <is>
          <t>991004834739702656</t>
        </is>
      </c>
      <c r="AX497" t="inlineStr">
        <is>
          <t>991004834739702656</t>
        </is>
      </c>
      <c r="AY497" t="inlineStr">
        <is>
          <t>2263991360002656</t>
        </is>
      </c>
      <c r="AZ497" t="inlineStr">
        <is>
          <t>BOOK</t>
        </is>
      </c>
      <c r="BC497" t="inlineStr">
        <is>
          <t>32285002633393</t>
        </is>
      </c>
      <c r="BD497" t="inlineStr">
        <is>
          <t>893338181</t>
        </is>
      </c>
    </row>
    <row r="498">
      <c r="A498" t="inlineStr">
        <is>
          <t>No</t>
        </is>
      </c>
      <c r="B498" t="inlineStr">
        <is>
          <t>LB1055 .D441 1985</t>
        </is>
      </c>
      <c r="C498" t="inlineStr">
        <is>
          <t>0                      LB 1055000D  441         1985</t>
        </is>
      </c>
      <c r="D498" t="inlineStr">
        <is>
          <t>Developing minds : a resource book for teaching thinking / edited by Arthur L. Costa.</t>
        </is>
      </c>
      <c r="F498" t="inlineStr">
        <is>
          <t>No</t>
        </is>
      </c>
      <c r="G498" t="inlineStr">
        <is>
          <t>1</t>
        </is>
      </c>
      <c r="H498" t="inlineStr">
        <is>
          <t>No</t>
        </is>
      </c>
      <c r="I498" t="inlineStr">
        <is>
          <t>No</t>
        </is>
      </c>
      <c r="J498" t="inlineStr">
        <is>
          <t>0</t>
        </is>
      </c>
      <c r="L498" t="inlineStr">
        <is>
          <t>Alexandria, Va. : Association for Supervision and Curriculum Development, c1985.</t>
        </is>
      </c>
      <c r="M498" t="inlineStr">
        <is>
          <t>1985</t>
        </is>
      </c>
      <c r="O498" t="inlineStr">
        <is>
          <t>eng</t>
        </is>
      </c>
      <c r="P498" t="inlineStr">
        <is>
          <t>vau</t>
        </is>
      </c>
      <c r="R498" t="inlineStr">
        <is>
          <t xml:space="preserve">LB </t>
        </is>
      </c>
      <c r="S498" t="n">
        <v>4</v>
      </c>
      <c r="T498" t="n">
        <v>4</v>
      </c>
      <c r="U498" t="inlineStr">
        <is>
          <t>2000-09-10</t>
        </is>
      </c>
      <c r="V498" t="inlineStr">
        <is>
          <t>2000-09-10</t>
        </is>
      </c>
      <c r="W498" t="inlineStr">
        <is>
          <t>1992-11-19</t>
        </is>
      </c>
      <c r="X498" t="inlineStr">
        <is>
          <t>1992-11-19</t>
        </is>
      </c>
      <c r="Y498" t="n">
        <v>591</v>
      </c>
      <c r="Z498" t="n">
        <v>537</v>
      </c>
      <c r="AA498" t="n">
        <v>897</v>
      </c>
      <c r="AB498" t="n">
        <v>5</v>
      </c>
      <c r="AC498" t="n">
        <v>8</v>
      </c>
      <c r="AD498" t="n">
        <v>18</v>
      </c>
      <c r="AE498" t="n">
        <v>33</v>
      </c>
      <c r="AF498" t="n">
        <v>7</v>
      </c>
      <c r="AG498" t="n">
        <v>14</v>
      </c>
      <c r="AH498" t="n">
        <v>6</v>
      </c>
      <c r="AI498" t="n">
        <v>7</v>
      </c>
      <c r="AJ498" t="n">
        <v>8</v>
      </c>
      <c r="AK498" t="n">
        <v>15</v>
      </c>
      <c r="AL498" t="n">
        <v>3</v>
      </c>
      <c r="AM498" t="n">
        <v>5</v>
      </c>
      <c r="AN498" t="n">
        <v>0</v>
      </c>
      <c r="AO498" t="n">
        <v>0</v>
      </c>
      <c r="AP498" t="inlineStr">
        <is>
          <t>No</t>
        </is>
      </c>
      <c r="AQ498" t="inlineStr">
        <is>
          <t>Yes</t>
        </is>
      </c>
      <c r="AR498">
        <f>HYPERLINK("http://catalog.hathitrust.org/Record/007480799","HathiTrust Record")</f>
        <v/>
      </c>
      <c r="AS498">
        <f>HYPERLINK("https://creighton-primo.hosted.exlibrisgroup.com/primo-explore/search?tab=default_tab&amp;search_scope=EVERYTHING&amp;vid=01CRU&amp;lang=en_US&amp;offset=0&amp;query=any,contains,991000736839702656","Catalog Record")</f>
        <v/>
      </c>
      <c r="AT498">
        <f>HYPERLINK("http://www.worldcat.org/oclc/12794167","WorldCat Record")</f>
        <v/>
      </c>
      <c r="AU498" t="inlineStr">
        <is>
          <t>796050283:eng</t>
        </is>
      </c>
      <c r="AV498" t="inlineStr">
        <is>
          <t>12794167</t>
        </is>
      </c>
      <c r="AW498" t="inlineStr">
        <is>
          <t>991000736839702656</t>
        </is>
      </c>
      <c r="AX498" t="inlineStr">
        <is>
          <t>991000736839702656</t>
        </is>
      </c>
      <c r="AY498" t="inlineStr">
        <is>
          <t>2259511150002656</t>
        </is>
      </c>
      <c r="AZ498" t="inlineStr">
        <is>
          <t>BOOK</t>
        </is>
      </c>
      <c r="BB498" t="inlineStr">
        <is>
          <t>9780871201317</t>
        </is>
      </c>
      <c r="BC498" t="inlineStr">
        <is>
          <t>32285001407344</t>
        </is>
      </c>
      <c r="BD498" t="inlineStr">
        <is>
          <t>893425987</t>
        </is>
      </c>
    </row>
    <row r="499">
      <c r="A499" t="inlineStr">
        <is>
          <t>No</t>
        </is>
      </c>
      <c r="B499" t="inlineStr">
        <is>
          <t>LB1057 .C33 1991</t>
        </is>
      </c>
      <c r="C499" t="inlineStr">
        <is>
          <t>0                      LB 1057000C  33          1991</t>
        </is>
      </c>
      <c r="D499" t="inlineStr">
        <is>
          <t>Making connections : teaching and the human brain / Renate Nummela Caine, Geoffrey Caine.</t>
        </is>
      </c>
      <c r="F499" t="inlineStr">
        <is>
          <t>No</t>
        </is>
      </c>
      <c r="G499" t="inlineStr">
        <is>
          <t>1</t>
        </is>
      </c>
      <c r="H499" t="inlineStr">
        <is>
          <t>No</t>
        </is>
      </c>
      <c r="I499" t="inlineStr">
        <is>
          <t>No</t>
        </is>
      </c>
      <c r="J499" t="inlineStr">
        <is>
          <t>0</t>
        </is>
      </c>
      <c r="K499" t="inlineStr">
        <is>
          <t>Caine, Renate Nummela.</t>
        </is>
      </c>
      <c r="L499" t="inlineStr">
        <is>
          <t>Alexandria, Va. : Association for Supervision and Curriculum Development, c1991.</t>
        </is>
      </c>
      <c r="M499" t="inlineStr">
        <is>
          <t>1991</t>
        </is>
      </c>
      <c r="O499" t="inlineStr">
        <is>
          <t>eng</t>
        </is>
      </c>
      <c r="P499" t="inlineStr">
        <is>
          <t>vau</t>
        </is>
      </c>
      <c r="R499" t="inlineStr">
        <is>
          <t xml:space="preserve">LB </t>
        </is>
      </c>
      <c r="S499" t="n">
        <v>6</v>
      </c>
      <c r="T499" t="n">
        <v>6</v>
      </c>
      <c r="U499" t="inlineStr">
        <is>
          <t>2001-04-05</t>
        </is>
      </c>
      <c r="V499" t="inlineStr">
        <is>
          <t>2001-04-05</t>
        </is>
      </c>
      <c r="W499" t="inlineStr">
        <is>
          <t>1991-05-30</t>
        </is>
      </c>
      <c r="X499" t="inlineStr">
        <is>
          <t>1991-05-30</t>
        </is>
      </c>
      <c r="Y499" t="n">
        <v>789</v>
      </c>
      <c r="Z499" t="n">
        <v>711</v>
      </c>
      <c r="AA499" t="n">
        <v>993</v>
      </c>
      <c r="AB499" t="n">
        <v>8</v>
      </c>
      <c r="AC499" t="n">
        <v>10</v>
      </c>
      <c r="AD499" t="n">
        <v>24</v>
      </c>
      <c r="AE499" t="n">
        <v>31</v>
      </c>
      <c r="AF499" t="n">
        <v>12</v>
      </c>
      <c r="AG499" t="n">
        <v>14</v>
      </c>
      <c r="AH499" t="n">
        <v>4</v>
      </c>
      <c r="AI499" t="n">
        <v>4</v>
      </c>
      <c r="AJ499" t="n">
        <v>8</v>
      </c>
      <c r="AK499" t="n">
        <v>12</v>
      </c>
      <c r="AL499" t="n">
        <v>5</v>
      </c>
      <c r="AM499" t="n">
        <v>7</v>
      </c>
      <c r="AN499" t="n">
        <v>0</v>
      </c>
      <c r="AO499" t="n">
        <v>0</v>
      </c>
      <c r="AP499" t="inlineStr">
        <is>
          <t>No</t>
        </is>
      </c>
      <c r="AQ499" t="inlineStr">
        <is>
          <t>No</t>
        </is>
      </c>
      <c r="AS499">
        <f>HYPERLINK("https://creighton-primo.hosted.exlibrisgroup.com/primo-explore/search?tab=default_tab&amp;search_scope=EVERYTHING&amp;vid=01CRU&amp;lang=en_US&amp;offset=0&amp;query=any,contains,991001838049702656","Catalog Record")</f>
        <v/>
      </c>
      <c r="AT499">
        <f>HYPERLINK("http://www.worldcat.org/oclc/23082081","WorldCat Record")</f>
        <v/>
      </c>
      <c r="AU499" t="inlineStr">
        <is>
          <t>24503356:eng</t>
        </is>
      </c>
      <c r="AV499" t="inlineStr">
        <is>
          <t>23082081</t>
        </is>
      </c>
      <c r="AW499" t="inlineStr">
        <is>
          <t>991001838049702656</t>
        </is>
      </c>
      <c r="AX499" t="inlineStr">
        <is>
          <t>991001838049702656</t>
        </is>
      </c>
      <c r="AY499" t="inlineStr">
        <is>
          <t>2256350340002656</t>
        </is>
      </c>
      <c r="AZ499" t="inlineStr">
        <is>
          <t>BOOK</t>
        </is>
      </c>
      <c r="BB499" t="inlineStr">
        <is>
          <t>9780871201799</t>
        </is>
      </c>
      <c r="BC499" t="inlineStr">
        <is>
          <t>32285000539964</t>
        </is>
      </c>
      <c r="BD499" t="inlineStr">
        <is>
          <t>893316102</t>
        </is>
      </c>
    </row>
    <row r="500">
      <c r="A500" t="inlineStr">
        <is>
          <t>No</t>
        </is>
      </c>
      <c r="B500" t="inlineStr">
        <is>
          <t>LB1059 .H85</t>
        </is>
      </c>
      <c r="C500" t="inlineStr">
        <is>
          <t>0                      LB 1059000H  85</t>
        </is>
      </c>
      <c r="D500" t="inlineStr">
        <is>
          <t>Teach for transfer : a programed book / Madeline Hunter.</t>
        </is>
      </c>
      <c r="F500" t="inlineStr">
        <is>
          <t>No</t>
        </is>
      </c>
      <c r="G500" t="inlineStr">
        <is>
          <t>1</t>
        </is>
      </c>
      <c r="H500" t="inlineStr">
        <is>
          <t>No</t>
        </is>
      </c>
      <c r="I500" t="inlineStr">
        <is>
          <t>No</t>
        </is>
      </c>
      <c r="J500" t="inlineStr">
        <is>
          <t>0</t>
        </is>
      </c>
      <c r="K500" t="inlineStr">
        <is>
          <t>Hunter, Madeline C.</t>
        </is>
      </c>
      <c r="L500" t="inlineStr">
        <is>
          <t>El Segundo, Calif. : TIP Publications, c1971.</t>
        </is>
      </c>
      <c r="M500" t="inlineStr">
        <is>
          <t>1971</t>
        </is>
      </c>
      <c r="O500" t="inlineStr">
        <is>
          <t>eng</t>
        </is>
      </c>
      <c r="P500" t="inlineStr">
        <is>
          <t>cau</t>
        </is>
      </c>
      <c r="Q500" t="inlineStr">
        <is>
          <t>Theory into practice</t>
        </is>
      </c>
      <c r="R500" t="inlineStr">
        <is>
          <t xml:space="preserve">LB </t>
        </is>
      </c>
      <c r="S500" t="n">
        <v>2</v>
      </c>
      <c r="T500" t="n">
        <v>2</v>
      </c>
      <c r="U500" t="inlineStr">
        <is>
          <t>2008-07-11</t>
        </is>
      </c>
      <c r="V500" t="inlineStr">
        <is>
          <t>2008-07-11</t>
        </is>
      </c>
      <c r="W500" t="inlineStr">
        <is>
          <t>1997-05-06</t>
        </is>
      </c>
      <c r="X500" t="inlineStr">
        <is>
          <t>1997-05-06</t>
        </is>
      </c>
      <c r="Y500" t="n">
        <v>311</v>
      </c>
      <c r="Z500" t="n">
        <v>286</v>
      </c>
      <c r="AA500" t="n">
        <v>395</v>
      </c>
      <c r="AB500" t="n">
        <v>6</v>
      </c>
      <c r="AC500" t="n">
        <v>8</v>
      </c>
      <c r="AD500" t="n">
        <v>11</v>
      </c>
      <c r="AE500" t="n">
        <v>18</v>
      </c>
      <c r="AF500" t="n">
        <v>7</v>
      </c>
      <c r="AG500" t="n">
        <v>9</v>
      </c>
      <c r="AH500" t="n">
        <v>2</v>
      </c>
      <c r="AI500" t="n">
        <v>3</v>
      </c>
      <c r="AJ500" t="n">
        <v>2</v>
      </c>
      <c r="AK500" t="n">
        <v>5</v>
      </c>
      <c r="AL500" t="n">
        <v>4</v>
      </c>
      <c r="AM500" t="n">
        <v>6</v>
      </c>
      <c r="AN500" t="n">
        <v>0</v>
      </c>
      <c r="AO500" t="n">
        <v>0</v>
      </c>
      <c r="AP500" t="inlineStr">
        <is>
          <t>No</t>
        </is>
      </c>
      <c r="AQ500" t="inlineStr">
        <is>
          <t>Yes</t>
        </is>
      </c>
      <c r="AR500">
        <f>HYPERLINK("http://catalog.hathitrust.org/Record/007477909","HathiTrust Record")</f>
        <v/>
      </c>
      <c r="AS500">
        <f>HYPERLINK("https://creighton-primo.hosted.exlibrisgroup.com/primo-explore/search?tab=default_tab&amp;search_scope=EVERYTHING&amp;vid=01CRU&amp;lang=en_US&amp;offset=0&amp;query=any,contains,991000924539702656","Catalog Record")</f>
        <v/>
      </c>
      <c r="AT500">
        <f>HYPERLINK("http://www.worldcat.org/oclc/14232083","WorldCat Record")</f>
        <v/>
      </c>
      <c r="AU500" t="inlineStr">
        <is>
          <t>8750037:eng</t>
        </is>
      </c>
      <c r="AV500" t="inlineStr">
        <is>
          <t>14232083</t>
        </is>
      </c>
      <c r="AW500" t="inlineStr">
        <is>
          <t>991000924539702656</t>
        </is>
      </c>
      <c r="AX500" t="inlineStr">
        <is>
          <t>991000924539702656</t>
        </is>
      </c>
      <c r="AY500" t="inlineStr">
        <is>
          <t>2271635230002656</t>
        </is>
      </c>
      <c r="AZ500" t="inlineStr">
        <is>
          <t>BOOK</t>
        </is>
      </c>
      <c r="BC500" t="inlineStr">
        <is>
          <t>32285002633492</t>
        </is>
      </c>
      <c r="BD500" t="inlineStr">
        <is>
          <t>893715020</t>
        </is>
      </c>
    </row>
    <row r="501">
      <c r="A501" t="inlineStr">
        <is>
          <t>No</t>
        </is>
      </c>
      <c r="B501" t="inlineStr">
        <is>
          <t>LB1059 .T42 1995</t>
        </is>
      </c>
      <c r="C501" t="inlineStr">
        <is>
          <t>0                      LB 1059000T  42          1995</t>
        </is>
      </c>
      <c r="D501" t="inlineStr">
        <is>
          <t>Teaching for transfer : fostering generalization in learning / edited by Anne McKeough, Judy Lupart, Anthony Marini.</t>
        </is>
      </c>
      <c r="F501" t="inlineStr">
        <is>
          <t>No</t>
        </is>
      </c>
      <c r="G501" t="inlineStr">
        <is>
          <t>1</t>
        </is>
      </c>
      <c r="H501" t="inlineStr">
        <is>
          <t>No</t>
        </is>
      </c>
      <c r="I501" t="inlineStr">
        <is>
          <t>No</t>
        </is>
      </c>
      <c r="J501" t="inlineStr">
        <is>
          <t>0</t>
        </is>
      </c>
      <c r="L501" t="inlineStr">
        <is>
          <t>Mahwah, N.J. : Lawrence Erlbaum Associates, c1995.</t>
        </is>
      </c>
      <c r="M501" t="inlineStr">
        <is>
          <t>1995</t>
        </is>
      </c>
      <c r="O501" t="inlineStr">
        <is>
          <t>eng</t>
        </is>
      </c>
      <c r="P501" t="inlineStr">
        <is>
          <t>nju</t>
        </is>
      </c>
      <c r="R501" t="inlineStr">
        <is>
          <t xml:space="preserve">LB </t>
        </is>
      </c>
      <c r="S501" t="n">
        <v>3</v>
      </c>
      <c r="T501" t="n">
        <v>3</v>
      </c>
      <c r="U501" t="inlineStr">
        <is>
          <t>1999-02-14</t>
        </is>
      </c>
      <c r="V501" t="inlineStr">
        <is>
          <t>1999-02-14</t>
        </is>
      </c>
      <c r="W501" t="inlineStr">
        <is>
          <t>1998-09-15</t>
        </is>
      </c>
      <c r="X501" t="inlineStr">
        <is>
          <t>1998-09-15</t>
        </is>
      </c>
      <c r="Y501" t="n">
        <v>315</v>
      </c>
      <c r="Z501" t="n">
        <v>256</v>
      </c>
      <c r="AA501" t="n">
        <v>282</v>
      </c>
      <c r="AB501" t="n">
        <v>3</v>
      </c>
      <c r="AC501" t="n">
        <v>3</v>
      </c>
      <c r="AD501" t="n">
        <v>12</v>
      </c>
      <c r="AE501" t="n">
        <v>12</v>
      </c>
      <c r="AF501" t="n">
        <v>1</v>
      </c>
      <c r="AG501" t="n">
        <v>1</v>
      </c>
      <c r="AH501" t="n">
        <v>4</v>
      </c>
      <c r="AI501" t="n">
        <v>4</v>
      </c>
      <c r="AJ501" t="n">
        <v>7</v>
      </c>
      <c r="AK501" t="n">
        <v>7</v>
      </c>
      <c r="AL501" t="n">
        <v>2</v>
      </c>
      <c r="AM501" t="n">
        <v>2</v>
      </c>
      <c r="AN501" t="n">
        <v>0</v>
      </c>
      <c r="AO501" t="n">
        <v>0</v>
      </c>
      <c r="AP501" t="inlineStr">
        <is>
          <t>No</t>
        </is>
      </c>
      <c r="AQ501" t="inlineStr">
        <is>
          <t>No</t>
        </is>
      </c>
      <c r="AS501">
        <f>HYPERLINK("https://creighton-primo.hosted.exlibrisgroup.com/primo-explore/search?tab=default_tab&amp;search_scope=EVERYTHING&amp;vid=01CRU&amp;lang=en_US&amp;offset=0&amp;query=any,contains,991002423329702656","Catalog Record")</f>
        <v/>
      </c>
      <c r="AT501">
        <f>HYPERLINK("http://www.worldcat.org/oclc/31605526","WorldCat Record")</f>
        <v/>
      </c>
      <c r="AU501" t="inlineStr">
        <is>
          <t>794952284:eng</t>
        </is>
      </c>
      <c r="AV501" t="inlineStr">
        <is>
          <t>31605526</t>
        </is>
      </c>
      <c r="AW501" t="inlineStr">
        <is>
          <t>991002423329702656</t>
        </is>
      </c>
      <c r="AX501" t="inlineStr">
        <is>
          <t>991002423329702656</t>
        </is>
      </c>
      <c r="AY501" t="inlineStr">
        <is>
          <t>2265690790002656</t>
        </is>
      </c>
      <c r="AZ501" t="inlineStr">
        <is>
          <t>BOOK</t>
        </is>
      </c>
      <c r="BB501" t="inlineStr">
        <is>
          <t>9780805813098</t>
        </is>
      </c>
      <c r="BC501" t="inlineStr">
        <is>
          <t>32285003468112</t>
        </is>
      </c>
      <c r="BD501" t="inlineStr">
        <is>
          <t>893616095</t>
        </is>
      </c>
    </row>
    <row r="502">
      <c r="A502" t="inlineStr">
        <is>
          <t>No</t>
        </is>
      </c>
      <c r="B502" t="inlineStr">
        <is>
          <t>LB1060 .B4 1992</t>
        </is>
      </c>
      <c r="C502" t="inlineStr">
        <is>
          <t>0                      LB 1060000B  4           1992</t>
        </is>
      </c>
      <c r="D502" t="inlineStr">
        <is>
          <t>Knowing and reasoning in college : gender-related patterns in students' intellectual development / Marcia B. Baxter Magolda.</t>
        </is>
      </c>
      <c r="F502" t="inlineStr">
        <is>
          <t>No</t>
        </is>
      </c>
      <c r="G502" t="inlineStr">
        <is>
          <t>1</t>
        </is>
      </c>
      <c r="H502" t="inlineStr">
        <is>
          <t>No</t>
        </is>
      </c>
      <c r="I502" t="inlineStr">
        <is>
          <t>No</t>
        </is>
      </c>
      <c r="J502" t="inlineStr">
        <is>
          <t>0</t>
        </is>
      </c>
      <c r="K502" t="inlineStr">
        <is>
          <t>Baxter Magolda, Marcia B., 1956-</t>
        </is>
      </c>
      <c r="L502" t="inlineStr">
        <is>
          <t>San Francisco : Jossey-Bass, c1992.</t>
        </is>
      </c>
      <c r="M502" t="inlineStr">
        <is>
          <t>1992</t>
        </is>
      </c>
      <c r="N502" t="inlineStr">
        <is>
          <t>1st ed.</t>
        </is>
      </c>
      <c r="O502" t="inlineStr">
        <is>
          <t>eng</t>
        </is>
      </c>
      <c r="P502" t="inlineStr">
        <is>
          <t>cau</t>
        </is>
      </c>
      <c r="Q502" t="inlineStr">
        <is>
          <t>The Jossey-Bass higher and adult education series</t>
        </is>
      </c>
      <c r="R502" t="inlineStr">
        <is>
          <t xml:space="preserve">LB </t>
        </is>
      </c>
      <c r="S502" t="n">
        <v>4</v>
      </c>
      <c r="T502" t="n">
        <v>4</v>
      </c>
      <c r="U502" t="inlineStr">
        <is>
          <t>1999-11-02</t>
        </is>
      </c>
      <c r="V502" t="inlineStr">
        <is>
          <t>1999-11-02</t>
        </is>
      </c>
      <c r="W502" t="inlineStr">
        <is>
          <t>1995-04-05</t>
        </is>
      </c>
      <c r="X502" t="inlineStr">
        <is>
          <t>1995-04-05</t>
        </is>
      </c>
      <c r="Y502" t="n">
        <v>855</v>
      </c>
      <c r="Z502" t="n">
        <v>757</v>
      </c>
      <c r="AA502" t="n">
        <v>766</v>
      </c>
      <c r="AB502" t="n">
        <v>6</v>
      </c>
      <c r="AC502" t="n">
        <v>6</v>
      </c>
      <c r="AD502" t="n">
        <v>37</v>
      </c>
      <c r="AE502" t="n">
        <v>37</v>
      </c>
      <c r="AF502" t="n">
        <v>14</v>
      </c>
      <c r="AG502" t="n">
        <v>14</v>
      </c>
      <c r="AH502" t="n">
        <v>9</v>
      </c>
      <c r="AI502" t="n">
        <v>9</v>
      </c>
      <c r="AJ502" t="n">
        <v>19</v>
      </c>
      <c r="AK502" t="n">
        <v>19</v>
      </c>
      <c r="AL502" t="n">
        <v>5</v>
      </c>
      <c r="AM502" t="n">
        <v>5</v>
      </c>
      <c r="AN502" t="n">
        <v>0</v>
      </c>
      <c r="AO502" t="n">
        <v>0</v>
      </c>
      <c r="AP502" t="inlineStr">
        <is>
          <t>No</t>
        </is>
      </c>
      <c r="AQ502" t="inlineStr">
        <is>
          <t>Yes</t>
        </is>
      </c>
      <c r="AR502">
        <f>HYPERLINK("http://catalog.hathitrust.org/Record/002591620","HathiTrust Record")</f>
        <v/>
      </c>
      <c r="AS502">
        <f>HYPERLINK("https://creighton-primo.hosted.exlibrisgroup.com/primo-explore/search?tab=default_tab&amp;search_scope=EVERYTHING&amp;vid=01CRU&amp;lang=en_US&amp;offset=0&amp;query=any,contains,991002015879702656","Catalog Record")</f>
        <v/>
      </c>
      <c r="AT502">
        <f>HYPERLINK("http://www.worldcat.org/oclc/25631623","WorldCat Record")</f>
        <v/>
      </c>
      <c r="AU502" t="inlineStr">
        <is>
          <t>917379246:eng</t>
        </is>
      </c>
      <c r="AV502" t="inlineStr">
        <is>
          <t>25631623</t>
        </is>
      </c>
      <c r="AW502" t="inlineStr">
        <is>
          <t>991002015879702656</t>
        </is>
      </c>
      <c r="AX502" t="inlineStr">
        <is>
          <t>991002015879702656</t>
        </is>
      </c>
      <c r="AY502" t="inlineStr">
        <is>
          <t>2268531550002656</t>
        </is>
      </c>
      <c r="AZ502" t="inlineStr">
        <is>
          <t>BOOK</t>
        </is>
      </c>
      <c r="BB502" t="inlineStr">
        <is>
          <t>9781555424671</t>
        </is>
      </c>
      <c r="BC502" t="inlineStr">
        <is>
          <t>32285002016623</t>
        </is>
      </c>
      <c r="BD502" t="inlineStr">
        <is>
          <t>893316278</t>
        </is>
      </c>
    </row>
    <row r="503">
      <c r="A503" t="inlineStr">
        <is>
          <t>No</t>
        </is>
      </c>
      <c r="B503" t="inlineStr">
        <is>
          <t>LB1060 .C63</t>
        </is>
      </c>
      <c r="C503" t="inlineStr">
        <is>
          <t>0                      LB 1060000C  63</t>
        </is>
      </c>
      <c r="D503" t="inlineStr">
        <is>
          <t>Cognitive and affective learning strategies / edited by Harold F. O'Neil, Jr., Charles D. Spielberger.</t>
        </is>
      </c>
      <c r="F503" t="inlineStr">
        <is>
          <t>No</t>
        </is>
      </c>
      <c r="G503" t="inlineStr">
        <is>
          <t>1</t>
        </is>
      </c>
      <c r="H503" t="inlineStr">
        <is>
          <t>No</t>
        </is>
      </c>
      <c r="I503" t="inlineStr">
        <is>
          <t>No</t>
        </is>
      </c>
      <c r="J503" t="inlineStr">
        <is>
          <t>0</t>
        </is>
      </c>
      <c r="L503" t="inlineStr">
        <is>
          <t>New York : Academic Press, 1979.</t>
        </is>
      </c>
      <c r="M503" t="inlineStr">
        <is>
          <t>1979</t>
        </is>
      </c>
      <c r="O503" t="inlineStr">
        <is>
          <t>eng</t>
        </is>
      </c>
      <c r="P503" t="inlineStr">
        <is>
          <t>nyu</t>
        </is>
      </c>
      <c r="Q503" t="inlineStr">
        <is>
          <t>The Educational technology series</t>
        </is>
      </c>
      <c r="R503" t="inlineStr">
        <is>
          <t xml:space="preserve">LB </t>
        </is>
      </c>
      <c r="S503" t="n">
        <v>21</v>
      </c>
      <c r="T503" t="n">
        <v>21</v>
      </c>
      <c r="U503" t="inlineStr">
        <is>
          <t>2008-03-10</t>
        </is>
      </c>
      <c r="V503" t="inlineStr">
        <is>
          <t>2008-03-10</t>
        </is>
      </c>
      <c r="W503" t="inlineStr">
        <is>
          <t>1992-11-19</t>
        </is>
      </c>
      <c r="X503" t="inlineStr">
        <is>
          <t>1992-11-19</t>
        </is>
      </c>
      <c r="Y503" t="n">
        <v>543</v>
      </c>
      <c r="Z503" t="n">
        <v>363</v>
      </c>
      <c r="AA503" t="n">
        <v>369</v>
      </c>
      <c r="AB503" t="n">
        <v>4</v>
      </c>
      <c r="AC503" t="n">
        <v>4</v>
      </c>
      <c r="AD503" t="n">
        <v>15</v>
      </c>
      <c r="AE503" t="n">
        <v>15</v>
      </c>
      <c r="AF503" t="n">
        <v>5</v>
      </c>
      <c r="AG503" t="n">
        <v>5</v>
      </c>
      <c r="AH503" t="n">
        <v>1</v>
      </c>
      <c r="AI503" t="n">
        <v>1</v>
      </c>
      <c r="AJ503" t="n">
        <v>9</v>
      </c>
      <c r="AK503" t="n">
        <v>9</v>
      </c>
      <c r="AL503" t="n">
        <v>3</v>
      </c>
      <c r="AM503" t="n">
        <v>3</v>
      </c>
      <c r="AN503" t="n">
        <v>0</v>
      </c>
      <c r="AO503" t="n">
        <v>0</v>
      </c>
      <c r="AP503" t="inlineStr">
        <is>
          <t>No</t>
        </is>
      </c>
      <c r="AQ503" t="inlineStr">
        <is>
          <t>Yes</t>
        </is>
      </c>
      <c r="AR503">
        <f>HYPERLINK("http://catalog.hathitrust.org/Record/000734293","HathiTrust Record")</f>
        <v/>
      </c>
      <c r="AS503">
        <f>HYPERLINK("https://creighton-primo.hosted.exlibrisgroup.com/primo-explore/search?tab=default_tab&amp;search_scope=EVERYTHING&amp;vid=01CRU&amp;lang=en_US&amp;offset=0&amp;query=any,contains,991005377569702656","Catalog Record")</f>
        <v/>
      </c>
      <c r="AT503">
        <f>HYPERLINK("http://www.worldcat.org/oclc/5239494","WorldCat Record")</f>
        <v/>
      </c>
      <c r="AU503" t="inlineStr">
        <is>
          <t>351182162:eng</t>
        </is>
      </c>
      <c r="AV503" t="inlineStr">
        <is>
          <t>5239494</t>
        </is>
      </c>
      <c r="AW503" t="inlineStr">
        <is>
          <t>991005377569702656</t>
        </is>
      </c>
      <c r="AX503" t="inlineStr">
        <is>
          <t>991005377569702656</t>
        </is>
      </c>
      <c r="AY503" t="inlineStr">
        <is>
          <t>2264380640002656</t>
        </is>
      </c>
      <c r="AZ503" t="inlineStr">
        <is>
          <t>BOOK</t>
        </is>
      </c>
      <c r="BB503" t="inlineStr">
        <is>
          <t>9780125266802</t>
        </is>
      </c>
      <c r="BC503" t="inlineStr">
        <is>
          <t>32285001407385</t>
        </is>
      </c>
      <c r="BD503" t="inlineStr">
        <is>
          <t>893431422</t>
        </is>
      </c>
    </row>
    <row r="504">
      <c r="A504" t="inlineStr">
        <is>
          <t>No</t>
        </is>
      </c>
      <c r="B504" t="inlineStr">
        <is>
          <t>LB1060 .C87 1990</t>
        </is>
      </c>
      <c r="C504" t="inlineStr">
        <is>
          <t>0                      LB 1060000C  87          1990</t>
        </is>
      </c>
      <c r="D504" t="inlineStr">
        <is>
          <t>Learning styles in secondary schools : a review of instruments and implications for their use / Lynn Curry.</t>
        </is>
      </c>
      <c r="F504" t="inlineStr">
        <is>
          <t>No</t>
        </is>
      </c>
      <c r="G504" t="inlineStr">
        <is>
          <t>1</t>
        </is>
      </c>
      <c r="H504" t="inlineStr">
        <is>
          <t>No</t>
        </is>
      </c>
      <c r="I504" t="inlineStr">
        <is>
          <t>No</t>
        </is>
      </c>
      <c r="J504" t="inlineStr">
        <is>
          <t>0</t>
        </is>
      </c>
      <c r="K504" t="inlineStr">
        <is>
          <t>Curry, Lynn.</t>
        </is>
      </c>
      <c r="L504" t="inlineStr">
        <is>
          <t>[Madison, Wis.] : National Center on Effective Secondary Schools, University of Wisconsin-Madison, 1990.</t>
        </is>
      </c>
      <c r="M504" t="inlineStr">
        <is>
          <t>1990</t>
        </is>
      </c>
      <c r="O504" t="inlineStr">
        <is>
          <t>eng</t>
        </is>
      </c>
      <c r="P504" t="inlineStr">
        <is>
          <t>wiu</t>
        </is>
      </c>
      <c r="R504" t="inlineStr">
        <is>
          <t xml:space="preserve">LB </t>
        </is>
      </c>
      <c r="S504" t="n">
        <v>3</v>
      </c>
      <c r="T504" t="n">
        <v>3</v>
      </c>
      <c r="U504" t="inlineStr">
        <is>
          <t>2009-04-13</t>
        </is>
      </c>
      <c r="V504" t="inlineStr">
        <is>
          <t>2009-04-13</t>
        </is>
      </c>
      <c r="W504" t="inlineStr">
        <is>
          <t>1995-04-10</t>
        </is>
      </c>
      <c r="X504" t="inlineStr">
        <is>
          <t>1995-04-10</t>
        </is>
      </c>
      <c r="Y504" t="n">
        <v>18</v>
      </c>
      <c r="Z504" t="n">
        <v>11</v>
      </c>
      <c r="AA504" t="n">
        <v>13</v>
      </c>
      <c r="AB504" t="n">
        <v>1</v>
      </c>
      <c r="AC504" t="n">
        <v>1</v>
      </c>
      <c r="AD504" t="n">
        <v>1</v>
      </c>
      <c r="AE504" t="n">
        <v>1</v>
      </c>
      <c r="AF504" t="n">
        <v>1</v>
      </c>
      <c r="AG504" t="n">
        <v>1</v>
      </c>
      <c r="AH504" t="n">
        <v>0</v>
      </c>
      <c r="AI504" t="n">
        <v>0</v>
      </c>
      <c r="AJ504" t="n">
        <v>0</v>
      </c>
      <c r="AK504" t="n">
        <v>0</v>
      </c>
      <c r="AL504" t="n">
        <v>0</v>
      </c>
      <c r="AM504" t="n">
        <v>0</v>
      </c>
      <c r="AN504" t="n">
        <v>0</v>
      </c>
      <c r="AO504" t="n">
        <v>0</v>
      </c>
      <c r="AP504" t="inlineStr">
        <is>
          <t>No</t>
        </is>
      </c>
      <c r="AQ504" t="inlineStr">
        <is>
          <t>No</t>
        </is>
      </c>
      <c r="AS504">
        <f>HYPERLINK("https://creighton-primo.hosted.exlibrisgroup.com/primo-explore/search?tab=default_tab&amp;search_scope=EVERYTHING&amp;vid=01CRU&amp;lang=en_US&amp;offset=0&amp;query=any,contains,991001916269702656","Catalog Record")</f>
        <v/>
      </c>
      <c r="AT504">
        <f>HYPERLINK("http://www.worldcat.org/oclc/24198087","WorldCat Record")</f>
        <v/>
      </c>
      <c r="AU504" t="inlineStr">
        <is>
          <t>901695998:eng</t>
        </is>
      </c>
      <c r="AV504" t="inlineStr">
        <is>
          <t>24198087</t>
        </is>
      </c>
      <c r="AW504" t="inlineStr">
        <is>
          <t>991001916269702656</t>
        </is>
      </c>
      <c r="AX504" t="inlineStr">
        <is>
          <t>991001916269702656</t>
        </is>
      </c>
      <c r="AY504" t="inlineStr">
        <is>
          <t>2266330150002656</t>
        </is>
      </c>
      <c r="AZ504" t="inlineStr">
        <is>
          <t>BOOK</t>
        </is>
      </c>
      <c r="BC504" t="inlineStr">
        <is>
          <t>32285002017605</t>
        </is>
      </c>
      <c r="BD504" t="inlineStr">
        <is>
          <t>893590739</t>
        </is>
      </c>
    </row>
    <row r="505">
      <c r="A505" t="inlineStr">
        <is>
          <t>No</t>
        </is>
      </c>
      <c r="B505" t="inlineStr">
        <is>
          <t>LB1060 .F36 1990</t>
        </is>
      </c>
      <c r="C505" t="inlineStr">
        <is>
          <t>0                      LB 1060000F  36          1990</t>
        </is>
      </c>
      <c r="D505" t="inlineStr">
        <is>
          <t>Schooling / Sylvia Farnham-Diggory.</t>
        </is>
      </c>
      <c r="F505" t="inlineStr">
        <is>
          <t>No</t>
        </is>
      </c>
      <c r="G505" t="inlineStr">
        <is>
          <t>1</t>
        </is>
      </c>
      <c r="H505" t="inlineStr">
        <is>
          <t>No</t>
        </is>
      </c>
      <c r="I505" t="inlineStr">
        <is>
          <t>No</t>
        </is>
      </c>
      <c r="J505" t="inlineStr">
        <is>
          <t>0</t>
        </is>
      </c>
      <c r="K505" t="inlineStr">
        <is>
          <t>Farnham-Diggory, Sylvia.</t>
        </is>
      </c>
      <c r="L505" t="inlineStr">
        <is>
          <t>Cambridge, Mass. : Harvard University Press, 1990.</t>
        </is>
      </c>
      <c r="M505" t="inlineStr">
        <is>
          <t>1990</t>
        </is>
      </c>
      <c r="O505" t="inlineStr">
        <is>
          <t>eng</t>
        </is>
      </c>
      <c r="P505" t="inlineStr">
        <is>
          <t>mau</t>
        </is>
      </c>
      <c r="Q505" t="inlineStr">
        <is>
          <t>The Developing child series</t>
        </is>
      </c>
      <c r="R505" t="inlineStr">
        <is>
          <t xml:space="preserve">LB </t>
        </is>
      </c>
      <c r="S505" t="n">
        <v>3</v>
      </c>
      <c r="T505" t="n">
        <v>3</v>
      </c>
      <c r="U505" t="inlineStr">
        <is>
          <t>1995-09-19</t>
        </is>
      </c>
      <c r="V505" t="inlineStr">
        <is>
          <t>1995-09-19</t>
        </is>
      </c>
      <c r="W505" t="inlineStr">
        <is>
          <t>1990-12-04</t>
        </is>
      </c>
      <c r="X505" t="inlineStr">
        <is>
          <t>1990-12-04</t>
        </is>
      </c>
      <c r="Y505" t="n">
        <v>699</v>
      </c>
      <c r="Z505" t="n">
        <v>588</v>
      </c>
      <c r="AA505" t="n">
        <v>595</v>
      </c>
      <c r="AB505" t="n">
        <v>5</v>
      </c>
      <c r="AC505" t="n">
        <v>5</v>
      </c>
      <c r="AD505" t="n">
        <v>33</v>
      </c>
      <c r="AE505" t="n">
        <v>33</v>
      </c>
      <c r="AF505" t="n">
        <v>13</v>
      </c>
      <c r="AG505" t="n">
        <v>13</v>
      </c>
      <c r="AH505" t="n">
        <v>6</v>
      </c>
      <c r="AI505" t="n">
        <v>6</v>
      </c>
      <c r="AJ505" t="n">
        <v>18</v>
      </c>
      <c r="AK505" t="n">
        <v>18</v>
      </c>
      <c r="AL505" t="n">
        <v>4</v>
      </c>
      <c r="AM505" t="n">
        <v>4</v>
      </c>
      <c r="AN505" t="n">
        <v>0</v>
      </c>
      <c r="AO505" t="n">
        <v>0</v>
      </c>
      <c r="AP505" t="inlineStr">
        <is>
          <t>No</t>
        </is>
      </c>
      <c r="AQ505" t="inlineStr">
        <is>
          <t>Yes</t>
        </is>
      </c>
      <c r="AR505">
        <f>HYPERLINK("http://catalog.hathitrust.org/Record/002060149","HathiTrust Record")</f>
        <v/>
      </c>
      <c r="AS505">
        <f>HYPERLINK("https://creighton-primo.hosted.exlibrisgroup.com/primo-explore/search?tab=default_tab&amp;search_scope=EVERYTHING&amp;vid=01CRU&amp;lang=en_US&amp;offset=0&amp;query=any,contains,991001584869702656","Catalog Record")</f>
        <v/>
      </c>
      <c r="AT505">
        <f>HYPERLINK("http://www.worldcat.org/oclc/20524585","WorldCat Record")</f>
        <v/>
      </c>
      <c r="AU505" t="inlineStr">
        <is>
          <t>2684051:eng</t>
        </is>
      </c>
      <c r="AV505" t="inlineStr">
        <is>
          <t>20524585</t>
        </is>
      </c>
      <c r="AW505" t="inlineStr">
        <is>
          <t>991001584869702656</t>
        </is>
      </c>
      <c r="AX505" t="inlineStr">
        <is>
          <t>991001584869702656</t>
        </is>
      </c>
      <c r="AY505" t="inlineStr">
        <is>
          <t>2270960950002656</t>
        </is>
      </c>
      <c r="AZ505" t="inlineStr">
        <is>
          <t>BOOK</t>
        </is>
      </c>
      <c r="BB505" t="inlineStr">
        <is>
          <t>9780674792722</t>
        </is>
      </c>
      <c r="BC505" t="inlineStr">
        <is>
          <t>32285000357656</t>
        </is>
      </c>
      <c r="BD505" t="inlineStr">
        <is>
          <t>893791520</t>
        </is>
      </c>
    </row>
    <row r="506">
      <c r="A506" t="inlineStr">
        <is>
          <t>No</t>
        </is>
      </c>
      <c r="B506" t="inlineStr">
        <is>
          <t>LB1060 .F46 1981</t>
        </is>
      </c>
      <c r="C506" t="inlineStr">
        <is>
          <t>0                      LB 1060000F  46          1981</t>
        </is>
      </c>
      <c r="D506" t="inlineStr">
        <is>
          <t>Stop studying, start learning, or, How to jumpstart your brain / Richard M. Fenker Jr., with Reverdy Mullins. Artwork by Johnny Pate.</t>
        </is>
      </c>
      <c r="F506" t="inlineStr">
        <is>
          <t>No</t>
        </is>
      </c>
      <c r="G506" t="inlineStr">
        <is>
          <t>1</t>
        </is>
      </c>
      <c r="H506" t="inlineStr">
        <is>
          <t>No</t>
        </is>
      </c>
      <c r="I506" t="inlineStr">
        <is>
          <t>No</t>
        </is>
      </c>
      <c r="J506" t="inlineStr">
        <is>
          <t>0</t>
        </is>
      </c>
      <c r="K506" t="inlineStr">
        <is>
          <t>Fenker, Richard M. (Richard Mathes), 1942-</t>
        </is>
      </c>
      <c r="L506" t="inlineStr">
        <is>
          <t>Fort Worth, Tex. (Suite no. 11, 5608 Malvey Ave., Fort Worth 76107) : Tangram Press, c1981.</t>
        </is>
      </c>
      <c r="M506" t="inlineStr">
        <is>
          <t>1981</t>
        </is>
      </c>
      <c r="N506" t="inlineStr">
        <is>
          <t>1st ed.</t>
        </is>
      </c>
      <c r="O506" t="inlineStr">
        <is>
          <t>eng</t>
        </is>
      </c>
      <c r="P506" t="inlineStr">
        <is>
          <t>txu</t>
        </is>
      </c>
      <c r="R506" t="inlineStr">
        <is>
          <t xml:space="preserve">LB </t>
        </is>
      </c>
      <c r="S506" t="n">
        <v>10</v>
      </c>
      <c r="T506" t="n">
        <v>10</v>
      </c>
      <c r="U506" t="inlineStr">
        <is>
          <t>1998-03-28</t>
        </is>
      </c>
      <c r="V506" t="inlineStr">
        <is>
          <t>1998-03-28</t>
        </is>
      </c>
      <c r="W506" t="inlineStr">
        <is>
          <t>1990-03-01</t>
        </is>
      </c>
      <c r="X506" t="inlineStr">
        <is>
          <t>1990-03-01</t>
        </is>
      </c>
      <c r="Y506" t="n">
        <v>269</v>
      </c>
      <c r="Z506" t="n">
        <v>238</v>
      </c>
      <c r="AA506" t="n">
        <v>245</v>
      </c>
      <c r="AB506" t="n">
        <v>3</v>
      </c>
      <c r="AC506" t="n">
        <v>3</v>
      </c>
      <c r="AD506" t="n">
        <v>6</v>
      </c>
      <c r="AE506" t="n">
        <v>6</v>
      </c>
      <c r="AF506" t="n">
        <v>4</v>
      </c>
      <c r="AG506" t="n">
        <v>4</v>
      </c>
      <c r="AH506" t="n">
        <v>0</v>
      </c>
      <c r="AI506" t="n">
        <v>0</v>
      </c>
      <c r="AJ506" t="n">
        <v>2</v>
      </c>
      <c r="AK506" t="n">
        <v>2</v>
      </c>
      <c r="AL506" t="n">
        <v>2</v>
      </c>
      <c r="AM506" t="n">
        <v>2</v>
      </c>
      <c r="AN506" t="n">
        <v>0</v>
      </c>
      <c r="AO506" t="n">
        <v>0</v>
      </c>
      <c r="AP506" t="inlineStr">
        <is>
          <t>No</t>
        </is>
      </c>
      <c r="AQ506" t="inlineStr">
        <is>
          <t>No</t>
        </is>
      </c>
      <c r="AS506">
        <f>HYPERLINK("https://creighton-primo.hosted.exlibrisgroup.com/primo-explore/search?tab=default_tab&amp;search_scope=EVERYTHING&amp;vid=01CRU&amp;lang=en_US&amp;offset=0&amp;query=any,contains,991005132249702656","Catalog Record")</f>
        <v/>
      </c>
      <c r="AT506">
        <f>HYPERLINK("http://www.worldcat.org/oclc/7573451","WorldCat Record")</f>
        <v/>
      </c>
      <c r="AU506" t="inlineStr">
        <is>
          <t>2260940454:eng</t>
        </is>
      </c>
      <c r="AV506" t="inlineStr">
        <is>
          <t>7573451</t>
        </is>
      </c>
      <c r="AW506" t="inlineStr">
        <is>
          <t>991005132249702656</t>
        </is>
      </c>
      <c r="AX506" t="inlineStr">
        <is>
          <t>991005132249702656</t>
        </is>
      </c>
      <c r="AY506" t="inlineStr">
        <is>
          <t>2271520470002656</t>
        </is>
      </c>
      <c r="AZ506" t="inlineStr">
        <is>
          <t>BOOK</t>
        </is>
      </c>
      <c r="BC506" t="inlineStr">
        <is>
          <t>32285000074772</t>
        </is>
      </c>
      <c r="BD506" t="inlineStr">
        <is>
          <t>893694799</t>
        </is>
      </c>
    </row>
    <row r="507">
      <c r="A507" t="inlineStr">
        <is>
          <t>No</t>
        </is>
      </c>
      <c r="B507" t="inlineStr">
        <is>
          <t>LB1060 .H37 1986</t>
        </is>
      </c>
      <c r="C507" t="inlineStr">
        <is>
          <t>0                      LB 1060000H  37          1986</t>
        </is>
      </c>
      <c r="D507" t="inlineStr">
        <is>
          <t>Evaluating and assessing for learning / Duncan Harris and Chris Bell.</t>
        </is>
      </c>
      <c r="F507" t="inlineStr">
        <is>
          <t>No</t>
        </is>
      </c>
      <c r="G507" t="inlineStr">
        <is>
          <t>1</t>
        </is>
      </c>
      <c r="H507" t="inlineStr">
        <is>
          <t>No</t>
        </is>
      </c>
      <c r="I507" t="inlineStr">
        <is>
          <t>No</t>
        </is>
      </c>
      <c r="J507" t="inlineStr">
        <is>
          <t>0</t>
        </is>
      </c>
      <c r="K507" t="inlineStr">
        <is>
          <t>Harris, N. D. C. (Norman Duncan Campany), 1933-</t>
        </is>
      </c>
      <c r="L507" t="inlineStr">
        <is>
          <t>New York : Nichols Pub. Co., 1986.</t>
        </is>
      </c>
      <c r="M507" t="inlineStr">
        <is>
          <t>1986</t>
        </is>
      </c>
      <c r="O507" t="inlineStr">
        <is>
          <t>eng</t>
        </is>
      </c>
      <c r="P507" t="inlineStr">
        <is>
          <t>nyu</t>
        </is>
      </c>
      <c r="R507" t="inlineStr">
        <is>
          <t xml:space="preserve">LB </t>
        </is>
      </c>
      <c r="S507" t="n">
        <v>2</v>
      </c>
      <c r="T507" t="n">
        <v>2</v>
      </c>
      <c r="U507" t="inlineStr">
        <is>
          <t>2000-11-26</t>
        </is>
      </c>
      <c r="V507" t="inlineStr">
        <is>
          <t>2000-11-26</t>
        </is>
      </c>
      <c r="W507" t="inlineStr">
        <is>
          <t>1992-11-19</t>
        </is>
      </c>
      <c r="X507" t="inlineStr">
        <is>
          <t>1992-11-19</t>
        </is>
      </c>
      <c r="Y507" t="n">
        <v>202</v>
      </c>
      <c r="Z507" t="n">
        <v>147</v>
      </c>
      <c r="AA507" t="n">
        <v>265</v>
      </c>
      <c r="AB507" t="n">
        <v>2</v>
      </c>
      <c r="AC507" t="n">
        <v>4</v>
      </c>
      <c r="AD507" t="n">
        <v>8</v>
      </c>
      <c r="AE507" t="n">
        <v>16</v>
      </c>
      <c r="AF507" t="n">
        <v>2</v>
      </c>
      <c r="AG507" t="n">
        <v>6</v>
      </c>
      <c r="AH507" t="n">
        <v>2</v>
      </c>
      <c r="AI507" t="n">
        <v>2</v>
      </c>
      <c r="AJ507" t="n">
        <v>6</v>
      </c>
      <c r="AK507" t="n">
        <v>11</v>
      </c>
      <c r="AL507" t="n">
        <v>1</v>
      </c>
      <c r="AM507" t="n">
        <v>3</v>
      </c>
      <c r="AN507" t="n">
        <v>0</v>
      </c>
      <c r="AO507" t="n">
        <v>0</v>
      </c>
      <c r="AP507" t="inlineStr">
        <is>
          <t>No</t>
        </is>
      </c>
      <c r="AQ507" t="inlineStr">
        <is>
          <t>No</t>
        </is>
      </c>
      <c r="AS507">
        <f>HYPERLINK("https://creighton-primo.hosted.exlibrisgroup.com/primo-explore/search?tab=default_tab&amp;search_scope=EVERYTHING&amp;vid=01CRU&amp;lang=en_US&amp;offset=0&amp;query=any,contains,991000753109702656","Catalog Record")</f>
        <v/>
      </c>
      <c r="AT507">
        <f>HYPERLINK("http://www.worldcat.org/oclc/12943760","WorldCat Record")</f>
        <v/>
      </c>
      <c r="AU507" t="inlineStr">
        <is>
          <t>584438:eng</t>
        </is>
      </c>
      <c r="AV507" t="inlineStr">
        <is>
          <t>12943760</t>
        </is>
      </c>
      <c r="AW507" t="inlineStr">
        <is>
          <t>991000753109702656</t>
        </is>
      </c>
      <c r="AX507" t="inlineStr">
        <is>
          <t>991000753109702656</t>
        </is>
      </c>
      <c r="AY507" t="inlineStr">
        <is>
          <t>2271711140002656</t>
        </is>
      </c>
      <c r="AZ507" t="inlineStr">
        <is>
          <t>BOOK</t>
        </is>
      </c>
      <c r="BB507" t="inlineStr">
        <is>
          <t>9780893972400</t>
        </is>
      </c>
      <c r="BC507" t="inlineStr">
        <is>
          <t>32285001407419</t>
        </is>
      </c>
      <c r="BD507" t="inlineStr">
        <is>
          <t>893231387</t>
        </is>
      </c>
    </row>
    <row r="508">
      <c r="A508" t="inlineStr">
        <is>
          <t>No</t>
        </is>
      </c>
      <c r="B508" t="inlineStr">
        <is>
          <t>LB1060 .M84 1996</t>
        </is>
      </c>
      <c r="C508" t="inlineStr">
        <is>
          <t>0                      LB 1060000M  84          1996</t>
        </is>
      </c>
      <c r="D508" t="inlineStr">
        <is>
          <t>Multiple intelligences / editor, Karen Gutloff.</t>
        </is>
      </c>
      <c r="F508" t="inlineStr">
        <is>
          <t>No</t>
        </is>
      </c>
      <c r="G508" t="inlineStr">
        <is>
          <t>1</t>
        </is>
      </c>
      <c r="H508" t="inlineStr">
        <is>
          <t>No</t>
        </is>
      </c>
      <c r="I508" t="inlineStr">
        <is>
          <t>No</t>
        </is>
      </c>
      <c r="J508" t="inlineStr">
        <is>
          <t>0</t>
        </is>
      </c>
      <c r="L508" t="inlineStr">
        <is>
          <t>West Haven, CT : NEA Professional Library, 1996.</t>
        </is>
      </c>
      <c r="M508" t="inlineStr">
        <is>
          <t>1996</t>
        </is>
      </c>
      <c r="O508" t="inlineStr">
        <is>
          <t>eng</t>
        </is>
      </c>
      <c r="P508" t="inlineStr">
        <is>
          <t>ctu</t>
        </is>
      </c>
      <c r="Q508" t="inlineStr">
        <is>
          <t>Teacher to teacher series</t>
        </is>
      </c>
      <c r="R508" t="inlineStr">
        <is>
          <t xml:space="preserve">LB </t>
        </is>
      </c>
      <c r="S508" t="n">
        <v>13</v>
      </c>
      <c r="T508" t="n">
        <v>13</v>
      </c>
      <c r="U508" t="inlineStr">
        <is>
          <t>2008-04-14</t>
        </is>
      </c>
      <c r="V508" t="inlineStr">
        <is>
          <t>2008-04-14</t>
        </is>
      </c>
      <c r="W508" t="inlineStr">
        <is>
          <t>1996-07-22</t>
        </is>
      </c>
      <c r="X508" t="inlineStr">
        <is>
          <t>1996-07-22</t>
        </is>
      </c>
      <c r="Y508" t="n">
        <v>312</v>
      </c>
      <c r="Z508" t="n">
        <v>307</v>
      </c>
      <c r="AA508" t="n">
        <v>308</v>
      </c>
      <c r="AB508" t="n">
        <v>6</v>
      </c>
      <c r="AC508" t="n">
        <v>6</v>
      </c>
      <c r="AD508" t="n">
        <v>15</v>
      </c>
      <c r="AE508" t="n">
        <v>15</v>
      </c>
      <c r="AF508" t="n">
        <v>6</v>
      </c>
      <c r="AG508" t="n">
        <v>6</v>
      </c>
      <c r="AH508" t="n">
        <v>1</v>
      </c>
      <c r="AI508" t="n">
        <v>1</v>
      </c>
      <c r="AJ508" t="n">
        <v>7</v>
      </c>
      <c r="AK508" t="n">
        <v>7</v>
      </c>
      <c r="AL508" t="n">
        <v>5</v>
      </c>
      <c r="AM508" t="n">
        <v>5</v>
      </c>
      <c r="AN508" t="n">
        <v>0</v>
      </c>
      <c r="AO508" t="n">
        <v>0</v>
      </c>
      <c r="AP508" t="inlineStr">
        <is>
          <t>No</t>
        </is>
      </c>
      <c r="AQ508" t="inlineStr">
        <is>
          <t>No</t>
        </is>
      </c>
      <c r="AS508">
        <f>HYPERLINK("https://creighton-primo.hosted.exlibrisgroup.com/primo-explore/search?tab=default_tab&amp;search_scope=EVERYTHING&amp;vid=01CRU&amp;lang=en_US&amp;offset=0&amp;query=any,contains,991002684189702656","Catalog Record")</f>
        <v/>
      </c>
      <c r="AT508">
        <f>HYPERLINK("http://www.worldcat.org/oclc/35079897","WorldCat Record")</f>
        <v/>
      </c>
      <c r="AU508" t="inlineStr">
        <is>
          <t>56091273:eng</t>
        </is>
      </c>
      <c r="AV508" t="inlineStr">
        <is>
          <t>35079897</t>
        </is>
      </c>
      <c r="AW508" t="inlineStr">
        <is>
          <t>991002684189702656</t>
        </is>
      </c>
      <c r="AX508" t="inlineStr">
        <is>
          <t>991002684189702656</t>
        </is>
      </c>
      <c r="AY508" t="inlineStr">
        <is>
          <t>2257486770002656</t>
        </is>
      </c>
      <c r="AZ508" t="inlineStr">
        <is>
          <t>BOOK</t>
        </is>
      </c>
      <c r="BC508" t="inlineStr">
        <is>
          <t>32285002207776</t>
        </is>
      </c>
      <c r="BD508" t="inlineStr">
        <is>
          <t>893773913</t>
        </is>
      </c>
    </row>
    <row r="509">
      <c r="A509" t="inlineStr">
        <is>
          <t>No</t>
        </is>
      </c>
      <c r="B509" t="inlineStr">
        <is>
          <t>LB1060 .P7 1988</t>
        </is>
      </c>
      <c r="C509" t="inlineStr">
        <is>
          <t>0                      LB 1060000P  7           1988</t>
        </is>
      </c>
      <c r="D509" t="inlineStr">
        <is>
          <t>Profiling and utilizing learning style / James W. Keefe, editor.</t>
        </is>
      </c>
      <c r="F509" t="inlineStr">
        <is>
          <t>No</t>
        </is>
      </c>
      <c r="G509" t="inlineStr">
        <is>
          <t>1</t>
        </is>
      </c>
      <c r="H509" t="inlineStr">
        <is>
          <t>No</t>
        </is>
      </c>
      <c r="I509" t="inlineStr">
        <is>
          <t>No</t>
        </is>
      </c>
      <c r="J509" t="inlineStr">
        <is>
          <t>0</t>
        </is>
      </c>
      <c r="L509" t="inlineStr">
        <is>
          <t>Reston, Va. : National Association of Secondary School Principals, c1988.</t>
        </is>
      </c>
      <c r="M509" t="inlineStr">
        <is>
          <t>1988</t>
        </is>
      </c>
      <c r="O509" t="inlineStr">
        <is>
          <t>eng</t>
        </is>
      </c>
      <c r="P509" t="inlineStr">
        <is>
          <t>vau</t>
        </is>
      </c>
      <c r="R509" t="inlineStr">
        <is>
          <t xml:space="preserve">LB </t>
        </is>
      </c>
      <c r="S509" t="n">
        <v>8</v>
      </c>
      <c r="T509" t="n">
        <v>8</v>
      </c>
      <c r="U509" t="inlineStr">
        <is>
          <t>1998-10-07</t>
        </is>
      </c>
      <c r="V509" t="inlineStr">
        <is>
          <t>1998-10-07</t>
        </is>
      </c>
      <c r="W509" t="inlineStr">
        <is>
          <t>1992-01-30</t>
        </is>
      </c>
      <c r="X509" t="inlineStr">
        <is>
          <t>1992-01-30</t>
        </is>
      </c>
      <c r="Y509" t="n">
        <v>426</v>
      </c>
      <c r="Z509" t="n">
        <v>378</v>
      </c>
      <c r="AA509" t="n">
        <v>385</v>
      </c>
      <c r="AB509" t="n">
        <v>6</v>
      </c>
      <c r="AC509" t="n">
        <v>6</v>
      </c>
      <c r="AD509" t="n">
        <v>17</v>
      </c>
      <c r="AE509" t="n">
        <v>17</v>
      </c>
      <c r="AF509" t="n">
        <v>7</v>
      </c>
      <c r="AG509" t="n">
        <v>7</v>
      </c>
      <c r="AH509" t="n">
        <v>3</v>
      </c>
      <c r="AI509" t="n">
        <v>3</v>
      </c>
      <c r="AJ509" t="n">
        <v>8</v>
      </c>
      <c r="AK509" t="n">
        <v>8</v>
      </c>
      <c r="AL509" t="n">
        <v>4</v>
      </c>
      <c r="AM509" t="n">
        <v>4</v>
      </c>
      <c r="AN509" t="n">
        <v>0</v>
      </c>
      <c r="AO509" t="n">
        <v>0</v>
      </c>
      <c r="AP509" t="inlineStr">
        <is>
          <t>No</t>
        </is>
      </c>
      <c r="AQ509" t="inlineStr">
        <is>
          <t>No</t>
        </is>
      </c>
      <c r="AS509">
        <f>HYPERLINK("https://creighton-primo.hosted.exlibrisgroup.com/primo-explore/search?tab=default_tab&amp;search_scope=EVERYTHING&amp;vid=01CRU&amp;lang=en_US&amp;offset=0&amp;query=any,contains,991001248559702656","Catalog Record")</f>
        <v/>
      </c>
      <c r="AT509">
        <f>HYPERLINK("http://www.worldcat.org/oclc/17658698","WorldCat Record")</f>
        <v/>
      </c>
      <c r="AU509" t="inlineStr">
        <is>
          <t>3372511956:eng</t>
        </is>
      </c>
      <c r="AV509" t="inlineStr">
        <is>
          <t>17658698</t>
        </is>
      </c>
      <c r="AW509" t="inlineStr">
        <is>
          <t>991001248559702656</t>
        </is>
      </c>
      <c r="AX509" t="inlineStr">
        <is>
          <t>991001248559702656</t>
        </is>
      </c>
      <c r="AY509" t="inlineStr">
        <is>
          <t>2271124180002656</t>
        </is>
      </c>
      <c r="AZ509" t="inlineStr">
        <is>
          <t>BOOK</t>
        </is>
      </c>
      <c r="BB509" t="inlineStr">
        <is>
          <t>9780882102078</t>
        </is>
      </c>
      <c r="BC509" t="inlineStr">
        <is>
          <t>32285000930684</t>
        </is>
      </c>
      <c r="BD509" t="inlineStr">
        <is>
          <t>893439003</t>
        </is>
      </c>
    </row>
    <row r="510">
      <c r="A510" t="inlineStr">
        <is>
          <t>No</t>
        </is>
      </c>
      <c r="B510" t="inlineStr">
        <is>
          <t>LB1060 .R4 1990</t>
        </is>
      </c>
      <c r="C510" t="inlineStr">
        <is>
          <t>0                      LB 1060000R  4           1990</t>
        </is>
      </c>
      <c r="D510" t="inlineStr">
        <is>
          <t>Small group learning in the classroom / Jo-Anne Reid, Peter Forrestal, and Jonathan Cook.</t>
        </is>
      </c>
      <c r="F510" t="inlineStr">
        <is>
          <t>No</t>
        </is>
      </c>
      <c r="G510" t="inlineStr">
        <is>
          <t>1</t>
        </is>
      </c>
      <c r="H510" t="inlineStr">
        <is>
          <t>No</t>
        </is>
      </c>
      <c r="I510" t="inlineStr">
        <is>
          <t>No</t>
        </is>
      </c>
      <c r="J510" t="inlineStr">
        <is>
          <t>0</t>
        </is>
      </c>
      <c r="K510" t="inlineStr">
        <is>
          <t>Reid, Jo-Anne, 1952-</t>
        </is>
      </c>
      <c r="L510" t="inlineStr">
        <is>
          <t>Portsmouth, N.H. : Heinemann ; Toronto, Canada : Irwin Pub., 1990.</t>
        </is>
      </c>
      <c r="M510" t="inlineStr">
        <is>
          <t>1990</t>
        </is>
      </c>
      <c r="O510" t="inlineStr">
        <is>
          <t>eng</t>
        </is>
      </c>
      <c r="P510" t="inlineStr">
        <is>
          <t>nhu</t>
        </is>
      </c>
      <c r="R510" t="inlineStr">
        <is>
          <t xml:space="preserve">LB </t>
        </is>
      </c>
      <c r="S510" t="n">
        <v>1</v>
      </c>
      <c r="T510" t="n">
        <v>1</v>
      </c>
      <c r="U510" t="inlineStr">
        <is>
          <t>2005-03-24</t>
        </is>
      </c>
      <c r="V510" t="inlineStr">
        <is>
          <t>2005-03-24</t>
        </is>
      </c>
      <c r="W510" t="inlineStr">
        <is>
          <t>1991-05-31</t>
        </is>
      </c>
      <c r="X510" t="inlineStr">
        <is>
          <t>1991-05-31</t>
        </is>
      </c>
      <c r="Y510" t="n">
        <v>185</v>
      </c>
      <c r="Z510" t="n">
        <v>158</v>
      </c>
      <c r="AA510" t="n">
        <v>163</v>
      </c>
      <c r="AB510" t="n">
        <v>2</v>
      </c>
      <c r="AC510" t="n">
        <v>2</v>
      </c>
      <c r="AD510" t="n">
        <v>4</v>
      </c>
      <c r="AE510" t="n">
        <v>4</v>
      </c>
      <c r="AF510" t="n">
        <v>1</v>
      </c>
      <c r="AG510" t="n">
        <v>1</v>
      </c>
      <c r="AH510" t="n">
        <v>0</v>
      </c>
      <c r="AI510" t="n">
        <v>0</v>
      </c>
      <c r="AJ510" t="n">
        <v>2</v>
      </c>
      <c r="AK510" t="n">
        <v>2</v>
      </c>
      <c r="AL510" t="n">
        <v>1</v>
      </c>
      <c r="AM510" t="n">
        <v>1</v>
      </c>
      <c r="AN510" t="n">
        <v>0</v>
      </c>
      <c r="AO510" t="n">
        <v>0</v>
      </c>
      <c r="AP510" t="inlineStr">
        <is>
          <t>No</t>
        </is>
      </c>
      <c r="AQ510" t="inlineStr">
        <is>
          <t>Yes</t>
        </is>
      </c>
      <c r="AR510">
        <f>HYPERLINK("http://catalog.hathitrust.org/Record/101928842","HathiTrust Record")</f>
        <v/>
      </c>
      <c r="AS510">
        <f>HYPERLINK("https://creighton-primo.hosted.exlibrisgroup.com/primo-explore/search?tab=default_tab&amp;search_scope=EVERYTHING&amp;vid=01CRU&amp;lang=en_US&amp;offset=0&amp;query=any,contains,991001689979702656","Catalog Record")</f>
        <v/>
      </c>
      <c r="AT510">
        <f>HYPERLINK("http://www.worldcat.org/oclc/21441196","WorldCat Record")</f>
        <v/>
      </c>
      <c r="AU510" t="inlineStr">
        <is>
          <t>23646946:eng</t>
        </is>
      </c>
      <c r="AV510" t="inlineStr">
        <is>
          <t>21441196</t>
        </is>
      </c>
      <c r="AW510" t="inlineStr">
        <is>
          <t>991001689979702656</t>
        </is>
      </c>
      <c r="AX510" t="inlineStr">
        <is>
          <t>991001689979702656</t>
        </is>
      </c>
      <c r="AY510" t="inlineStr">
        <is>
          <t>2255412610002656</t>
        </is>
      </c>
      <c r="AZ510" t="inlineStr">
        <is>
          <t>BOOK</t>
        </is>
      </c>
      <c r="BB510" t="inlineStr">
        <is>
          <t>9780772518170</t>
        </is>
      </c>
      <c r="BC510" t="inlineStr">
        <is>
          <t>32285000591338</t>
        </is>
      </c>
      <c r="BD510" t="inlineStr">
        <is>
          <t>893791626</t>
        </is>
      </c>
    </row>
    <row r="511">
      <c r="A511" t="inlineStr">
        <is>
          <t>No</t>
        </is>
      </c>
      <c r="B511" t="inlineStr">
        <is>
          <t>LB1060 .S27 1999</t>
        </is>
      </c>
      <c r="C511" t="inlineStr">
        <is>
          <t>0                      LB 1060000S  27          1999</t>
        </is>
      </c>
      <c r="D511" t="inlineStr">
        <is>
          <t>Learning style perspectives : impact in the classroom / by Lynne Celli Sarasin.</t>
        </is>
      </c>
      <c r="F511" t="inlineStr">
        <is>
          <t>No</t>
        </is>
      </c>
      <c r="G511" t="inlineStr">
        <is>
          <t>1</t>
        </is>
      </c>
      <c r="H511" t="inlineStr">
        <is>
          <t>No</t>
        </is>
      </c>
      <c r="I511" t="inlineStr">
        <is>
          <t>No</t>
        </is>
      </c>
      <c r="J511" t="inlineStr">
        <is>
          <t>0</t>
        </is>
      </c>
      <c r="K511" t="inlineStr">
        <is>
          <t>Celli, Lynne M.</t>
        </is>
      </c>
      <c r="L511" t="inlineStr">
        <is>
          <t>Madison, WI : Atwood Pub., c1999.</t>
        </is>
      </c>
      <c r="M511" t="inlineStr">
        <is>
          <t>1999</t>
        </is>
      </c>
      <c r="O511" t="inlineStr">
        <is>
          <t>eng</t>
        </is>
      </c>
      <c r="P511" t="inlineStr">
        <is>
          <t>wiu</t>
        </is>
      </c>
      <c r="R511" t="inlineStr">
        <is>
          <t xml:space="preserve">LB </t>
        </is>
      </c>
      <c r="S511" t="n">
        <v>4</v>
      </c>
      <c r="T511" t="n">
        <v>4</v>
      </c>
      <c r="U511" t="inlineStr">
        <is>
          <t>2006-01-18</t>
        </is>
      </c>
      <c r="V511" t="inlineStr">
        <is>
          <t>2006-01-18</t>
        </is>
      </c>
      <c r="W511" t="inlineStr">
        <is>
          <t>2003-11-24</t>
        </is>
      </c>
      <c r="X511" t="inlineStr">
        <is>
          <t>2003-11-24</t>
        </is>
      </c>
      <c r="Y511" t="n">
        <v>526</v>
      </c>
      <c r="Z511" t="n">
        <v>486</v>
      </c>
      <c r="AA511" t="n">
        <v>659</v>
      </c>
      <c r="AB511" t="n">
        <v>4</v>
      </c>
      <c r="AC511" t="n">
        <v>5</v>
      </c>
      <c r="AD511" t="n">
        <v>16</v>
      </c>
      <c r="AE511" t="n">
        <v>22</v>
      </c>
      <c r="AF511" t="n">
        <v>5</v>
      </c>
      <c r="AG511" t="n">
        <v>6</v>
      </c>
      <c r="AH511" t="n">
        <v>4</v>
      </c>
      <c r="AI511" t="n">
        <v>8</v>
      </c>
      <c r="AJ511" t="n">
        <v>8</v>
      </c>
      <c r="AK511" t="n">
        <v>9</v>
      </c>
      <c r="AL511" t="n">
        <v>3</v>
      </c>
      <c r="AM511" t="n">
        <v>4</v>
      </c>
      <c r="AN511" t="n">
        <v>0</v>
      </c>
      <c r="AO511" t="n">
        <v>0</v>
      </c>
      <c r="AP511" t="inlineStr">
        <is>
          <t>No</t>
        </is>
      </c>
      <c r="AQ511" t="inlineStr">
        <is>
          <t>Yes</t>
        </is>
      </c>
      <c r="AR511">
        <f>HYPERLINK("http://catalog.hathitrust.org/Record/004051457","HathiTrust Record")</f>
        <v/>
      </c>
      <c r="AS511">
        <f>HYPERLINK("https://creighton-primo.hosted.exlibrisgroup.com/primo-explore/search?tab=default_tab&amp;search_scope=EVERYTHING&amp;vid=01CRU&amp;lang=en_US&amp;offset=0&amp;query=any,contains,991004188739702656","Catalog Record")</f>
        <v/>
      </c>
      <c r="AT511">
        <f>HYPERLINK("http://www.worldcat.org/oclc/41621596","WorldCat Record")</f>
        <v/>
      </c>
      <c r="AU511" t="inlineStr">
        <is>
          <t>27044313:eng</t>
        </is>
      </c>
      <c r="AV511" t="inlineStr">
        <is>
          <t>41621596</t>
        </is>
      </c>
      <c r="AW511" t="inlineStr">
        <is>
          <t>991004188739702656</t>
        </is>
      </c>
      <c r="AX511" t="inlineStr">
        <is>
          <t>991004188739702656</t>
        </is>
      </c>
      <c r="AY511" t="inlineStr">
        <is>
          <t>2267973440002656</t>
        </is>
      </c>
      <c r="AZ511" t="inlineStr">
        <is>
          <t>BOOK</t>
        </is>
      </c>
      <c r="BB511" t="inlineStr">
        <is>
          <t>9781891859229</t>
        </is>
      </c>
      <c r="BC511" t="inlineStr">
        <is>
          <t>32285004841333</t>
        </is>
      </c>
      <c r="BD511" t="inlineStr">
        <is>
          <t>893442326</t>
        </is>
      </c>
    </row>
    <row r="512">
      <c r="A512" t="inlineStr">
        <is>
          <t>No</t>
        </is>
      </c>
      <c r="B512" t="inlineStr">
        <is>
          <t>LB1060 .S78 1987</t>
        </is>
      </c>
      <c r="C512" t="inlineStr">
        <is>
          <t>0                      LB 1060000S  78          1987</t>
        </is>
      </c>
      <c r="D512" t="inlineStr">
        <is>
          <t>Student learning : research in education and cognitive psychology / edited by John T.E. Richardson, Michael W. Eysenck and David Warren Piper.</t>
        </is>
      </c>
      <c r="F512" t="inlineStr">
        <is>
          <t>No</t>
        </is>
      </c>
      <c r="G512" t="inlineStr">
        <is>
          <t>1</t>
        </is>
      </c>
      <c r="H512" t="inlineStr">
        <is>
          <t>No</t>
        </is>
      </c>
      <c r="I512" t="inlineStr">
        <is>
          <t>No</t>
        </is>
      </c>
      <c r="J512" t="inlineStr">
        <is>
          <t>0</t>
        </is>
      </c>
      <c r="L512" t="inlineStr">
        <is>
          <t>Milton Keynes : Society for Research into Higher Education &amp; Open University Press, 1987.</t>
        </is>
      </c>
      <c r="M512" t="inlineStr">
        <is>
          <t>1987</t>
        </is>
      </c>
      <c r="O512" t="inlineStr">
        <is>
          <t>eng</t>
        </is>
      </c>
      <c r="P512" t="inlineStr">
        <is>
          <t>enk</t>
        </is>
      </c>
      <c r="R512" t="inlineStr">
        <is>
          <t xml:space="preserve">LB </t>
        </is>
      </c>
      <c r="S512" t="n">
        <v>2</v>
      </c>
      <c r="T512" t="n">
        <v>2</v>
      </c>
      <c r="U512" t="inlineStr">
        <is>
          <t>2001-12-20</t>
        </is>
      </c>
      <c r="V512" t="inlineStr">
        <is>
          <t>2001-12-20</t>
        </is>
      </c>
      <c r="W512" t="inlineStr">
        <is>
          <t>1992-11-19</t>
        </is>
      </c>
      <c r="X512" t="inlineStr">
        <is>
          <t>1992-11-19</t>
        </is>
      </c>
      <c r="Y512" t="n">
        <v>335</v>
      </c>
      <c r="Z512" t="n">
        <v>164</v>
      </c>
      <c r="AA512" t="n">
        <v>170</v>
      </c>
      <c r="AB512" t="n">
        <v>2</v>
      </c>
      <c r="AC512" t="n">
        <v>2</v>
      </c>
      <c r="AD512" t="n">
        <v>7</v>
      </c>
      <c r="AE512" t="n">
        <v>7</v>
      </c>
      <c r="AF512" t="n">
        <v>2</v>
      </c>
      <c r="AG512" t="n">
        <v>2</v>
      </c>
      <c r="AH512" t="n">
        <v>2</v>
      </c>
      <c r="AI512" t="n">
        <v>2</v>
      </c>
      <c r="AJ512" t="n">
        <v>5</v>
      </c>
      <c r="AK512" t="n">
        <v>5</v>
      </c>
      <c r="AL512" t="n">
        <v>1</v>
      </c>
      <c r="AM512" t="n">
        <v>1</v>
      </c>
      <c r="AN512" t="n">
        <v>0</v>
      </c>
      <c r="AO512" t="n">
        <v>0</v>
      </c>
      <c r="AP512" t="inlineStr">
        <is>
          <t>No</t>
        </is>
      </c>
      <c r="AQ512" t="inlineStr">
        <is>
          <t>Yes</t>
        </is>
      </c>
      <c r="AR512">
        <f>HYPERLINK("http://catalog.hathitrust.org/Record/000854532","HathiTrust Record")</f>
        <v/>
      </c>
      <c r="AS512">
        <f>HYPERLINK("https://creighton-primo.hosted.exlibrisgroup.com/primo-explore/search?tab=default_tab&amp;search_scope=EVERYTHING&amp;vid=01CRU&amp;lang=en_US&amp;offset=0&amp;query=any,contains,991001011559702656","Catalog Record")</f>
        <v/>
      </c>
      <c r="AT512">
        <f>HYPERLINK("http://www.worldcat.org/oclc/15657725","WorldCat Record")</f>
        <v/>
      </c>
      <c r="AU512" t="inlineStr">
        <is>
          <t>836622046:eng</t>
        </is>
      </c>
      <c r="AV512" t="inlineStr">
        <is>
          <t>15657725</t>
        </is>
      </c>
      <c r="AW512" t="inlineStr">
        <is>
          <t>991001011559702656</t>
        </is>
      </c>
      <c r="AX512" t="inlineStr">
        <is>
          <t>991001011559702656</t>
        </is>
      </c>
      <c r="AY512" t="inlineStr">
        <is>
          <t>2265162260002656</t>
        </is>
      </c>
      <c r="AZ512" t="inlineStr">
        <is>
          <t>BOOK</t>
        </is>
      </c>
      <c r="BB512" t="inlineStr">
        <is>
          <t>9780335156009</t>
        </is>
      </c>
      <c r="BC512" t="inlineStr">
        <is>
          <t>32285001407526</t>
        </is>
      </c>
      <c r="BD512" t="inlineStr">
        <is>
          <t>893515827</t>
        </is>
      </c>
    </row>
    <row r="513">
      <c r="A513" t="inlineStr">
        <is>
          <t>No</t>
        </is>
      </c>
      <c r="B513" t="inlineStr">
        <is>
          <t>LB1060 .S87 1982</t>
        </is>
      </c>
      <c r="C513" t="inlineStr">
        <is>
          <t>0                      LB 1060000S  87          1982</t>
        </is>
      </c>
      <c r="D513" t="inlineStr">
        <is>
          <t>Student learning styles and brain behavior : programs, instrumentation, research.</t>
        </is>
      </c>
      <c r="F513" t="inlineStr">
        <is>
          <t>No</t>
        </is>
      </c>
      <c r="G513" t="inlineStr">
        <is>
          <t>1</t>
        </is>
      </c>
      <c r="H513" t="inlineStr">
        <is>
          <t>No</t>
        </is>
      </c>
      <c r="I513" t="inlineStr">
        <is>
          <t>No</t>
        </is>
      </c>
      <c r="J513" t="inlineStr">
        <is>
          <t>0</t>
        </is>
      </c>
      <c r="L513" t="inlineStr">
        <is>
          <t>Reston, Va. : National Association of Secondary School Principals, c1982.</t>
        </is>
      </c>
      <c r="M513" t="inlineStr">
        <is>
          <t>1982</t>
        </is>
      </c>
      <c r="O513" t="inlineStr">
        <is>
          <t>eng</t>
        </is>
      </c>
      <c r="P513" t="inlineStr">
        <is>
          <t>vau</t>
        </is>
      </c>
      <c r="R513" t="inlineStr">
        <is>
          <t xml:space="preserve">LB </t>
        </is>
      </c>
      <c r="S513" t="n">
        <v>9</v>
      </c>
      <c r="T513" t="n">
        <v>9</v>
      </c>
      <c r="U513" t="inlineStr">
        <is>
          <t>2005-03-24</t>
        </is>
      </c>
      <c r="V513" t="inlineStr">
        <is>
          <t>2005-03-24</t>
        </is>
      </c>
      <c r="W513" t="inlineStr">
        <is>
          <t>1992-11-19</t>
        </is>
      </c>
      <c r="X513" t="inlineStr">
        <is>
          <t>1992-11-19</t>
        </is>
      </c>
      <c r="Y513" t="n">
        <v>197</v>
      </c>
      <c r="Z513" t="n">
        <v>171</v>
      </c>
      <c r="AA513" t="n">
        <v>174</v>
      </c>
      <c r="AB513" t="n">
        <v>3</v>
      </c>
      <c r="AC513" t="n">
        <v>3</v>
      </c>
      <c r="AD513" t="n">
        <v>5</v>
      </c>
      <c r="AE513" t="n">
        <v>5</v>
      </c>
      <c r="AF513" t="n">
        <v>1</v>
      </c>
      <c r="AG513" t="n">
        <v>1</v>
      </c>
      <c r="AH513" t="n">
        <v>0</v>
      </c>
      <c r="AI513" t="n">
        <v>0</v>
      </c>
      <c r="AJ513" t="n">
        <v>3</v>
      </c>
      <c r="AK513" t="n">
        <v>3</v>
      </c>
      <c r="AL513" t="n">
        <v>2</v>
      </c>
      <c r="AM513" t="n">
        <v>2</v>
      </c>
      <c r="AN513" t="n">
        <v>0</v>
      </c>
      <c r="AO513" t="n">
        <v>0</v>
      </c>
      <c r="AP513" t="inlineStr">
        <is>
          <t>No</t>
        </is>
      </c>
      <c r="AQ513" t="inlineStr">
        <is>
          <t>No</t>
        </is>
      </c>
      <c r="AS513">
        <f>HYPERLINK("https://creighton-primo.hosted.exlibrisgroup.com/primo-explore/search?tab=default_tab&amp;search_scope=EVERYTHING&amp;vid=01CRU&amp;lang=en_US&amp;offset=0&amp;query=any,contains,991000186649702656","Catalog Record")</f>
        <v/>
      </c>
      <c r="AT513">
        <f>HYPERLINK("http://www.worldcat.org/oclc/9393979","WorldCat Record")</f>
        <v/>
      </c>
      <c r="AU513" t="inlineStr">
        <is>
          <t>471579410:eng</t>
        </is>
      </c>
      <c r="AV513" t="inlineStr">
        <is>
          <t>9393979</t>
        </is>
      </c>
      <c r="AW513" t="inlineStr">
        <is>
          <t>991000186649702656</t>
        </is>
      </c>
      <c r="AX513" t="inlineStr">
        <is>
          <t>991000186649702656</t>
        </is>
      </c>
      <c r="AY513" t="inlineStr">
        <is>
          <t>2266178330002656</t>
        </is>
      </c>
      <c r="AZ513" t="inlineStr">
        <is>
          <t>BOOK</t>
        </is>
      </c>
      <c r="BB513" t="inlineStr">
        <is>
          <t>9780882101422</t>
        </is>
      </c>
      <c r="BC513" t="inlineStr">
        <is>
          <t>32285001407534</t>
        </is>
      </c>
      <c r="BD513" t="inlineStr">
        <is>
          <t>893431776</t>
        </is>
      </c>
    </row>
    <row r="514">
      <c r="A514" t="inlineStr">
        <is>
          <t>No</t>
        </is>
      </c>
      <c r="B514" t="inlineStr">
        <is>
          <t>LB1060 .W54 1986</t>
        </is>
      </c>
      <c r="C514" t="inlineStr">
        <is>
          <t>0                      LB 1060000W  54          1986</t>
        </is>
      </c>
      <c r="D514" t="inlineStr">
        <is>
          <t>Teaching for the two-sided mind : a guide to right brain/left brain education / Linda Verlee Williams.</t>
        </is>
      </c>
      <c r="F514" t="inlineStr">
        <is>
          <t>No</t>
        </is>
      </c>
      <c r="G514" t="inlineStr">
        <is>
          <t>1</t>
        </is>
      </c>
      <c r="H514" t="inlineStr">
        <is>
          <t>No</t>
        </is>
      </c>
      <c r="I514" t="inlineStr">
        <is>
          <t>No</t>
        </is>
      </c>
      <c r="J514" t="inlineStr">
        <is>
          <t>0</t>
        </is>
      </c>
      <c r="K514" t="inlineStr">
        <is>
          <t>Williams, Linda VerLee, 1942-</t>
        </is>
      </c>
      <c r="L514" t="inlineStr">
        <is>
          <t>New York : Simon &amp; Schuster, 1986, c1983.</t>
        </is>
      </c>
      <c r="M514" t="inlineStr">
        <is>
          <t>1986</t>
        </is>
      </c>
      <c r="N514" t="inlineStr">
        <is>
          <t>1st Touchstone ed.</t>
        </is>
      </c>
      <c r="O514" t="inlineStr">
        <is>
          <t>eng</t>
        </is>
      </c>
      <c r="P514" t="inlineStr">
        <is>
          <t>nyu</t>
        </is>
      </c>
      <c r="Q514" t="inlineStr">
        <is>
          <t>A Touchstone book</t>
        </is>
      </c>
      <c r="R514" t="inlineStr">
        <is>
          <t xml:space="preserve">LB </t>
        </is>
      </c>
      <c r="S514" t="n">
        <v>18</v>
      </c>
      <c r="T514" t="n">
        <v>18</v>
      </c>
      <c r="U514" t="inlineStr">
        <is>
          <t>2006-01-18</t>
        </is>
      </c>
      <c r="V514" t="inlineStr">
        <is>
          <t>2006-01-18</t>
        </is>
      </c>
      <c r="W514" t="inlineStr">
        <is>
          <t>1993-07-14</t>
        </is>
      </c>
      <c r="X514" t="inlineStr">
        <is>
          <t>1993-07-14</t>
        </is>
      </c>
      <c r="Y514" t="n">
        <v>466</v>
      </c>
      <c r="Z514" t="n">
        <v>383</v>
      </c>
      <c r="AA514" t="n">
        <v>681</v>
      </c>
      <c r="AB514" t="n">
        <v>3</v>
      </c>
      <c r="AC514" t="n">
        <v>5</v>
      </c>
      <c r="AD514" t="n">
        <v>9</v>
      </c>
      <c r="AE514" t="n">
        <v>15</v>
      </c>
      <c r="AF514" t="n">
        <v>2</v>
      </c>
      <c r="AG514" t="n">
        <v>7</v>
      </c>
      <c r="AH514" t="n">
        <v>1</v>
      </c>
      <c r="AI514" t="n">
        <v>1</v>
      </c>
      <c r="AJ514" t="n">
        <v>5</v>
      </c>
      <c r="AK514" t="n">
        <v>8</v>
      </c>
      <c r="AL514" t="n">
        <v>2</v>
      </c>
      <c r="AM514" t="n">
        <v>3</v>
      </c>
      <c r="AN514" t="n">
        <v>0</v>
      </c>
      <c r="AO514" t="n">
        <v>0</v>
      </c>
      <c r="AP514" t="inlineStr">
        <is>
          <t>No</t>
        </is>
      </c>
      <c r="AQ514" t="inlineStr">
        <is>
          <t>No</t>
        </is>
      </c>
      <c r="AS514">
        <f>HYPERLINK("https://creighton-primo.hosted.exlibrisgroup.com/primo-explore/search?tab=default_tab&amp;search_scope=EVERYTHING&amp;vid=01CRU&amp;lang=en_US&amp;offset=0&amp;query=any,contains,991000810359702656","Catalog Record")</f>
        <v/>
      </c>
      <c r="AT514">
        <f>HYPERLINK("http://www.worldcat.org/oclc/13331321","WorldCat Record")</f>
        <v/>
      </c>
      <c r="AU514" t="inlineStr">
        <is>
          <t>2973739541:eng</t>
        </is>
      </c>
      <c r="AV514" t="inlineStr">
        <is>
          <t>13331321</t>
        </is>
      </c>
      <c r="AW514" t="inlineStr">
        <is>
          <t>991000810359702656</t>
        </is>
      </c>
      <c r="AX514" t="inlineStr">
        <is>
          <t>991000810359702656</t>
        </is>
      </c>
      <c r="AY514" t="inlineStr">
        <is>
          <t>2263629090002656</t>
        </is>
      </c>
      <c r="AZ514" t="inlineStr">
        <is>
          <t>BOOK</t>
        </is>
      </c>
      <c r="BB514" t="inlineStr">
        <is>
          <t>9780671622398</t>
        </is>
      </c>
      <c r="BC514" t="inlineStr">
        <is>
          <t>32285001702538</t>
        </is>
      </c>
      <c r="BD514" t="inlineStr">
        <is>
          <t>893589752</t>
        </is>
      </c>
    </row>
    <row r="515">
      <c r="A515" t="inlineStr">
        <is>
          <t>No</t>
        </is>
      </c>
      <c r="B515" t="inlineStr">
        <is>
          <t>LB1060 .Z56 1996</t>
        </is>
      </c>
      <c r="C515" t="inlineStr">
        <is>
          <t>0                      LB 1060000Z  56          1996</t>
        </is>
      </c>
      <c r="D515" t="inlineStr">
        <is>
          <t>Developing self-regulated learners : beyond achievement to self-efficacy / Barry J. Zimmerman, Sebastian Bonner, and Robert Kovach.</t>
        </is>
      </c>
      <c r="F515" t="inlineStr">
        <is>
          <t>No</t>
        </is>
      </c>
      <c r="G515" t="inlineStr">
        <is>
          <t>1</t>
        </is>
      </c>
      <c r="H515" t="inlineStr">
        <is>
          <t>No</t>
        </is>
      </c>
      <c r="I515" t="inlineStr">
        <is>
          <t>No</t>
        </is>
      </c>
      <c r="J515" t="inlineStr">
        <is>
          <t>0</t>
        </is>
      </c>
      <c r="K515" t="inlineStr">
        <is>
          <t>Zimmerman, Barry J.</t>
        </is>
      </c>
      <c r="L515" t="inlineStr">
        <is>
          <t>Washington, DC : American Psychological Association, c1996.</t>
        </is>
      </c>
      <c r="M515" t="inlineStr">
        <is>
          <t>1996</t>
        </is>
      </c>
      <c r="O515" t="inlineStr">
        <is>
          <t>eng</t>
        </is>
      </c>
      <c r="P515" t="inlineStr">
        <is>
          <t>dcu</t>
        </is>
      </c>
      <c r="Q515" t="inlineStr">
        <is>
          <t>Psychology in the classroom</t>
        </is>
      </c>
      <c r="R515" t="inlineStr">
        <is>
          <t xml:space="preserve">LB </t>
        </is>
      </c>
      <c r="S515" t="n">
        <v>1</v>
      </c>
      <c r="T515" t="n">
        <v>1</v>
      </c>
      <c r="U515" t="inlineStr">
        <is>
          <t>2009-07-08</t>
        </is>
      </c>
      <c r="V515" t="inlineStr">
        <is>
          <t>2009-07-08</t>
        </is>
      </c>
      <c r="W515" t="inlineStr">
        <is>
          <t>1999-03-09</t>
        </is>
      </c>
      <c r="X515" t="inlineStr">
        <is>
          <t>1999-03-09</t>
        </is>
      </c>
      <c r="Y515" t="n">
        <v>419</v>
      </c>
      <c r="Z515" t="n">
        <v>318</v>
      </c>
      <c r="AA515" t="n">
        <v>394</v>
      </c>
      <c r="AB515" t="n">
        <v>2</v>
      </c>
      <c r="AC515" t="n">
        <v>3</v>
      </c>
      <c r="AD515" t="n">
        <v>17</v>
      </c>
      <c r="AE515" t="n">
        <v>21</v>
      </c>
      <c r="AF515" t="n">
        <v>7</v>
      </c>
      <c r="AG515" t="n">
        <v>8</v>
      </c>
      <c r="AH515" t="n">
        <v>4</v>
      </c>
      <c r="AI515" t="n">
        <v>4</v>
      </c>
      <c r="AJ515" t="n">
        <v>9</v>
      </c>
      <c r="AK515" t="n">
        <v>11</v>
      </c>
      <c r="AL515" t="n">
        <v>1</v>
      </c>
      <c r="AM515" t="n">
        <v>2</v>
      </c>
      <c r="AN515" t="n">
        <v>0</v>
      </c>
      <c r="AO515" t="n">
        <v>0</v>
      </c>
      <c r="AP515" t="inlineStr">
        <is>
          <t>No</t>
        </is>
      </c>
      <c r="AQ515" t="inlineStr">
        <is>
          <t>No</t>
        </is>
      </c>
      <c r="AS515">
        <f>HYPERLINK("https://creighton-primo.hosted.exlibrisgroup.com/primo-explore/search?tab=default_tab&amp;search_scope=EVERYTHING&amp;vid=01CRU&amp;lang=en_US&amp;offset=0&amp;query=any,contains,991002691969702656","Catalog Record")</f>
        <v/>
      </c>
      <c r="AT515">
        <f>HYPERLINK("http://www.worldcat.org/oclc/35159272","WorldCat Record")</f>
        <v/>
      </c>
      <c r="AU515" t="inlineStr">
        <is>
          <t>35011482:eng</t>
        </is>
      </c>
      <c r="AV515" t="inlineStr">
        <is>
          <t>35159272</t>
        </is>
      </c>
      <c r="AW515" t="inlineStr">
        <is>
          <t>991002691969702656</t>
        </is>
      </c>
      <c r="AX515" t="inlineStr">
        <is>
          <t>991002691969702656</t>
        </is>
      </c>
      <c r="AY515" t="inlineStr">
        <is>
          <t>2262323950002656</t>
        </is>
      </c>
      <c r="AZ515" t="inlineStr">
        <is>
          <t>BOOK</t>
        </is>
      </c>
      <c r="BB515" t="inlineStr">
        <is>
          <t>9781557983923</t>
        </is>
      </c>
      <c r="BC515" t="inlineStr">
        <is>
          <t>32285003529889</t>
        </is>
      </c>
      <c r="BD515" t="inlineStr">
        <is>
          <t>893415529</t>
        </is>
      </c>
    </row>
    <row r="516">
      <c r="A516" t="inlineStr">
        <is>
          <t>No</t>
        </is>
      </c>
      <c r="B516" t="inlineStr">
        <is>
          <t>LB1060.2 .H36 1988</t>
        </is>
      </c>
      <c r="C516" t="inlineStr">
        <is>
          <t>0                      LB 1060200H  36          1988</t>
        </is>
      </c>
      <c r="D516" t="inlineStr">
        <is>
          <t>Handbook of behavior therapy in education / edited by Joseph C. Witt, Stephen N. Elliott, and Frank M. Gresham.</t>
        </is>
      </c>
      <c r="F516" t="inlineStr">
        <is>
          <t>No</t>
        </is>
      </c>
      <c r="G516" t="inlineStr">
        <is>
          <t>1</t>
        </is>
      </c>
      <c r="H516" t="inlineStr">
        <is>
          <t>No</t>
        </is>
      </c>
      <c r="I516" t="inlineStr">
        <is>
          <t>No</t>
        </is>
      </c>
      <c r="J516" t="inlineStr">
        <is>
          <t>0</t>
        </is>
      </c>
      <c r="L516" t="inlineStr">
        <is>
          <t>New York : Plenum Press, c1988.</t>
        </is>
      </c>
      <c r="M516" t="inlineStr">
        <is>
          <t>1988</t>
        </is>
      </c>
      <c r="O516" t="inlineStr">
        <is>
          <t>eng</t>
        </is>
      </c>
      <c r="P516" t="inlineStr">
        <is>
          <t>nyu</t>
        </is>
      </c>
      <c r="R516" t="inlineStr">
        <is>
          <t xml:space="preserve">LB </t>
        </is>
      </c>
      <c r="S516" t="n">
        <v>2</v>
      </c>
      <c r="T516" t="n">
        <v>2</v>
      </c>
      <c r="U516" t="inlineStr">
        <is>
          <t>2006-03-29</t>
        </is>
      </c>
      <c r="V516" t="inlineStr">
        <is>
          <t>2006-03-29</t>
        </is>
      </c>
      <c r="W516" t="inlineStr">
        <is>
          <t>1990-07-11</t>
        </is>
      </c>
      <c r="X516" t="inlineStr">
        <is>
          <t>1990-07-11</t>
        </is>
      </c>
      <c r="Y516" t="n">
        <v>350</v>
      </c>
      <c r="Z516" t="n">
        <v>257</v>
      </c>
      <c r="AA516" t="n">
        <v>282</v>
      </c>
      <c r="AB516" t="n">
        <v>2</v>
      </c>
      <c r="AC516" t="n">
        <v>2</v>
      </c>
      <c r="AD516" t="n">
        <v>12</v>
      </c>
      <c r="AE516" t="n">
        <v>14</v>
      </c>
      <c r="AF516" t="n">
        <v>6</v>
      </c>
      <c r="AG516" t="n">
        <v>8</v>
      </c>
      <c r="AH516" t="n">
        <v>0</v>
      </c>
      <c r="AI516" t="n">
        <v>0</v>
      </c>
      <c r="AJ516" t="n">
        <v>8</v>
      </c>
      <c r="AK516" t="n">
        <v>9</v>
      </c>
      <c r="AL516" t="n">
        <v>1</v>
      </c>
      <c r="AM516" t="n">
        <v>1</v>
      </c>
      <c r="AN516" t="n">
        <v>0</v>
      </c>
      <c r="AO516" t="n">
        <v>0</v>
      </c>
      <c r="AP516" t="inlineStr">
        <is>
          <t>No</t>
        </is>
      </c>
      <c r="AQ516" t="inlineStr">
        <is>
          <t>Yes</t>
        </is>
      </c>
      <c r="AR516">
        <f>HYPERLINK("http://catalog.hathitrust.org/Record/000922128","HathiTrust Record")</f>
        <v/>
      </c>
      <c r="AS516">
        <f>HYPERLINK("https://creighton-primo.hosted.exlibrisgroup.com/primo-explore/search?tab=default_tab&amp;search_scope=EVERYTHING&amp;vid=01CRU&amp;lang=en_US&amp;offset=0&amp;query=any,contains,991001231319702656","Catalog Record")</f>
        <v/>
      </c>
      <c r="AT516">
        <f>HYPERLINK("http://www.worldcat.org/oclc/17547106","WorldCat Record")</f>
        <v/>
      </c>
      <c r="AU516" t="inlineStr">
        <is>
          <t>345809558:eng</t>
        </is>
      </c>
      <c r="AV516" t="inlineStr">
        <is>
          <t>17547106</t>
        </is>
      </c>
      <c r="AW516" t="inlineStr">
        <is>
          <t>991001231319702656</t>
        </is>
      </c>
      <c r="AX516" t="inlineStr">
        <is>
          <t>991001231319702656</t>
        </is>
      </c>
      <c r="AY516" t="inlineStr">
        <is>
          <t>2265404220002656</t>
        </is>
      </c>
      <c r="AZ516" t="inlineStr">
        <is>
          <t>BOOK</t>
        </is>
      </c>
      <c r="BB516" t="inlineStr">
        <is>
          <t>9780306426339</t>
        </is>
      </c>
      <c r="BC516" t="inlineStr">
        <is>
          <t>32285000223791</t>
        </is>
      </c>
      <c r="BD516" t="inlineStr">
        <is>
          <t>893866068</t>
        </is>
      </c>
    </row>
    <row r="517">
      <c r="A517" t="inlineStr">
        <is>
          <t>No</t>
        </is>
      </c>
      <c r="B517" t="inlineStr">
        <is>
          <t>LB1060.2 .H84 1988</t>
        </is>
      </c>
      <c r="C517" t="inlineStr">
        <is>
          <t>0                      LB 1060200H  84          1988</t>
        </is>
      </c>
      <c r="D517" t="inlineStr">
        <is>
          <t>Cognitive behavior therapy with children in schools / Jan N. Hughes.</t>
        </is>
      </c>
      <c r="F517" t="inlineStr">
        <is>
          <t>No</t>
        </is>
      </c>
      <c r="G517" t="inlineStr">
        <is>
          <t>1</t>
        </is>
      </c>
      <c r="H517" t="inlineStr">
        <is>
          <t>No</t>
        </is>
      </c>
      <c r="I517" t="inlineStr">
        <is>
          <t>No</t>
        </is>
      </c>
      <c r="J517" t="inlineStr">
        <is>
          <t>0</t>
        </is>
      </c>
      <c r="K517" t="inlineStr">
        <is>
          <t>Hughes, Jan N., 1949-</t>
        </is>
      </c>
      <c r="L517" t="inlineStr">
        <is>
          <t>New York : Pergamon Press, 1988.</t>
        </is>
      </c>
      <c r="M517" t="inlineStr">
        <is>
          <t>1988</t>
        </is>
      </c>
      <c r="N517" t="inlineStr">
        <is>
          <t>1st ed.</t>
        </is>
      </c>
      <c r="O517" t="inlineStr">
        <is>
          <t>eng</t>
        </is>
      </c>
      <c r="P517" t="inlineStr">
        <is>
          <t>nyu</t>
        </is>
      </c>
      <c r="Q517" t="inlineStr">
        <is>
          <t>Pergamon general psychology series ; 154</t>
        </is>
      </c>
      <c r="R517" t="inlineStr">
        <is>
          <t xml:space="preserve">LB </t>
        </is>
      </c>
      <c r="S517" t="n">
        <v>5</v>
      </c>
      <c r="T517" t="n">
        <v>5</v>
      </c>
      <c r="U517" t="inlineStr">
        <is>
          <t>1999-08-27</t>
        </is>
      </c>
      <c r="V517" t="inlineStr">
        <is>
          <t>1999-08-27</t>
        </is>
      </c>
      <c r="W517" t="inlineStr">
        <is>
          <t>1990-06-06</t>
        </is>
      </c>
      <c r="X517" t="inlineStr">
        <is>
          <t>1990-06-06</t>
        </is>
      </c>
      <c r="Y517" t="n">
        <v>469</v>
      </c>
      <c r="Z517" t="n">
        <v>352</v>
      </c>
      <c r="AA517" t="n">
        <v>358</v>
      </c>
      <c r="AB517" t="n">
        <v>5</v>
      </c>
      <c r="AC517" t="n">
        <v>5</v>
      </c>
      <c r="AD517" t="n">
        <v>20</v>
      </c>
      <c r="AE517" t="n">
        <v>20</v>
      </c>
      <c r="AF517" t="n">
        <v>8</v>
      </c>
      <c r="AG517" t="n">
        <v>8</v>
      </c>
      <c r="AH517" t="n">
        <v>3</v>
      </c>
      <c r="AI517" t="n">
        <v>3</v>
      </c>
      <c r="AJ517" t="n">
        <v>10</v>
      </c>
      <c r="AK517" t="n">
        <v>10</v>
      </c>
      <c r="AL517" t="n">
        <v>4</v>
      </c>
      <c r="AM517" t="n">
        <v>4</v>
      </c>
      <c r="AN517" t="n">
        <v>0</v>
      </c>
      <c r="AO517" t="n">
        <v>0</v>
      </c>
      <c r="AP517" t="inlineStr">
        <is>
          <t>No</t>
        </is>
      </c>
      <c r="AQ517" t="inlineStr">
        <is>
          <t>Yes</t>
        </is>
      </c>
      <c r="AR517">
        <f>HYPERLINK("http://catalog.hathitrust.org/Record/000915163","HathiTrust Record")</f>
        <v/>
      </c>
      <c r="AS517">
        <f>HYPERLINK("https://creighton-primo.hosted.exlibrisgroup.com/primo-explore/search?tab=default_tab&amp;search_scope=EVERYTHING&amp;vid=01CRU&amp;lang=en_US&amp;offset=0&amp;query=any,contains,991001119229702656","Catalog Record")</f>
        <v/>
      </c>
      <c r="AT517">
        <f>HYPERLINK("http://www.worldcat.org/oclc/16578328","WorldCat Record")</f>
        <v/>
      </c>
      <c r="AU517" t="inlineStr">
        <is>
          <t>12395276:eng</t>
        </is>
      </c>
      <c r="AV517" t="inlineStr">
        <is>
          <t>16578328</t>
        </is>
      </c>
      <c r="AW517" t="inlineStr">
        <is>
          <t>991001119229702656</t>
        </is>
      </c>
      <c r="AX517" t="inlineStr">
        <is>
          <t>991001119229702656</t>
        </is>
      </c>
      <c r="AY517" t="inlineStr">
        <is>
          <t>2272122760002656</t>
        </is>
      </c>
      <c r="AZ517" t="inlineStr">
        <is>
          <t>BOOK</t>
        </is>
      </c>
      <c r="BB517" t="inlineStr">
        <is>
          <t>9780080343259</t>
        </is>
      </c>
      <c r="BC517" t="inlineStr">
        <is>
          <t>32285000175793</t>
        </is>
      </c>
      <c r="BD517" t="inlineStr">
        <is>
          <t>893885056</t>
        </is>
      </c>
    </row>
    <row r="518">
      <c r="A518" t="inlineStr">
        <is>
          <t>No</t>
        </is>
      </c>
      <c r="B518" t="inlineStr">
        <is>
          <t>LB1060.2 .N56 1988</t>
        </is>
      </c>
      <c r="C518" t="inlineStr">
        <is>
          <t>0                      LB 1060200N  56          1988</t>
        </is>
      </c>
      <c r="D518" t="inlineStr">
        <is>
          <t>Applied behavior analysis and school psychology : a research guide to principles and procedures / H.A. Chris Ninness and Sigrid S. Glenn.</t>
        </is>
      </c>
      <c r="F518" t="inlineStr">
        <is>
          <t>No</t>
        </is>
      </c>
      <c r="G518" t="inlineStr">
        <is>
          <t>1</t>
        </is>
      </c>
      <c r="H518" t="inlineStr">
        <is>
          <t>No</t>
        </is>
      </c>
      <c r="I518" t="inlineStr">
        <is>
          <t>No</t>
        </is>
      </c>
      <c r="J518" t="inlineStr">
        <is>
          <t>0</t>
        </is>
      </c>
      <c r="K518" t="inlineStr">
        <is>
          <t>Ninness, H. A. Chris.</t>
        </is>
      </c>
      <c r="L518" t="inlineStr">
        <is>
          <t>New York : Greenwood Press, c1988.</t>
        </is>
      </c>
      <c r="M518" t="inlineStr">
        <is>
          <t>1988</t>
        </is>
      </c>
      <c r="O518" t="inlineStr">
        <is>
          <t>eng</t>
        </is>
      </c>
      <c r="P518" t="inlineStr">
        <is>
          <t>nyu</t>
        </is>
      </c>
      <c r="R518" t="inlineStr">
        <is>
          <t xml:space="preserve">LB </t>
        </is>
      </c>
      <c r="S518" t="n">
        <v>4</v>
      </c>
      <c r="T518" t="n">
        <v>4</v>
      </c>
      <c r="U518" t="inlineStr">
        <is>
          <t>1997-11-18</t>
        </is>
      </c>
      <c r="V518" t="inlineStr">
        <is>
          <t>1997-11-18</t>
        </is>
      </c>
      <c r="W518" t="inlineStr">
        <is>
          <t>1992-11-19</t>
        </is>
      </c>
      <c r="X518" t="inlineStr">
        <is>
          <t>1992-11-19</t>
        </is>
      </c>
      <c r="Y518" t="n">
        <v>399</v>
      </c>
      <c r="Z518" t="n">
        <v>346</v>
      </c>
      <c r="AA518" t="n">
        <v>347</v>
      </c>
      <c r="AB518" t="n">
        <v>8</v>
      </c>
      <c r="AC518" t="n">
        <v>8</v>
      </c>
      <c r="AD518" t="n">
        <v>23</v>
      </c>
      <c r="AE518" t="n">
        <v>23</v>
      </c>
      <c r="AF518" t="n">
        <v>8</v>
      </c>
      <c r="AG518" t="n">
        <v>8</v>
      </c>
      <c r="AH518" t="n">
        <v>4</v>
      </c>
      <c r="AI518" t="n">
        <v>4</v>
      </c>
      <c r="AJ518" t="n">
        <v>8</v>
      </c>
      <c r="AK518" t="n">
        <v>8</v>
      </c>
      <c r="AL518" t="n">
        <v>7</v>
      </c>
      <c r="AM518" t="n">
        <v>7</v>
      </c>
      <c r="AN518" t="n">
        <v>0</v>
      </c>
      <c r="AO518" t="n">
        <v>0</v>
      </c>
      <c r="AP518" t="inlineStr">
        <is>
          <t>No</t>
        </is>
      </c>
      <c r="AQ518" t="inlineStr">
        <is>
          <t>Yes</t>
        </is>
      </c>
      <c r="AR518">
        <f>HYPERLINK("http://catalog.hathitrust.org/Record/000916410","HathiTrust Record")</f>
        <v/>
      </c>
      <c r="AS518">
        <f>HYPERLINK("https://creighton-primo.hosted.exlibrisgroup.com/primo-explore/search?tab=default_tab&amp;search_scope=EVERYTHING&amp;vid=01CRU&amp;lang=en_US&amp;offset=0&amp;query=any,contains,991001159349702656","Catalog Record")</f>
        <v/>
      </c>
      <c r="AT518">
        <f>HYPERLINK("http://www.worldcat.org/oclc/16872930","WorldCat Record")</f>
        <v/>
      </c>
      <c r="AU518" t="inlineStr">
        <is>
          <t>254683243:eng</t>
        </is>
      </c>
      <c r="AV518" t="inlineStr">
        <is>
          <t>16872930</t>
        </is>
      </c>
      <c r="AW518" t="inlineStr">
        <is>
          <t>991001159349702656</t>
        </is>
      </c>
      <c r="AX518" t="inlineStr">
        <is>
          <t>991001159349702656</t>
        </is>
      </c>
      <c r="AY518" t="inlineStr">
        <is>
          <t>2255904630002656</t>
        </is>
      </c>
      <c r="AZ518" t="inlineStr">
        <is>
          <t>BOOK</t>
        </is>
      </c>
      <c r="BB518" t="inlineStr">
        <is>
          <t>9780313242670</t>
        </is>
      </c>
      <c r="BC518" t="inlineStr">
        <is>
          <t>32285001407575</t>
        </is>
      </c>
      <c r="BD518" t="inlineStr">
        <is>
          <t>893444600</t>
        </is>
      </c>
    </row>
    <row r="519">
      <c r="A519" t="inlineStr">
        <is>
          <t>No</t>
        </is>
      </c>
      <c r="B519" t="inlineStr">
        <is>
          <t>LB1060.2 .W37 1991</t>
        </is>
      </c>
      <c r="C519" t="inlineStr">
        <is>
          <t>0                      LB 1060200W  37          1991</t>
        </is>
      </c>
      <c r="D519" t="inlineStr">
        <is>
          <t>Applied behavior analysis in the classroom : the development of student competence / by William D. Ward.</t>
        </is>
      </c>
      <c r="F519" t="inlineStr">
        <is>
          <t>No</t>
        </is>
      </c>
      <c r="G519" t="inlineStr">
        <is>
          <t>1</t>
        </is>
      </c>
      <c r="H519" t="inlineStr">
        <is>
          <t>No</t>
        </is>
      </c>
      <c r="I519" t="inlineStr">
        <is>
          <t>No</t>
        </is>
      </c>
      <c r="J519" t="inlineStr">
        <is>
          <t>0</t>
        </is>
      </c>
      <c r="K519" t="inlineStr">
        <is>
          <t>Ward, William D.</t>
        </is>
      </c>
      <c r="L519" t="inlineStr">
        <is>
          <t>Springfield, Ill., U.S.A. : C.C. Thomas, c1991.</t>
        </is>
      </c>
      <c r="M519" t="inlineStr">
        <is>
          <t>1991</t>
        </is>
      </c>
      <c r="O519" t="inlineStr">
        <is>
          <t>eng</t>
        </is>
      </c>
      <c r="P519" t="inlineStr">
        <is>
          <t>ilu</t>
        </is>
      </c>
      <c r="R519" t="inlineStr">
        <is>
          <t xml:space="preserve">LB </t>
        </is>
      </c>
      <c r="S519" t="n">
        <v>6</v>
      </c>
      <c r="T519" t="n">
        <v>6</v>
      </c>
      <c r="U519" t="inlineStr">
        <is>
          <t>1999-11-05</t>
        </is>
      </c>
      <c r="V519" t="inlineStr">
        <is>
          <t>1999-11-05</t>
        </is>
      </c>
      <c r="W519" t="inlineStr">
        <is>
          <t>1992-03-31</t>
        </is>
      </c>
      <c r="X519" t="inlineStr">
        <is>
          <t>1992-03-31</t>
        </is>
      </c>
      <c r="Y519" t="n">
        <v>169</v>
      </c>
      <c r="Z519" t="n">
        <v>142</v>
      </c>
      <c r="AA519" t="n">
        <v>148</v>
      </c>
      <c r="AB519" t="n">
        <v>1</v>
      </c>
      <c r="AC519" t="n">
        <v>1</v>
      </c>
      <c r="AD519" t="n">
        <v>6</v>
      </c>
      <c r="AE519" t="n">
        <v>6</v>
      </c>
      <c r="AF519" t="n">
        <v>1</v>
      </c>
      <c r="AG519" t="n">
        <v>1</v>
      </c>
      <c r="AH519" t="n">
        <v>1</v>
      </c>
      <c r="AI519" t="n">
        <v>1</v>
      </c>
      <c r="AJ519" t="n">
        <v>5</v>
      </c>
      <c r="AK519" t="n">
        <v>5</v>
      </c>
      <c r="AL519" t="n">
        <v>0</v>
      </c>
      <c r="AM519" t="n">
        <v>0</v>
      </c>
      <c r="AN519" t="n">
        <v>0</v>
      </c>
      <c r="AO519" t="n">
        <v>0</v>
      </c>
      <c r="AP519" t="inlineStr">
        <is>
          <t>No</t>
        </is>
      </c>
      <c r="AQ519" t="inlineStr">
        <is>
          <t>Yes</t>
        </is>
      </c>
      <c r="AR519">
        <f>HYPERLINK("http://catalog.hathitrust.org/Record/101933972","HathiTrust Record")</f>
        <v/>
      </c>
      <c r="AS519">
        <f>HYPERLINK("https://creighton-primo.hosted.exlibrisgroup.com/primo-explore/search?tab=default_tab&amp;search_scope=EVERYTHING&amp;vid=01CRU&amp;lang=en_US&amp;offset=0&amp;query=any,contains,991001901719702656","Catalog Record")</f>
        <v/>
      </c>
      <c r="AT519">
        <f>HYPERLINK("http://www.worldcat.org/oclc/24010895","WorldCat Record")</f>
        <v/>
      </c>
      <c r="AU519" t="inlineStr">
        <is>
          <t>25001898:eng</t>
        </is>
      </c>
      <c r="AV519" t="inlineStr">
        <is>
          <t>24010895</t>
        </is>
      </c>
      <c r="AW519" t="inlineStr">
        <is>
          <t>991001901719702656</t>
        </is>
      </c>
      <c r="AX519" t="inlineStr">
        <is>
          <t>991001901719702656</t>
        </is>
      </c>
      <c r="AY519" t="inlineStr">
        <is>
          <t>2264626990002656</t>
        </is>
      </c>
      <c r="AZ519" t="inlineStr">
        <is>
          <t>BOOK</t>
        </is>
      </c>
      <c r="BB519" t="inlineStr">
        <is>
          <t>9780398057565</t>
        </is>
      </c>
      <c r="BC519" t="inlineStr">
        <is>
          <t>32285001007367</t>
        </is>
      </c>
      <c r="BD519" t="inlineStr">
        <is>
          <t>893703424</t>
        </is>
      </c>
    </row>
    <row r="520">
      <c r="A520" t="inlineStr">
        <is>
          <t>No</t>
        </is>
      </c>
      <c r="B520" t="inlineStr">
        <is>
          <t>LB1062 .H75 1996</t>
        </is>
      </c>
      <c r="C520" t="inlineStr">
        <is>
          <t>0                      LB 1062000H  75          1996</t>
        </is>
      </c>
      <c r="D520" t="inlineStr">
        <is>
          <t>A workshop of the possible : nurturing children's creative development / Ruth Shagoury Hubbard.</t>
        </is>
      </c>
      <c r="F520" t="inlineStr">
        <is>
          <t>No</t>
        </is>
      </c>
      <c r="G520" t="inlineStr">
        <is>
          <t>1</t>
        </is>
      </c>
      <c r="H520" t="inlineStr">
        <is>
          <t>No</t>
        </is>
      </c>
      <c r="I520" t="inlineStr">
        <is>
          <t>No</t>
        </is>
      </c>
      <c r="J520" t="inlineStr">
        <is>
          <t>0</t>
        </is>
      </c>
      <c r="K520" t="inlineStr">
        <is>
          <t>Shagoury, Ruth, 1950-</t>
        </is>
      </c>
      <c r="L520" t="inlineStr">
        <is>
          <t>York, Me. : Stenhouse Publishers, c1996.</t>
        </is>
      </c>
      <c r="M520" t="inlineStr">
        <is>
          <t>1996</t>
        </is>
      </c>
      <c r="O520" t="inlineStr">
        <is>
          <t>eng</t>
        </is>
      </c>
      <c r="P520" t="inlineStr">
        <is>
          <t>meu</t>
        </is>
      </c>
      <c r="R520" t="inlineStr">
        <is>
          <t xml:space="preserve">LB </t>
        </is>
      </c>
      <c r="S520" t="n">
        <v>1</v>
      </c>
      <c r="T520" t="n">
        <v>1</v>
      </c>
      <c r="U520" t="inlineStr">
        <is>
          <t>2005-03-01</t>
        </is>
      </c>
      <c r="V520" t="inlineStr">
        <is>
          <t>2005-03-01</t>
        </is>
      </c>
      <c r="W520" t="inlineStr">
        <is>
          <t>1996-11-11</t>
        </is>
      </c>
      <c r="X520" t="inlineStr">
        <is>
          <t>1996-11-11</t>
        </is>
      </c>
      <c r="Y520" t="n">
        <v>410</v>
      </c>
      <c r="Z520" t="n">
        <v>370</v>
      </c>
      <c r="AA520" t="n">
        <v>678</v>
      </c>
      <c r="AB520" t="n">
        <v>1</v>
      </c>
      <c r="AC520" t="n">
        <v>4</v>
      </c>
      <c r="AD520" t="n">
        <v>13</v>
      </c>
      <c r="AE520" t="n">
        <v>20</v>
      </c>
      <c r="AF520" t="n">
        <v>6</v>
      </c>
      <c r="AG520" t="n">
        <v>9</v>
      </c>
      <c r="AH520" t="n">
        <v>4</v>
      </c>
      <c r="AI520" t="n">
        <v>5</v>
      </c>
      <c r="AJ520" t="n">
        <v>8</v>
      </c>
      <c r="AK520" t="n">
        <v>9</v>
      </c>
      <c r="AL520" t="n">
        <v>0</v>
      </c>
      <c r="AM520" t="n">
        <v>3</v>
      </c>
      <c r="AN520" t="n">
        <v>0</v>
      </c>
      <c r="AO520" t="n">
        <v>0</v>
      </c>
      <c r="AP520" t="inlineStr">
        <is>
          <t>No</t>
        </is>
      </c>
      <c r="AQ520" t="inlineStr">
        <is>
          <t>Yes</t>
        </is>
      </c>
      <c r="AR520">
        <f>HYPERLINK("http://catalog.hathitrust.org/Record/004538191","HathiTrust Record")</f>
        <v/>
      </c>
      <c r="AS520">
        <f>HYPERLINK("https://creighton-primo.hosted.exlibrisgroup.com/primo-explore/search?tab=default_tab&amp;search_scope=EVERYTHING&amp;vid=01CRU&amp;lang=en_US&amp;offset=0&amp;query=any,contains,991002555169702656","Catalog Record")</f>
        <v/>
      </c>
      <c r="AT520">
        <f>HYPERLINK("http://www.worldcat.org/oclc/33209088","WorldCat Record")</f>
        <v/>
      </c>
      <c r="AU520" t="inlineStr">
        <is>
          <t>20541460:eng</t>
        </is>
      </c>
      <c r="AV520" t="inlineStr">
        <is>
          <t>33209088</t>
        </is>
      </c>
      <c r="AW520" t="inlineStr">
        <is>
          <t>991002555169702656</t>
        </is>
      </c>
      <c r="AX520" t="inlineStr">
        <is>
          <t>991002555169702656</t>
        </is>
      </c>
      <c r="AY520" t="inlineStr">
        <is>
          <t>2262278670002656</t>
        </is>
      </c>
      <c r="AZ520" t="inlineStr">
        <is>
          <t>BOOK</t>
        </is>
      </c>
      <c r="BB520" t="inlineStr">
        <is>
          <t>9781571100078</t>
        </is>
      </c>
      <c r="BC520" t="inlineStr">
        <is>
          <t>32285002371176</t>
        </is>
      </c>
      <c r="BD520" t="inlineStr">
        <is>
          <t>893251372</t>
        </is>
      </c>
    </row>
    <row r="521">
      <c r="A521" t="inlineStr">
        <is>
          <t>No</t>
        </is>
      </c>
      <c r="B521" t="inlineStr">
        <is>
          <t>LB1062 .I395 1988</t>
        </is>
      </c>
      <c r="C521" t="inlineStr">
        <is>
          <t>0                      LB 1062000I  395         1988</t>
        </is>
      </c>
      <c r="D521" t="inlineStr">
        <is>
          <t>Imagination and education / Kieran Egan, Dan Nadaner, editors.</t>
        </is>
      </c>
      <c r="F521" t="inlineStr">
        <is>
          <t>No</t>
        </is>
      </c>
      <c r="G521" t="inlineStr">
        <is>
          <t>1</t>
        </is>
      </c>
      <c r="H521" t="inlineStr">
        <is>
          <t>No</t>
        </is>
      </c>
      <c r="I521" t="inlineStr">
        <is>
          <t>No</t>
        </is>
      </c>
      <c r="J521" t="inlineStr">
        <is>
          <t>0</t>
        </is>
      </c>
      <c r="L521" t="inlineStr">
        <is>
          <t>New York : Teachers College, Columbia University, c1988.</t>
        </is>
      </c>
      <c r="M521" t="inlineStr">
        <is>
          <t>1988</t>
        </is>
      </c>
      <c r="O521" t="inlineStr">
        <is>
          <t>eng</t>
        </is>
      </c>
      <c r="P521" t="inlineStr">
        <is>
          <t>nyu</t>
        </is>
      </c>
      <c r="R521" t="inlineStr">
        <is>
          <t xml:space="preserve">LB </t>
        </is>
      </c>
      <c r="S521" t="n">
        <v>1</v>
      </c>
      <c r="T521" t="n">
        <v>1</v>
      </c>
      <c r="U521" t="inlineStr">
        <is>
          <t>1993-09-19</t>
        </is>
      </c>
      <c r="V521" t="inlineStr">
        <is>
          <t>1993-09-19</t>
        </is>
      </c>
      <c r="W521" t="inlineStr">
        <is>
          <t>1992-11-19</t>
        </is>
      </c>
      <c r="X521" t="inlineStr">
        <is>
          <t>1992-11-19</t>
        </is>
      </c>
      <c r="Y521" t="n">
        <v>547</v>
      </c>
      <c r="Z521" t="n">
        <v>481</v>
      </c>
      <c r="AA521" t="n">
        <v>500</v>
      </c>
      <c r="AB521" t="n">
        <v>3</v>
      </c>
      <c r="AC521" t="n">
        <v>3</v>
      </c>
      <c r="AD521" t="n">
        <v>26</v>
      </c>
      <c r="AE521" t="n">
        <v>26</v>
      </c>
      <c r="AF521" t="n">
        <v>12</v>
      </c>
      <c r="AG521" t="n">
        <v>12</v>
      </c>
      <c r="AH521" t="n">
        <v>6</v>
      </c>
      <c r="AI521" t="n">
        <v>6</v>
      </c>
      <c r="AJ521" t="n">
        <v>14</v>
      </c>
      <c r="AK521" t="n">
        <v>14</v>
      </c>
      <c r="AL521" t="n">
        <v>2</v>
      </c>
      <c r="AM521" t="n">
        <v>2</v>
      </c>
      <c r="AN521" t="n">
        <v>0</v>
      </c>
      <c r="AO521" t="n">
        <v>0</v>
      </c>
      <c r="AP521" t="inlineStr">
        <is>
          <t>No</t>
        </is>
      </c>
      <c r="AQ521" t="inlineStr">
        <is>
          <t>No</t>
        </is>
      </c>
      <c r="AS521">
        <f>HYPERLINK("https://creighton-primo.hosted.exlibrisgroup.com/primo-explore/search?tab=default_tab&amp;search_scope=EVERYTHING&amp;vid=01CRU&amp;lang=en_US&amp;offset=0&amp;query=any,contains,991001108139702656","Catalog Record")</f>
        <v/>
      </c>
      <c r="AT521">
        <f>HYPERLINK("http://www.worldcat.org/oclc/16406969","WorldCat Record")</f>
        <v/>
      </c>
      <c r="AU521" t="inlineStr">
        <is>
          <t>369262471:eng</t>
        </is>
      </c>
      <c r="AV521" t="inlineStr">
        <is>
          <t>16406969</t>
        </is>
      </c>
      <c r="AW521" t="inlineStr">
        <is>
          <t>991001108139702656</t>
        </is>
      </c>
      <c r="AX521" t="inlineStr">
        <is>
          <t>991001108139702656</t>
        </is>
      </c>
      <c r="AY521" t="inlineStr">
        <is>
          <t>2266057240002656</t>
        </is>
      </c>
      <c r="AZ521" t="inlineStr">
        <is>
          <t>BOOK</t>
        </is>
      </c>
      <c r="BB521" t="inlineStr">
        <is>
          <t>9780807728789</t>
        </is>
      </c>
      <c r="BC521" t="inlineStr">
        <is>
          <t>32285001407633</t>
        </is>
      </c>
      <c r="BD521" t="inlineStr">
        <is>
          <t>893684037</t>
        </is>
      </c>
    </row>
    <row r="522">
      <c r="A522" t="inlineStr">
        <is>
          <t>No</t>
        </is>
      </c>
      <c r="B522" t="inlineStr">
        <is>
          <t>LB1062 .S312 1984</t>
        </is>
      </c>
      <c r="C522" t="inlineStr">
        <is>
          <t>0                      LB 1062000S  312         1984</t>
        </is>
      </c>
      <c r="D522" t="inlineStr">
        <is>
          <t>Teaching creativity through metaphor : an integrated brain approach / Donald A. Sanders, Judith A. Sanders.</t>
        </is>
      </c>
      <c r="F522" t="inlineStr">
        <is>
          <t>No</t>
        </is>
      </c>
      <c r="G522" t="inlineStr">
        <is>
          <t>1</t>
        </is>
      </c>
      <c r="H522" t="inlineStr">
        <is>
          <t>No</t>
        </is>
      </c>
      <c r="I522" t="inlineStr">
        <is>
          <t>No</t>
        </is>
      </c>
      <c r="J522" t="inlineStr">
        <is>
          <t>0</t>
        </is>
      </c>
      <c r="K522" t="inlineStr">
        <is>
          <t>Sanders, Donald A.</t>
        </is>
      </c>
      <c r="L522" t="inlineStr">
        <is>
          <t>New York : Longman, c1984.</t>
        </is>
      </c>
      <c r="M522" t="inlineStr">
        <is>
          <t>1984</t>
        </is>
      </c>
      <c r="O522" t="inlineStr">
        <is>
          <t>eng</t>
        </is>
      </c>
      <c r="P522" t="inlineStr">
        <is>
          <t>nyu</t>
        </is>
      </c>
      <c r="Q522" t="inlineStr">
        <is>
          <t>Contemporary topics for teachers series</t>
        </is>
      </c>
      <c r="R522" t="inlineStr">
        <is>
          <t xml:space="preserve">LB </t>
        </is>
      </c>
      <c r="S522" t="n">
        <v>4</v>
      </c>
      <c r="T522" t="n">
        <v>4</v>
      </c>
      <c r="U522" t="inlineStr">
        <is>
          <t>1996-08-20</t>
        </is>
      </c>
      <c r="V522" t="inlineStr">
        <is>
          <t>1996-08-20</t>
        </is>
      </c>
      <c r="W522" t="inlineStr">
        <is>
          <t>1990-08-03</t>
        </is>
      </c>
      <c r="X522" t="inlineStr">
        <is>
          <t>1990-08-03</t>
        </is>
      </c>
      <c r="Y522" t="n">
        <v>471</v>
      </c>
      <c r="Z522" t="n">
        <v>431</v>
      </c>
      <c r="AA522" t="n">
        <v>433</v>
      </c>
      <c r="AB522" t="n">
        <v>6</v>
      </c>
      <c r="AC522" t="n">
        <v>6</v>
      </c>
      <c r="AD522" t="n">
        <v>24</v>
      </c>
      <c r="AE522" t="n">
        <v>24</v>
      </c>
      <c r="AF522" t="n">
        <v>12</v>
      </c>
      <c r="AG522" t="n">
        <v>12</v>
      </c>
      <c r="AH522" t="n">
        <v>3</v>
      </c>
      <c r="AI522" t="n">
        <v>3</v>
      </c>
      <c r="AJ522" t="n">
        <v>8</v>
      </c>
      <c r="AK522" t="n">
        <v>8</v>
      </c>
      <c r="AL522" t="n">
        <v>5</v>
      </c>
      <c r="AM522" t="n">
        <v>5</v>
      </c>
      <c r="AN522" t="n">
        <v>0</v>
      </c>
      <c r="AO522" t="n">
        <v>0</v>
      </c>
      <c r="AP522" t="inlineStr">
        <is>
          <t>No</t>
        </is>
      </c>
      <c r="AQ522" t="inlineStr">
        <is>
          <t>Yes</t>
        </is>
      </c>
      <c r="AR522">
        <f>HYPERLINK("http://catalog.hathitrust.org/Record/004425911","HathiTrust Record")</f>
        <v/>
      </c>
      <c r="AS522">
        <f>HYPERLINK("https://creighton-primo.hosted.exlibrisgroup.com/primo-explore/search?tab=default_tab&amp;search_scope=EVERYTHING&amp;vid=01CRU&amp;lang=en_US&amp;offset=0&amp;query=any,contains,991000338109702656","Catalog Record")</f>
        <v/>
      </c>
      <c r="AT522">
        <f>HYPERLINK("http://www.worldcat.org/oclc/10230938","WorldCat Record")</f>
        <v/>
      </c>
      <c r="AU522" t="inlineStr">
        <is>
          <t>896346779:eng</t>
        </is>
      </c>
      <c r="AV522" t="inlineStr">
        <is>
          <t>10230938</t>
        </is>
      </c>
      <c r="AW522" t="inlineStr">
        <is>
          <t>991000338109702656</t>
        </is>
      </c>
      <c r="AX522" t="inlineStr">
        <is>
          <t>991000338109702656</t>
        </is>
      </c>
      <c r="AY522" t="inlineStr">
        <is>
          <t>2259266530002656</t>
        </is>
      </c>
      <c r="AZ522" t="inlineStr">
        <is>
          <t>BOOK</t>
        </is>
      </c>
      <c r="BB522" t="inlineStr">
        <is>
          <t>9780582281851</t>
        </is>
      </c>
      <c r="BC522" t="inlineStr">
        <is>
          <t>32285000263748</t>
        </is>
      </c>
      <c r="BD522" t="inlineStr">
        <is>
          <t>893871574</t>
        </is>
      </c>
    </row>
    <row r="523">
      <c r="A523" t="inlineStr">
        <is>
          <t>No</t>
        </is>
      </c>
      <c r="B523" t="inlineStr">
        <is>
          <t>LB1062 .S46</t>
        </is>
      </c>
      <c r="C523" t="inlineStr">
        <is>
          <t>0                      LB 1062000S  46</t>
        </is>
      </c>
      <c r="D523" t="inlineStr">
        <is>
          <t>Teaching creative behavior : how to teach creativity to children of all ages / Doris J. Shallcross ; [ill. by Terez Waldoch].</t>
        </is>
      </c>
      <c r="F523" t="inlineStr">
        <is>
          <t>No</t>
        </is>
      </c>
      <c r="G523" t="inlineStr">
        <is>
          <t>1</t>
        </is>
      </c>
      <c r="H523" t="inlineStr">
        <is>
          <t>No</t>
        </is>
      </c>
      <c r="I523" t="inlineStr">
        <is>
          <t>No</t>
        </is>
      </c>
      <c r="J523" t="inlineStr">
        <is>
          <t>0</t>
        </is>
      </c>
      <c r="K523" t="inlineStr">
        <is>
          <t>Shallcross, Doris J.</t>
        </is>
      </c>
      <c r="L523" t="inlineStr">
        <is>
          <t>Englewood Cliffs, N.J. : Prentice-Hall, c1981.</t>
        </is>
      </c>
      <c r="M523" t="inlineStr">
        <is>
          <t>1981</t>
        </is>
      </c>
      <c r="O523" t="inlineStr">
        <is>
          <t>eng</t>
        </is>
      </c>
      <c r="P523" t="inlineStr">
        <is>
          <t>nju</t>
        </is>
      </c>
      <c r="Q523" t="inlineStr">
        <is>
          <t>A Spectrum book</t>
        </is>
      </c>
      <c r="R523" t="inlineStr">
        <is>
          <t xml:space="preserve">LB </t>
        </is>
      </c>
      <c r="S523" t="n">
        <v>3</v>
      </c>
      <c r="T523" t="n">
        <v>3</v>
      </c>
      <c r="U523" t="inlineStr">
        <is>
          <t>1997-11-30</t>
        </is>
      </c>
      <c r="V523" t="inlineStr">
        <is>
          <t>1997-11-30</t>
        </is>
      </c>
      <c r="W523" t="inlineStr">
        <is>
          <t>1992-11-19</t>
        </is>
      </c>
      <c r="X523" t="inlineStr">
        <is>
          <t>1992-11-19</t>
        </is>
      </c>
      <c r="Y523" t="n">
        <v>515</v>
      </c>
      <c r="Z523" t="n">
        <v>429</v>
      </c>
      <c r="AA523" t="n">
        <v>485</v>
      </c>
      <c r="AB523" t="n">
        <v>4</v>
      </c>
      <c r="AC523" t="n">
        <v>6</v>
      </c>
      <c r="AD523" t="n">
        <v>9</v>
      </c>
      <c r="AE523" t="n">
        <v>13</v>
      </c>
      <c r="AF523" t="n">
        <v>5</v>
      </c>
      <c r="AG523" t="n">
        <v>7</v>
      </c>
      <c r="AH523" t="n">
        <v>0</v>
      </c>
      <c r="AI523" t="n">
        <v>0</v>
      </c>
      <c r="AJ523" t="n">
        <v>2</v>
      </c>
      <c r="AK523" t="n">
        <v>2</v>
      </c>
      <c r="AL523" t="n">
        <v>3</v>
      </c>
      <c r="AM523" t="n">
        <v>5</v>
      </c>
      <c r="AN523" t="n">
        <v>0</v>
      </c>
      <c r="AO523" t="n">
        <v>0</v>
      </c>
      <c r="AP523" t="inlineStr">
        <is>
          <t>No</t>
        </is>
      </c>
      <c r="AQ523" t="inlineStr">
        <is>
          <t>Yes</t>
        </is>
      </c>
      <c r="AR523">
        <f>HYPERLINK("http://catalog.hathitrust.org/Record/007472069","HathiTrust Record")</f>
        <v/>
      </c>
      <c r="AS523">
        <f>HYPERLINK("https://creighton-primo.hosted.exlibrisgroup.com/primo-explore/search?tab=default_tab&amp;search_scope=EVERYTHING&amp;vid=01CRU&amp;lang=en_US&amp;offset=0&amp;query=any,contains,991005028169702656","Catalog Record")</f>
        <v/>
      </c>
      <c r="AT523">
        <f>HYPERLINK("http://www.worldcat.org/oclc/6708056","WorldCat Record")</f>
        <v/>
      </c>
      <c r="AU523" t="inlineStr">
        <is>
          <t>1808979498:eng</t>
        </is>
      </c>
      <c r="AV523" t="inlineStr">
        <is>
          <t>6708056</t>
        </is>
      </c>
      <c r="AW523" t="inlineStr">
        <is>
          <t>991005028169702656</t>
        </is>
      </c>
      <c r="AX523" t="inlineStr">
        <is>
          <t>991005028169702656</t>
        </is>
      </c>
      <c r="AY523" t="inlineStr">
        <is>
          <t>2255045830002656</t>
        </is>
      </c>
      <c r="AZ523" t="inlineStr">
        <is>
          <t>BOOK</t>
        </is>
      </c>
      <c r="BB523" t="inlineStr">
        <is>
          <t>9780138919375</t>
        </is>
      </c>
      <c r="BC523" t="inlineStr">
        <is>
          <t>32285001407658</t>
        </is>
      </c>
      <c r="BD523" t="inlineStr">
        <is>
          <t>893248230</t>
        </is>
      </c>
    </row>
    <row r="524">
      <c r="A524" t="inlineStr">
        <is>
          <t>No</t>
        </is>
      </c>
      <c r="B524" t="inlineStr">
        <is>
          <t>LB1062 .T87</t>
        </is>
      </c>
      <c r="C524" t="inlineStr">
        <is>
          <t>0                      LB 1062000T  87</t>
        </is>
      </c>
      <c r="D524" t="inlineStr">
        <is>
          <t>Creative activities resource book for elementary school teachers / Thomas N. Turner.</t>
        </is>
      </c>
      <c r="F524" t="inlineStr">
        <is>
          <t>No</t>
        </is>
      </c>
      <c r="G524" t="inlineStr">
        <is>
          <t>1</t>
        </is>
      </c>
      <c r="H524" t="inlineStr">
        <is>
          <t>No</t>
        </is>
      </c>
      <c r="I524" t="inlineStr">
        <is>
          <t>No</t>
        </is>
      </c>
      <c r="J524" t="inlineStr">
        <is>
          <t>0</t>
        </is>
      </c>
      <c r="K524" t="inlineStr">
        <is>
          <t>Turner, Thomas N.</t>
        </is>
      </c>
      <c r="L524" t="inlineStr">
        <is>
          <t>Reston, Va. : Reston Pub. Co., c1978.</t>
        </is>
      </c>
      <c r="M524" t="inlineStr">
        <is>
          <t>1978</t>
        </is>
      </c>
      <c r="O524" t="inlineStr">
        <is>
          <t>eng</t>
        </is>
      </c>
      <c r="P524" t="inlineStr">
        <is>
          <t>vau</t>
        </is>
      </c>
      <c r="R524" t="inlineStr">
        <is>
          <t xml:space="preserve">LB </t>
        </is>
      </c>
      <c r="S524" t="n">
        <v>3</v>
      </c>
      <c r="T524" t="n">
        <v>3</v>
      </c>
      <c r="U524" t="inlineStr">
        <is>
          <t>1999-01-04</t>
        </is>
      </c>
      <c r="V524" t="inlineStr">
        <is>
          <t>1999-01-04</t>
        </is>
      </c>
      <c r="W524" t="inlineStr">
        <is>
          <t>1992-11-24</t>
        </is>
      </c>
      <c r="X524" t="inlineStr">
        <is>
          <t>1992-11-24</t>
        </is>
      </c>
      <c r="Y524" t="n">
        <v>193</v>
      </c>
      <c r="Z524" t="n">
        <v>164</v>
      </c>
      <c r="AA524" t="n">
        <v>165</v>
      </c>
      <c r="AB524" t="n">
        <v>3</v>
      </c>
      <c r="AC524" t="n">
        <v>3</v>
      </c>
      <c r="AD524" t="n">
        <v>9</v>
      </c>
      <c r="AE524" t="n">
        <v>9</v>
      </c>
      <c r="AF524" t="n">
        <v>3</v>
      </c>
      <c r="AG524" t="n">
        <v>3</v>
      </c>
      <c r="AH524" t="n">
        <v>1</v>
      </c>
      <c r="AI524" t="n">
        <v>1</v>
      </c>
      <c r="AJ524" t="n">
        <v>5</v>
      </c>
      <c r="AK524" t="n">
        <v>5</v>
      </c>
      <c r="AL524" t="n">
        <v>2</v>
      </c>
      <c r="AM524" t="n">
        <v>2</v>
      </c>
      <c r="AN524" t="n">
        <v>0</v>
      </c>
      <c r="AO524" t="n">
        <v>0</v>
      </c>
      <c r="AP524" t="inlineStr">
        <is>
          <t>No</t>
        </is>
      </c>
      <c r="AQ524" t="inlineStr">
        <is>
          <t>Yes</t>
        </is>
      </c>
      <c r="AR524">
        <f>HYPERLINK("http://catalog.hathitrust.org/Record/102006457","HathiTrust Record")</f>
        <v/>
      </c>
      <c r="AS524">
        <f>HYPERLINK("https://creighton-primo.hosted.exlibrisgroup.com/primo-explore/search?tab=default_tab&amp;search_scope=EVERYTHING&amp;vid=01CRU&amp;lang=en_US&amp;offset=0&amp;query=any,contains,991004482459702656","Catalog Record")</f>
        <v/>
      </c>
      <c r="AT524">
        <f>HYPERLINK("http://www.worldcat.org/oclc/3627937","WorldCat Record")</f>
        <v/>
      </c>
      <c r="AU524" t="inlineStr">
        <is>
          <t>2533420802:eng</t>
        </is>
      </c>
      <c r="AV524" t="inlineStr">
        <is>
          <t>3627937</t>
        </is>
      </c>
      <c r="AW524" t="inlineStr">
        <is>
          <t>991004482459702656</t>
        </is>
      </c>
      <c r="AX524" t="inlineStr">
        <is>
          <t>991004482459702656</t>
        </is>
      </c>
      <c r="AY524" t="inlineStr">
        <is>
          <t>2269222860002656</t>
        </is>
      </c>
      <c r="AZ524" t="inlineStr">
        <is>
          <t>BOOK</t>
        </is>
      </c>
      <c r="BB524" t="inlineStr">
        <is>
          <t>9780879092054</t>
        </is>
      </c>
      <c r="BC524" t="inlineStr">
        <is>
          <t>32285001409381</t>
        </is>
      </c>
      <c r="BD524" t="inlineStr">
        <is>
          <t>893706480</t>
        </is>
      </c>
    </row>
    <row r="525">
      <c r="A525" t="inlineStr">
        <is>
          <t>No</t>
        </is>
      </c>
      <c r="B525" t="inlineStr">
        <is>
          <t>LB1062.5 .E44 1990</t>
        </is>
      </c>
      <c r="C525" t="inlineStr">
        <is>
          <t>0                      LB 1062500E  44          1990</t>
        </is>
      </c>
      <c r="D525" t="inlineStr">
        <is>
          <t>Problem solving/decision making for social and academic success / by Maurice J. Elias and Steven E. Tobias.</t>
        </is>
      </c>
      <c r="F525" t="inlineStr">
        <is>
          <t>No</t>
        </is>
      </c>
      <c r="G525" t="inlineStr">
        <is>
          <t>1</t>
        </is>
      </c>
      <c r="H525" t="inlineStr">
        <is>
          <t>No</t>
        </is>
      </c>
      <c r="I525" t="inlineStr">
        <is>
          <t>No</t>
        </is>
      </c>
      <c r="J525" t="inlineStr">
        <is>
          <t>0</t>
        </is>
      </c>
      <c r="K525" t="inlineStr">
        <is>
          <t>Elias, Maurice J.</t>
        </is>
      </c>
      <c r="L525" t="inlineStr">
        <is>
          <t>Washington, D.C. : National Education Association, c1990.</t>
        </is>
      </c>
      <c r="M525" t="inlineStr">
        <is>
          <t>1990</t>
        </is>
      </c>
      <c r="O525" t="inlineStr">
        <is>
          <t>eng</t>
        </is>
      </c>
      <c r="P525" t="inlineStr">
        <is>
          <t>dcu</t>
        </is>
      </c>
      <c r="Q525" t="inlineStr">
        <is>
          <t>Aspects of learning</t>
        </is>
      </c>
      <c r="R525" t="inlineStr">
        <is>
          <t xml:space="preserve">LB </t>
        </is>
      </c>
      <c r="S525" t="n">
        <v>4</v>
      </c>
      <c r="T525" t="n">
        <v>4</v>
      </c>
      <c r="U525" t="inlineStr">
        <is>
          <t>2000-10-23</t>
        </is>
      </c>
      <c r="V525" t="inlineStr">
        <is>
          <t>2000-10-23</t>
        </is>
      </c>
      <c r="W525" t="inlineStr">
        <is>
          <t>1991-01-14</t>
        </is>
      </c>
      <c r="X525" t="inlineStr">
        <is>
          <t>1991-01-14</t>
        </is>
      </c>
      <c r="Y525" t="n">
        <v>419</v>
      </c>
      <c r="Z525" t="n">
        <v>407</v>
      </c>
      <c r="AA525" t="n">
        <v>409</v>
      </c>
      <c r="AB525" t="n">
        <v>6</v>
      </c>
      <c r="AC525" t="n">
        <v>6</v>
      </c>
      <c r="AD525" t="n">
        <v>20</v>
      </c>
      <c r="AE525" t="n">
        <v>20</v>
      </c>
      <c r="AF525" t="n">
        <v>7</v>
      </c>
      <c r="AG525" t="n">
        <v>7</v>
      </c>
      <c r="AH525" t="n">
        <v>3</v>
      </c>
      <c r="AI525" t="n">
        <v>3</v>
      </c>
      <c r="AJ525" t="n">
        <v>9</v>
      </c>
      <c r="AK525" t="n">
        <v>9</v>
      </c>
      <c r="AL525" t="n">
        <v>5</v>
      </c>
      <c r="AM525" t="n">
        <v>5</v>
      </c>
      <c r="AN525" t="n">
        <v>0</v>
      </c>
      <c r="AO525" t="n">
        <v>0</v>
      </c>
      <c r="AP525" t="inlineStr">
        <is>
          <t>No</t>
        </is>
      </c>
      <c r="AQ525" t="inlineStr">
        <is>
          <t>No</t>
        </is>
      </c>
      <c r="AS525">
        <f>HYPERLINK("https://creighton-primo.hosted.exlibrisgroup.com/primo-explore/search?tab=default_tab&amp;search_scope=EVERYTHING&amp;vid=01CRU&amp;lang=en_US&amp;offset=0&amp;query=any,contains,991001678489702656","Catalog Record")</f>
        <v/>
      </c>
      <c r="AT525">
        <f>HYPERLINK("http://www.worldcat.org/oclc/21335472","WorldCat Record")</f>
        <v/>
      </c>
      <c r="AU525" t="inlineStr">
        <is>
          <t>1075994:eng</t>
        </is>
      </c>
      <c r="AV525" t="inlineStr">
        <is>
          <t>21335472</t>
        </is>
      </c>
      <c r="AW525" t="inlineStr">
        <is>
          <t>991001678489702656</t>
        </is>
      </c>
      <c r="AX525" t="inlineStr">
        <is>
          <t>991001678489702656</t>
        </is>
      </c>
      <c r="AY525" t="inlineStr">
        <is>
          <t>2263892350002656</t>
        </is>
      </c>
      <c r="AZ525" t="inlineStr">
        <is>
          <t>BOOK</t>
        </is>
      </c>
      <c r="BB525" t="inlineStr">
        <is>
          <t>9780810630079</t>
        </is>
      </c>
      <c r="BC525" t="inlineStr">
        <is>
          <t>32285000298512</t>
        </is>
      </c>
      <c r="BD525" t="inlineStr">
        <is>
          <t>893433028</t>
        </is>
      </c>
    </row>
    <row r="526">
      <c r="A526" t="inlineStr">
        <is>
          <t>No</t>
        </is>
      </c>
      <c r="B526" t="inlineStr">
        <is>
          <t>LB1062.5 .H44 1985</t>
        </is>
      </c>
      <c r="C526" t="inlineStr">
        <is>
          <t>0                      LB 1062500H  44          1985</t>
        </is>
      </c>
      <c r="D526" t="inlineStr">
        <is>
          <t>Critical thinking skills / Marcia Heiman, Joshua Slomianko.</t>
        </is>
      </c>
      <c r="F526" t="inlineStr">
        <is>
          <t>No</t>
        </is>
      </c>
      <c r="G526" t="inlineStr">
        <is>
          <t>1</t>
        </is>
      </c>
      <c r="H526" t="inlineStr">
        <is>
          <t>No</t>
        </is>
      </c>
      <c r="I526" t="inlineStr">
        <is>
          <t>No</t>
        </is>
      </c>
      <c r="J526" t="inlineStr">
        <is>
          <t>0</t>
        </is>
      </c>
      <c r="K526" t="inlineStr">
        <is>
          <t>Heiman, Marcia.</t>
        </is>
      </c>
      <c r="L526" t="inlineStr">
        <is>
          <t>Washington, D.C. : National Education Association, c1985.</t>
        </is>
      </c>
      <c r="M526" t="inlineStr">
        <is>
          <t>1985</t>
        </is>
      </c>
      <c r="O526" t="inlineStr">
        <is>
          <t>eng</t>
        </is>
      </c>
      <c r="P526" t="inlineStr">
        <is>
          <t>dcu</t>
        </is>
      </c>
      <c r="Q526" t="inlineStr">
        <is>
          <t>Analysis and action series</t>
        </is>
      </c>
      <c r="R526" t="inlineStr">
        <is>
          <t xml:space="preserve">LB </t>
        </is>
      </c>
      <c r="S526" t="n">
        <v>4</v>
      </c>
      <c r="T526" t="n">
        <v>4</v>
      </c>
      <c r="U526" t="inlineStr">
        <is>
          <t>2001-11-08</t>
        </is>
      </c>
      <c r="V526" t="inlineStr">
        <is>
          <t>2001-11-08</t>
        </is>
      </c>
      <c r="W526" t="inlineStr">
        <is>
          <t>1992-03-13</t>
        </is>
      </c>
      <c r="X526" t="inlineStr">
        <is>
          <t>1992-03-13</t>
        </is>
      </c>
      <c r="Y526" t="n">
        <v>481</v>
      </c>
      <c r="Z526" t="n">
        <v>469</v>
      </c>
      <c r="AA526" t="n">
        <v>637</v>
      </c>
      <c r="AB526" t="n">
        <v>5</v>
      </c>
      <c r="AC526" t="n">
        <v>9</v>
      </c>
      <c r="AD526" t="n">
        <v>16</v>
      </c>
      <c r="AE526" t="n">
        <v>25</v>
      </c>
      <c r="AF526" t="n">
        <v>6</v>
      </c>
      <c r="AG526" t="n">
        <v>9</v>
      </c>
      <c r="AH526" t="n">
        <v>3</v>
      </c>
      <c r="AI526" t="n">
        <v>4</v>
      </c>
      <c r="AJ526" t="n">
        <v>7</v>
      </c>
      <c r="AK526" t="n">
        <v>10</v>
      </c>
      <c r="AL526" t="n">
        <v>4</v>
      </c>
      <c r="AM526" t="n">
        <v>7</v>
      </c>
      <c r="AN526" t="n">
        <v>0</v>
      </c>
      <c r="AO526" t="n">
        <v>0</v>
      </c>
      <c r="AP526" t="inlineStr">
        <is>
          <t>No</t>
        </is>
      </c>
      <c r="AQ526" t="inlineStr">
        <is>
          <t>Yes</t>
        </is>
      </c>
      <c r="AR526">
        <f>HYPERLINK("http://catalog.hathitrust.org/Record/000819761","HathiTrust Record")</f>
        <v/>
      </c>
      <c r="AS526">
        <f>HYPERLINK("https://creighton-primo.hosted.exlibrisgroup.com/primo-explore/search?tab=default_tab&amp;search_scope=EVERYTHING&amp;vid=01CRU&amp;lang=en_US&amp;offset=0&amp;query=any,contains,991000605949702656","Catalog Record")</f>
        <v/>
      </c>
      <c r="AT526">
        <f>HYPERLINK("http://www.worldcat.org/oclc/11866736","WorldCat Record")</f>
        <v/>
      </c>
      <c r="AU526" t="inlineStr">
        <is>
          <t>3901017200:eng</t>
        </is>
      </c>
      <c r="AV526" t="inlineStr">
        <is>
          <t>11866736</t>
        </is>
      </c>
      <c r="AW526" t="inlineStr">
        <is>
          <t>991000605949702656</t>
        </is>
      </c>
      <c r="AX526" t="inlineStr">
        <is>
          <t>991000605949702656</t>
        </is>
      </c>
      <c r="AY526" t="inlineStr">
        <is>
          <t>2264975940002656</t>
        </is>
      </c>
      <c r="AZ526" t="inlineStr">
        <is>
          <t>BOOK</t>
        </is>
      </c>
      <c r="BB526" t="inlineStr">
        <is>
          <t>9780810616936</t>
        </is>
      </c>
      <c r="BC526" t="inlineStr">
        <is>
          <t>32285000999549</t>
        </is>
      </c>
      <c r="BD526" t="inlineStr">
        <is>
          <t>893601899</t>
        </is>
      </c>
    </row>
    <row r="527">
      <c r="A527" t="inlineStr">
        <is>
          <t>No</t>
        </is>
      </c>
      <c r="B527" t="inlineStr">
        <is>
          <t>LB1062.5 .S76 1987</t>
        </is>
      </c>
      <c r="C527" t="inlineStr">
        <is>
          <t>0                      LB 1062500S  76          1987</t>
        </is>
      </c>
      <c r="D527" t="inlineStr">
        <is>
          <t>Strategic decision making : key questions and indicators for trustees / Carol Frances ... [et al]</t>
        </is>
      </c>
      <c r="F527" t="inlineStr">
        <is>
          <t>No</t>
        </is>
      </c>
      <c r="G527" t="inlineStr">
        <is>
          <t>1</t>
        </is>
      </c>
      <c r="H527" t="inlineStr">
        <is>
          <t>No</t>
        </is>
      </c>
      <c r="I527" t="inlineStr">
        <is>
          <t>No</t>
        </is>
      </c>
      <c r="J527" t="inlineStr">
        <is>
          <t>0</t>
        </is>
      </c>
      <c r="L527" t="inlineStr">
        <is>
          <t>Washington, D. C. : Association of Governing Boards of Universities and Colleges, 1987.</t>
        </is>
      </c>
      <c r="M527" t="inlineStr">
        <is>
          <t>1987</t>
        </is>
      </c>
      <c r="O527" t="inlineStr">
        <is>
          <t>eng</t>
        </is>
      </c>
      <c r="P527" t="inlineStr">
        <is>
          <t>dcu</t>
        </is>
      </c>
      <c r="R527" t="inlineStr">
        <is>
          <t xml:space="preserve">LB </t>
        </is>
      </c>
      <c r="S527" t="n">
        <v>1</v>
      </c>
      <c r="T527" t="n">
        <v>1</v>
      </c>
      <c r="U527" t="inlineStr">
        <is>
          <t>1992-08-25</t>
        </is>
      </c>
      <c r="V527" t="inlineStr">
        <is>
          <t>1992-08-25</t>
        </is>
      </c>
      <c r="W527" t="inlineStr">
        <is>
          <t>1992-08-25</t>
        </is>
      </c>
      <c r="X527" t="inlineStr">
        <is>
          <t>1992-08-25</t>
        </is>
      </c>
      <c r="Y527" t="n">
        <v>41</v>
      </c>
      <c r="Z527" t="n">
        <v>38</v>
      </c>
      <c r="AA527" t="n">
        <v>39</v>
      </c>
      <c r="AB527" t="n">
        <v>1</v>
      </c>
      <c r="AC527" t="n">
        <v>1</v>
      </c>
      <c r="AD527" t="n">
        <v>1</v>
      </c>
      <c r="AE527" t="n">
        <v>1</v>
      </c>
      <c r="AF527" t="n">
        <v>0</v>
      </c>
      <c r="AG527" t="n">
        <v>0</v>
      </c>
      <c r="AH527" t="n">
        <v>0</v>
      </c>
      <c r="AI527" t="n">
        <v>0</v>
      </c>
      <c r="AJ527" t="n">
        <v>1</v>
      </c>
      <c r="AK527" t="n">
        <v>1</v>
      </c>
      <c r="AL527" t="n">
        <v>0</v>
      </c>
      <c r="AM527" t="n">
        <v>0</v>
      </c>
      <c r="AN527" t="n">
        <v>0</v>
      </c>
      <c r="AO527" t="n">
        <v>0</v>
      </c>
      <c r="AP527" t="inlineStr">
        <is>
          <t>No</t>
        </is>
      </c>
      <c r="AQ527" t="inlineStr">
        <is>
          <t>No</t>
        </is>
      </c>
      <c r="AS527">
        <f>HYPERLINK("https://creighton-primo.hosted.exlibrisgroup.com/primo-explore/search?tab=default_tab&amp;search_scope=EVERYTHING&amp;vid=01CRU&amp;lang=en_US&amp;offset=0&amp;query=any,contains,991001259679702656","Catalog Record")</f>
        <v/>
      </c>
      <c r="AT527">
        <f>HYPERLINK("http://www.worldcat.org/oclc/17765303","WorldCat Record")</f>
        <v/>
      </c>
      <c r="AU527" t="inlineStr">
        <is>
          <t>5548606139:eng</t>
        </is>
      </c>
      <c r="AV527" t="inlineStr">
        <is>
          <t>17765303</t>
        </is>
      </c>
      <c r="AW527" t="inlineStr">
        <is>
          <t>991001259679702656</t>
        </is>
      </c>
      <c r="AX527" t="inlineStr">
        <is>
          <t>991001259679702656</t>
        </is>
      </c>
      <c r="AY527" t="inlineStr">
        <is>
          <t>2254936530002656</t>
        </is>
      </c>
      <c r="AZ527" t="inlineStr">
        <is>
          <t>BOOK</t>
        </is>
      </c>
      <c r="BC527" t="inlineStr">
        <is>
          <t>32285001198620</t>
        </is>
      </c>
      <c r="BD527" t="inlineStr">
        <is>
          <t>893684198</t>
        </is>
      </c>
    </row>
    <row r="528">
      <c r="A528" t="inlineStr">
        <is>
          <t>No</t>
        </is>
      </c>
      <c r="B528" t="inlineStr">
        <is>
          <t>LB1062.6 .C44 2007</t>
        </is>
      </c>
      <c r="C528" t="inlineStr">
        <is>
          <t>0                      LB 1062600C  44          2007</t>
        </is>
      </c>
      <c r="D528" t="inlineStr">
        <is>
          <t>"It's being done" : academic success in unexpected schools / Karin Chenoweth.</t>
        </is>
      </c>
      <c r="F528" t="inlineStr">
        <is>
          <t>No</t>
        </is>
      </c>
      <c r="G528" t="inlineStr">
        <is>
          <t>1</t>
        </is>
      </c>
      <c r="H528" t="inlineStr">
        <is>
          <t>No</t>
        </is>
      </c>
      <c r="I528" t="inlineStr">
        <is>
          <t>No</t>
        </is>
      </c>
      <c r="J528" t="inlineStr">
        <is>
          <t>0</t>
        </is>
      </c>
      <c r="K528" t="inlineStr">
        <is>
          <t>Chenoweth, Karin.</t>
        </is>
      </c>
      <c r="L528" t="inlineStr">
        <is>
          <t>Cambridge, Mass. : Harvard Education Press, c2007.</t>
        </is>
      </c>
      <c r="M528" t="inlineStr">
        <is>
          <t>2007</t>
        </is>
      </c>
      <c r="O528" t="inlineStr">
        <is>
          <t>eng</t>
        </is>
      </c>
      <c r="P528" t="inlineStr">
        <is>
          <t>mau</t>
        </is>
      </c>
      <c r="R528" t="inlineStr">
        <is>
          <t xml:space="preserve">LB </t>
        </is>
      </c>
      <c r="S528" t="n">
        <v>3</v>
      </c>
      <c r="T528" t="n">
        <v>3</v>
      </c>
      <c r="U528" t="inlineStr">
        <is>
          <t>2008-04-21</t>
        </is>
      </c>
      <c r="V528" t="inlineStr">
        <is>
          <t>2008-04-21</t>
        </is>
      </c>
      <c r="W528" t="inlineStr">
        <is>
          <t>2007-10-25</t>
        </is>
      </c>
      <c r="X528" t="inlineStr">
        <is>
          <t>2007-10-25</t>
        </is>
      </c>
      <c r="Y528" t="n">
        <v>610</v>
      </c>
      <c r="Z528" t="n">
        <v>569</v>
      </c>
      <c r="AA528" t="n">
        <v>582</v>
      </c>
      <c r="AB528" t="n">
        <v>3</v>
      </c>
      <c r="AC528" t="n">
        <v>3</v>
      </c>
      <c r="AD528" t="n">
        <v>27</v>
      </c>
      <c r="AE528" t="n">
        <v>27</v>
      </c>
      <c r="AF528" t="n">
        <v>14</v>
      </c>
      <c r="AG528" t="n">
        <v>14</v>
      </c>
      <c r="AH528" t="n">
        <v>5</v>
      </c>
      <c r="AI528" t="n">
        <v>5</v>
      </c>
      <c r="AJ528" t="n">
        <v>13</v>
      </c>
      <c r="AK528" t="n">
        <v>13</v>
      </c>
      <c r="AL528" t="n">
        <v>2</v>
      </c>
      <c r="AM528" t="n">
        <v>2</v>
      </c>
      <c r="AN528" t="n">
        <v>0</v>
      </c>
      <c r="AO528" t="n">
        <v>0</v>
      </c>
      <c r="AP528" t="inlineStr">
        <is>
          <t>No</t>
        </is>
      </c>
      <c r="AQ528" t="inlineStr">
        <is>
          <t>Yes</t>
        </is>
      </c>
      <c r="AR528">
        <f>HYPERLINK("http://catalog.hathitrust.org/Record/005585237","HathiTrust Record")</f>
        <v/>
      </c>
      <c r="AS528">
        <f>HYPERLINK("https://creighton-primo.hosted.exlibrisgroup.com/primo-explore/search?tab=default_tab&amp;search_scope=EVERYTHING&amp;vid=01CRU&amp;lang=en_US&amp;offset=0&amp;query=any,contains,991005118969702656","Catalog Record")</f>
        <v/>
      </c>
      <c r="AT528">
        <f>HYPERLINK("http://www.worldcat.org/oclc/124070938","WorldCat Record")</f>
        <v/>
      </c>
      <c r="AU528" t="inlineStr">
        <is>
          <t>102711630:eng</t>
        </is>
      </c>
      <c r="AV528" t="inlineStr">
        <is>
          <t>124070938</t>
        </is>
      </c>
      <c r="AW528" t="inlineStr">
        <is>
          <t>991005118969702656</t>
        </is>
      </c>
      <c r="AX528" t="inlineStr">
        <is>
          <t>991005118969702656</t>
        </is>
      </c>
      <c r="AY528" t="inlineStr">
        <is>
          <t>2258624800002656</t>
        </is>
      </c>
      <c r="AZ528" t="inlineStr">
        <is>
          <t>BOOK</t>
        </is>
      </c>
      <c r="BB528" t="inlineStr">
        <is>
          <t>9781891792397</t>
        </is>
      </c>
      <c r="BC528" t="inlineStr">
        <is>
          <t>32285005360937</t>
        </is>
      </c>
      <c r="BD528" t="inlineStr">
        <is>
          <t>893722776</t>
        </is>
      </c>
    </row>
    <row r="529">
      <c r="A529" t="inlineStr">
        <is>
          <t>No</t>
        </is>
      </c>
      <c r="B529" t="inlineStr">
        <is>
          <t>LB1062.6 .O94 1995</t>
        </is>
      </c>
      <c r="C529" t="inlineStr">
        <is>
          <t>0                      LB 1062600O  94          1995</t>
        </is>
      </c>
      <c r="D529" t="inlineStr">
        <is>
          <t>Why our kids don't study : an economist's perspective / John D. Owen.</t>
        </is>
      </c>
      <c r="F529" t="inlineStr">
        <is>
          <t>No</t>
        </is>
      </c>
      <c r="G529" t="inlineStr">
        <is>
          <t>1</t>
        </is>
      </c>
      <c r="H529" t="inlineStr">
        <is>
          <t>No</t>
        </is>
      </c>
      <c r="I529" t="inlineStr">
        <is>
          <t>No</t>
        </is>
      </c>
      <c r="J529" t="inlineStr">
        <is>
          <t>0</t>
        </is>
      </c>
      <c r="K529" t="inlineStr">
        <is>
          <t>Owen, John D., 1931-</t>
        </is>
      </c>
      <c r="L529" t="inlineStr">
        <is>
          <t>Baltimore : Johns Hopkins University Press, 1995.</t>
        </is>
      </c>
      <c r="M529" t="inlineStr">
        <is>
          <t>1995</t>
        </is>
      </c>
      <c r="O529" t="inlineStr">
        <is>
          <t>eng</t>
        </is>
      </c>
      <c r="P529" t="inlineStr">
        <is>
          <t>mdu</t>
        </is>
      </c>
      <c r="R529" t="inlineStr">
        <is>
          <t xml:space="preserve">LB </t>
        </is>
      </c>
      <c r="S529" t="n">
        <v>10</v>
      </c>
      <c r="T529" t="n">
        <v>10</v>
      </c>
      <c r="U529" t="inlineStr">
        <is>
          <t>2006-03-02</t>
        </is>
      </c>
      <c r="V529" t="inlineStr">
        <is>
          <t>2006-03-02</t>
        </is>
      </c>
      <c r="W529" t="inlineStr">
        <is>
          <t>1996-03-11</t>
        </is>
      </c>
      <c r="X529" t="inlineStr">
        <is>
          <t>1996-03-11</t>
        </is>
      </c>
      <c r="Y529" t="n">
        <v>438</v>
      </c>
      <c r="Z529" t="n">
        <v>386</v>
      </c>
      <c r="AA529" t="n">
        <v>394</v>
      </c>
      <c r="AB529" t="n">
        <v>3</v>
      </c>
      <c r="AC529" t="n">
        <v>3</v>
      </c>
      <c r="AD529" t="n">
        <v>18</v>
      </c>
      <c r="AE529" t="n">
        <v>18</v>
      </c>
      <c r="AF529" t="n">
        <v>4</v>
      </c>
      <c r="AG529" t="n">
        <v>4</v>
      </c>
      <c r="AH529" t="n">
        <v>4</v>
      </c>
      <c r="AI529" t="n">
        <v>4</v>
      </c>
      <c r="AJ529" t="n">
        <v>12</v>
      </c>
      <c r="AK529" t="n">
        <v>12</v>
      </c>
      <c r="AL529" t="n">
        <v>2</v>
      </c>
      <c r="AM529" t="n">
        <v>2</v>
      </c>
      <c r="AN529" t="n">
        <v>0</v>
      </c>
      <c r="AO529" t="n">
        <v>0</v>
      </c>
      <c r="AP529" t="inlineStr">
        <is>
          <t>No</t>
        </is>
      </c>
      <c r="AQ529" t="inlineStr">
        <is>
          <t>Yes</t>
        </is>
      </c>
      <c r="AR529">
        <f>HYPERLINK("http://catalog.hathitrust.org/Record/002938323","HathiTrust Record")</f>
        <v/>
      </c>
      <c r="AS529">
        <f>HYPERLINK("https://creighton-primo.hosted.exlibrisgroup.com/primo-explore/search?tab=default_tab&amp;search_scope=EVERYTHING&amp;vid=01CRU&amp;lang=en_US&amp;offset=0&amp;query=any,contains,991002351349702656","Catalog Record")</f>
        <v/>
      </c>
      <c r="AT529">
        <f>HYPERLINK("http://www.worldcat.org/oclc/30623860","WorldCat Record")</f>
        <v/>
      </c>
      <c r="AU529" t="inlineStr">
        <is>
          <t>32667751:eng</t>
        </is>
      </c>
      <c r="AV529" t="inlineStr">
        <is>
          <t>30623860</t>
        </is>
      </c>
      <c r="AW529" t="inlineStr">
        <is>
          <t>991002351349702656</t>
        </is>
      </c>
      <c r="AX529" t="inlineStr">
        <is>
          <t>991002351349702656</t>
        </is>
      </c>
      <c r="AY529" t="inlineStr">
        <is>
          <t>2259831860002656</t>
        </is>
      </c>
      <c r="AZ529" t="inlineStr">
        <is>
          <t>BOOK</t>
        </is>
      </c>
      <c r="BB529" t="inlineStr">
        <is>
          <t>9780801849251</t>
        </is>
      </c>
      <c r="BC529" t="inlineStr">
        <is>
          <t>32285002141124</t>
        </is>
      </c>
      <c r="BD529" t="inlineStr">
        <is>
          <t>893408999</t>
        </is>
      </c>
    </row>
    <row r="530">
      <c r="A530" t="inlineStr">
        <is>
          <t>No</t>
        </is>
      </c>
      <c r="B530" t="inlineStr">
        <is>
          <t>LB1062.6 .R8255 1984</t>
        </is>
      </c>
      <c r="C530" t="inlineStr">
        <is>
          <t>0                      LB 1062600R  8255        1984</t>
        </is>
      </c>
      <c r="D530" t="inlineStr">
        <is>
          <t>The relationship between academic performance and adjustment, extent of participation in campus activities, extent of dating, extent of contact with faculty, and part-time employment / by Henry C. Rucker.</t>
        </is>
      </c>
      <c r="F530" t="inlineStr">
        <is>
          <t>No</t>
        </is>
      </c>
      <c r="G530" t="inlineStr">
        <is>
          <t>1</t>
        </is>
      </c>
      <c r="H530" t="inlineStr">
        <is>
          <t>No</t>
        </is>
      </c>
      <c r="I530" t="inlineStr">
        <is>
          <t>No</t>
        </is>
      </c>
      <c r="J530" t="inlineStr">
        <is>
          <t>0</t>
        </is>
      </c>
      <c r="K530" t="inlineStr">
        <is>
          <t>Rucker, Henry C.</t>
        </is>
      </c>
      <c r="M530" t="inlineStr">
        <is>
          <t>1984</t>
        </is>
      </c>
      <c r="O530" t="inlineStr">
        <is>
          <t>eng</t>
        </is>
      </c>
      <c r="P530" t="inlineStr">
        <is>
          <t xml:space="preserve">xx </t>
        </is>
      </c>
      <c r="R530" t="inlineStr">
        <is>
          <t xml:space="preserve">LB </t>
        </is>
      </c>
      <c r="S530" t="n">
        <v>6</v>
      </c>
      <c r="T530" t="n">
        <v>6</v>
      </c>
      <c r="U530" t="inlineStr">
        <is>
          <t>2008-02-26</t>
        </is>
      </c>
      <c r="V530" t="inlineStr">
        <is>
          <t>2008-02-26</t>
        </is>
      </c>
      <c r="W530" t="inlineStr">
        <is>
          <t>1992-08-20</t>
        </is>
      </c>
      <c r="X530" t="inlineStr">
        <is>
          <t>1992-08-20</t>
        </is>
      </c>
      <c r="Y530" t="n">
        <v>3</v>
      </c>
      <c r="Z530" t="n">
        <v>3</v>
      </c>
      <c r="AA530" t="n">
        <v>3</v>
      </c>
      <c r="AB530" t="n">
        <v>1</v>
      </c>
      <c r="AC530" t="n">
        <v>1</v>
      </c>
      <c r="AD530" t="n">
        <v>0</v>
      </c>
      <c r="AE530" t="n">
        <v>0</v>
      </c>
      <c r="AF530" t="n">
        <v>0</v>
      </c>
      <c r="AG530" t="n">
        <v>0</v>
      </c>
      <c r="AH530" t="n">
        <v>0</v>
      </c>
      <c r="AI530" t="n">
        <v>0</v>
      </c>
      <c r="AJ530" t="n">
        <v>0</v>
      </c>
      <c r="AK530" t="n">
        <v>0</v>
      </c>
      <c r="AL530" t="n">
        <v>0</v>
      </c>
      <c r="AM530" t="n">
        <v>0</v>
      </c>
      <c r="AN530" t="n">
        <v>0</v>
      </c>
      <c r="AO530" t="n">
        <v>0</v>
      </c>
      <c r="AP530" t="inlineStr">
        <is>
          <t>No</t>
        </is>
      </c>
      <c r="AQ530" t="inlineStr">
        <is>
          <t>No</t>
        </is>
      </c>
      <c r="AS530">
        <f>HYPERLINK("https://creighton-primo.hosted.exlibrisgroup.com/primo-explore/search?tab=default_tab&amp;search_scope=EVERYTHING&amp;vid=01CRU&amp;lang=en_US&amp;offset=0&amp;query=any,contains,991000717659702656","Catalog Record")</f>
        <v/>
      </c>
      <c r="AT530">
        <f>HYPERLINK("http://www.worldcat.org/oclc/12658904","WorldCat Record")</f>
        <v/>
      </c>
      <c r="AU530" t="inlineStr">
        <is>
          <t>5328057:eng</t>
        </is>
      </c>
      <c r="AV530" t="inlineStr">
        <is>
          <t>12658904</t>
        </is>
      </c>
      <c r="AW530" t="inlineStr">
        <is>
          <t>991000717659702656</t>
        </is>
      </c>
      <c r="AX530" t="inlineStr">
        <is>
          <t>991000717659702656</t>
        </is>
      </c>
      <c r="AY530" t="inlineStr">
        <is>
          <t>2261154070002656</t>
        </is>
      </c>
      <c r="AZ530" t="inlineStr">
        <is>
          <t>BOOK</t>
        </is>
      </c>
      <c r="BC530" t="inlineStr">
        <is>
          <t>32285001253201</t>
        </is>
      </c>
      <c r="BD530" t="inlineStr">
        <is>
          <t>893884689</t>
        </is>
      </c>
    </row>
    <row r="531">
      <c r="A531" t="inlineStr">
        <is>
          <t>No</t>
        </is>
      </c>
      <c r="B531" t="inlineStr">
        <is>
          <t>LB1063 .H85</t>
        </is>
      </c>
      <c r="C531" t="inlineStr">
        <is>
          <t>0                      LB 1063000H  85</t>
        </is>
      </c>
      <c r="D531" t="inlineStr">
        <is>
          <t>Retention theory for teachers; a programed book [by] Madeline Hunter.</t>
        </is>
      </c>
      <c r="F531" t="inlineStr">
        <is>
          <t>No</t>
        </is>
      </c>
      <c r="G531" t="inlineStr">
        <is>
          <t>1</t>
        </is>
      </c>
      <c r="H531" t="inlineStr">
        <is>
          <t>No</t>
        </is>
      </c>
      <c r="I531" t="inlineStr">
        <is>
          <t>No</t>
        </is>
      </c>
      <c r="J531" t="inlineStr">
        <is>
          <t>0</t>
        </is>
      </c>
      <c r="K531" t="inlineStr">
        <is>
          <t>Hunter, Madeline C.</t>
        </is>
      </c>
      <c r="L531" t="inlineStr">
        <is>
          <t>El Segundo, Calif., TIP Publications [1967]</t>
        </is>
      </c>
      <c r="M531" t="inlineStr">
        <is>
          <t>1967</t>
        </is>
      </c>
      <c r="O531" t="inlineStr">
        <is>
          <t>eng</t>
        </is>
      </c>
      <c r="P531" t="inlineStr">
        <is>
          <t>cau</t>
        </is>
      </c>
      <c r="Q531" t="inlineStr">
        <is>
          <t>Theory into practice</t>
        </is>
      </c>
      <c r="R531" t="inlineStr">
        <is>
          <t xml:space="preserve">LB </t>
        </is>
      </c>
      <c r="S531" t="n">
        <v>2</v>
      </c>
      <c r="T531" t="n">
        <v>2</v>
      </c>
      <c r="U531" t="inlineStr">
        <is>
          <t>2003-04-13</t>
        </is>
      </c>
      <c r="V531" t="inlineStr">
        <is>
          <t>2003-04-13</t>
        </is>
      </c>
      <c r="W531" t="inlineStr">
        <is>
          <t>1997-07-02</t>
        </is>
      </c>
      <c r="X531" t="inlineStr">
        <is>
          <t>1997-07-02</t>
        </is>
      </c>
      <c r="Y531" t="n">
        <v>298</v>
      </c>
      <c r="Z531" t="n">
        <v>273</v>
      </c>
      <c r="AA531" t="n">
        <v>327</v>
      </c>
      <c r="AB531" t="n">
        <v>6</v>
      </c>
      <c r="AC531" t="n">
        <v>6</v>
      </c>
      <c r="AD531" t="n">
        <v>10</v>
      </c>
      <c r="AE531" t="n">
        <v>12</v>
      </c>
      <c r="AF531" t="n">
        <v>4</v>
      </c>
      <c r="AG531" t="n">
        <v>6</v>
      </c>
      <c r="AH531" t="n">
        <v>1</v>
      </c>
      <c r="AI531" t="n">
        <v>1</v>
      </c>
      <c r="AJ531" t="n">
        <v>3</v>
      </c>
      <c r="AK531" t="n">
        <v>3</v>
      </c>
      <c r="AL531" t="n">
        <v>4</v>
      </c>
      <c r="AM531" t="n">
        <v>4</v>
      </c>
      <c r="AN531" t="n">
        <v>0</v>
      </c>
      <c r="AO531" t="n">
        <v>0</v>
      </c>
      <c r="AP531" t="inlineStr">
        <is>
          <t>No</t>
        </is>
      </c>
      <c r="AQ531" t="inlineStr">
        <is>
          <t>Yes</t>
        </is>
      </c>
      <c r="AR531">
        <f>HYPERLINK("http://catalog.hathitrust.org/Record/100669713","HathiTrust Record")</f>
        <v/>
      </c>
      <c r="AS531">
        <f>HYPERLINK("https://creighton-primo.hosted.exlibrisgroup.com/primo-explore/search?tab=default_tab&amp;search_scope=EVERYTHING&amp;vid=01CRU&amp;lang=en_US&amp;offset=0&amp;query=any,contains,991004909429702656","Catalog Record")</f>
        <v/>
      </c>
      <c r="AT531">
        <f>HYPERLINK("http://www.worldcat.org/oclc/5985023","WorldCat Record")</f>
        <v/>
      </c>
      <c r="AU531" t="inlineStr">
        <is>
          <t>22819240:eng</t>
        </is>
      </c>
      <c r="AV531" t="inlineStr">
        <is>
          <t>5985023</t>
        </is>
      </c>
      <c r="AW531" t="inlineStr">
        <is>
          <t>991004909429702656</t>
        </is>
      </c>
      <c r="AX531" t="inlineStr">
        <is>
          <t>991004909429702656</t>
        </is>
      </c>
      <c r="AY531" t="inlineStr">
        <is>
          <t>2265999070002656</t>
        </is>
      </c>
      <c r="AZ531" t="inlineStr">
        <is>
          <t>BOOK</t>
        </is>
      </c>
      <c r="BC531" t="inlineStr">
        <is>
          <t>32285002844792</t>
        </is>
      </c>
      <c r="BD531" t="inlineStr">
        <is>
          <t>893332164</t>
        </is>
      </c>
    </row>
    <row r="532">
      <c r="A532" t="inlineStr">
        <is>
          <t>No</t>
        </is>
      </c>
      <c r="B532" t="inlineStr">
        <is>
          <t>LB1064.5 .B3</t>
        </is>
      </c>
      <c r="C532" t="inlineStr">
        <is>
          <t>0                      LB 1064500B  3</t>
        </is>
      </c>
      <c r="D532" t="inlineStr">
        <is>
          <t>Temporal learning.</t>
        </is>
      </c>
      <c r="F532" t="inlineStr">
        <is>
          <t>No</t>
        </is>
      </c>
      <c r="G532" t="inlineStr">
        <is>
          <t>1</t>
        </is>
      </c>
      <c r="H532" t="inlineStr">
        <is>
          <t>No</t>
        </is>
      </c>
      <c r="I532" t="inlineStr">
        <is>
          <t>No</t>
        </is>
      </c>
      <c r="J532" t="inlineStr">
        <is>
          <t>0</t>
        </is>
      </c>
      <c r="K532" t="inlineStr">
        <is>
          <t>Bateman, Barbara D.</t>
        </is>
      </c>
      <c r="L532" t="inlineStr">
        <is>
          <t>San Rafael, Calif., Dimensions Publishing Co. [c1968]</t>
        </is>
      </c>
      <c r="M532" t="inlineStr">
        <is>
          <t>1968</t>
        </is>
      </c>
      <c r="O532" t="inlineStr">
        <is>
          <t>eng</t>
        </is>
      </c>
      <c r="P532" t="inlineStr">
        <is>
          <t xml:space="preserve">xx </t>
        </is>
      </c>
      <c r="Q532" t="inlineStr">
        <is>
          <t>Dimensions in early learning series</t>
        </is>
      </c>
      <c r="R532" t="inlineStr">
        <is>
          <t xml:space="preserve">LB </t>
        </is>
      </c>
      <c r="S532" t="n">
        <v>7</v>
      </c>
      <c r="T532" t="n">
        <v>7</v>
      </c>
      <c r="U532" t="inlineStr">
        <is>
          <t>2000-01-22</t>
        </is>
      </c>
      <c r="V532" t="inlineStr">
        <is>
          <t>2000-01-22</t>
        </is>
      </c>
      <c r="W532" t="inlineStr">
        <is>
          <t>1997-05-06</t>
        </is>
      </c>
      <c r="X532" t="inlineStr">
        <is>
          <t>1997-05-06</t>
        </is>
      </c>
      <c r="Y532" t="n">
        <v>131</v>
      </c>
      <c r="Z532" t="n">
        <v>119</v>
      </c>
      <c r="AA532" t="n">
        <v>120</v>
      </c>
      <c r="AB532" t="n">
        <v>3</v>
      </c>
      <c r="AC532" t="n">
        <v>3</v>
      </c>
      <c r="AD532" t="n">
        <v>5</v>
      </c>
      <c r="AE532" t="n">
        <v>5</v>
      </c>
      <c r="AF532" t="n">
        <v>0</v>
      </c>
      <c r="AG532" t="n">
        <v>0</v>
      </c>
      <c r="AH532" t="n">
        <v>1</v>
      </c>
      <c r="AI532" t="n">
        <v>1</v>
      </c>
      <c r="AJ532" t="n">
        <v>3</v>
      </c>
      <c r="AK532" t="n">
        <v>3</v>
      </c>
      <c r="AL532" t="n">
        <v>2</v>
      </c>
      <c r="AM532" t="n">
        <v>2</v>
      </c>
      <c r="AN532" t="n">
        <v>0</v>
      </c>
      <c r="AO532" t="n">
        <v>0</v>
      </c>
      <c r="AP532" t="inlineStr">
        <is>
          <t>No</t>
        </is>
      </c>
      <c r="AQ532" t="inlineStr">
        <is>
          <t>Yes</t>
        </is>
      </c>
      <c r="AR532">
        <f>HYPERLINK("http://catalog.hathitrust.org/Record/009751562","HathiTrust Record")</f>
        <v/>
      </c>
      <c r="AS532">
        <f>HYPERLINK("https://creighton-primo.hosted.exlibrisgroup.com/primo-explore/search?tab=default_tab&amp;search_scope=EVERYTHING&amp;vid=01CRU&amp;lang=en_US&amp;offset=0&amp;query=any,contains,991002875709702656","Catalog Record")</f>
        <v/>
      </c>
      <c r="AT532">
        <f>HYPERLINK("http://www.worldcat.org/oclc/502560","WorldCat Record")</f>
        <v/>
      </c>
      <c r="AU532" t="inlineStr">
        <is>
          <t>1437267:eng</t>
        </is>
      </c>
      <c r="AV532" t="inlineStr">
        <is>
          <t>502560</t>
        </is>
      </c>
      <c r="AW532" t="inlineStr">
        <is>
          <t>991002875709702656</t>
        </is>
      </c>
      <c r="AX532" t="inlineStr">
        <is>
          <t>991002875709702656</t>
        </is>
      </c>
      <c r="AY532" t="inlineStr">
        <is>
          <t>2263917890002656</t>
        </is>
      </c>
      <c r="AZ532" t="inlineStr">
        <is>
          <t>BOOK</t>
        </is>
      </c>
      <c r="BC532" t="inlineStr">
        <is>
          <t>32285002633609</t>
        </is>
      </c>
      <c r="BD532" t="inlineStr">
        <is>
          <t>893434403</t>
        </is>
      </c>
    </row>
    <row r="533">
      <c r="A533" t="inlineStr">
        <is>
          <t>No</t>
        </is>
      </c>
      <c r="B533" t="inlineStr">
        <is>
          <t>LB1065 .A53 1988</t>
        </is>
      </c>
      <c r="C533" t="inlineStr">
        <is>
          <t>0                      LB 1065000A  53          1988</t>
        </is>
      </c>
      <c r="D533" t="inlineStr">
        <is>
          <t>Listening / Anne Anderson and Tony Lynch.</t>
        </is>
      </c>
      <c r="F533" t="inlineStr">
        <is>
          <t>No</t>
        </is>
      </c>
      <c r="G533" t="inlineStr">
        <is>
          <t>1</t>
        </is>
      </c>
      <c r="H533" t="inlineStr">
        <is>
          <t>No</t>
        </is>
      </c>
      <c r="I533" t="inlineStr">
        <is>
          <t>No</t>
        </is>
      </c>
      <c r="J533" t="inlineStr">
        <is>
          <t>0</t>
        </is>
      </c>
      <c r="K533" t="inlineStr">
        <is>
          <t>Anderson, Anne, 1954-</t>
        </is>
      </c>
      <c r="L533" t="inlineStr">
        <is>
          <t>Oxford : Oxford University Press, 1988.</t>
        </is>
      </c>
      <c r="M533" t="inlineStr">
        <is>
          <t>1988</t>
        </is>
      </c>
      <c r="O533" t="inlineStr">
        <is>
          <t>eng</t>
        </is>
      </c>
      <c r="P533" t="inlineStr">
        <is>
          <t>enk</t>
        </is>
      </c>
      <c r="Q533" t="inlineStr">
        <is>
          <t>Language teaching, a scheme for teacher education</t>
        </is>
      </c>
      <c r="R533" t="inlineStr">
        <is>
          <t xml:space="preserve">LB </t>
        </is>
      </c>
      <c r="S533" t="n">
        <v>1</v>
      </c>
      <c r="T533" t="n">
        <v>1</v>
      </c>
      <c r="U533" t="inlineStr">
        <is>
          <t>2001-03-02</t>
        </is>
      </c>
      <c r="V533" t="inlineStr">
        <is>
          <t>2001-03-02</t>
        </is>
      </c>
      <c r="W533" t="inlineStr">
        <is>
          <t>1989-10-20</t>
        </is>
      </c>
      <c r="X533" t="inlineStr">
        <is>
          <t>1989-10-20</t>
        </is>
      </c>
      <c r="Y533" t="n">
        <v>329</v>
      </c>
      <c r="Z533" t="n">
        <v>129</v>
      </c>
      <c r="AA533" t="n">
        <v>131</v>
      </c>
      <c r="AB533" t="n">
        <v>2</v>
      </c>
      <c r="AC533" t="n">
        <v>2</v>
      </c>
      <c r="AD533" t="n">
        <v>5</v>
      </c>
      <c r="AE533" t="n">
        <v>6</v>
      </c>
      <c r="AF533" t="n">
        <v>2</v>
      </c>
      <c r="AG533" t="n">
        <v>2</v>
      </c>
      <c r="AH533" t="n">
        <v>1</v>
      </c>
      <c r="AI533" t="n">
        <v>2</v>
      </c>
      <c r="AJ533" t="n">
        <v>2</v>
      </c>
      <c r="AK533" t="n">
        <v>3</v>
      </c>
      <c r="AL533" t="n">
        <v>1</v>
      </c>
      <c r="AM533" t="n">
        <v>1</v>
      </c>
      <c r="AN533" t="n">
        <v>0</v>
      </c>
      <c r="AO533" t="n">
        <v>0</v>
      </c>
      <c r="AP533" t="inlineStr">
        <is>
          <t>No</t>
        </is>
      </c>
      <c r="AQ533" t="inlineStr">
        <is>
          <t>No</t>
        </is>
      </c>
      <c r="AS533">
        <f>HYPERLINK("https://creighton-primo.hosted.exlibrisgroup.com/primo-explore/search?tab=default_tab&amp;search_scope=EVERYTHING&amp;vid=01CRU&amp;lang=en_US&amp;offset=0&amp;query=any,contains,991001332759702656","Catalog Record")</f>
        <v/>
      </c>
      <c r="AT533">
        <f>HYPERLINK("http://www.worldcat.org/oclc/18326153","WorldCat Record")</f>
        <v/>
      </c>
      <c r="AU533" t="inlineStr">
        <is>
          <t>114810259:eng</t>
        </is>
      </c>
      <c r="AV533" t="inlineStr">
        <is>
          <t>18326153</t>
        </is>
      </c>
      <c r="AW533" t="inlineStr">
        <is>
          <t>991001332759702656</t>
        </is>
      </c>
      <c r="AX533" t="inlineStr">
        <is>
          <t>991001332759702656</t>
        </is>
      </c>
      <c r="AY533" t="inlineStr">
        <is>
          <t>2256296530002656</t>
        </is>
      </c>
      <c r="AZ533" t="inlineStr">
        <is>
          <t>BOOK</t>
        </is>
      </c>
      <c r="BB533" t="inlineStr">
        <is>
          <t>9780194371353</t>
        </is>
      </c>
      <c r="BC533" t="inlineStr">
        <is>
          <t>32285000003532</t>
        </is>
      </c>
      <c r="BD533" t="inlineStr">
        <is>
          <t>893231915</t>
        </is>
      </c>
    </row>
    <row r="534">
      <c r="A534" t="inlineStr">
        <is>
          <t>No</t>
        </is>
      </c>
      <c r="B534" t="inlineStr">
        <is>
          <t>LB1065 .B76 1983</t>
        </is>
      </c>
      <c r="C534" t="inlineStr">
        <is>
          <t>0                      LB 1065000B  76          1983</t>
        </is>
      </c>
      <c r="D534" t="inlineStr">
        <is>
          <t>Conceptualizing student motivation / Jere Brophy.</t>
        </is>
      </c>
      <c r="F534" t="inlineStr">
        <is>
          <t>No</t>
        </is>
      </c>
      <c r="G534" t="inlineStr">
        <is>
          <t>1</t>
        </is>
      </c>
      <c r="H534" t="inlineStr">
        <is>
          <t>No</t>
        </is>
      </c>
      <c r="I534" t="inlineStr">
        <is>
          <t>No</t>
        </is>
      </c>
      <c r="J534" t="inlineStr">
        <is>
          <t>0</t>
        </is>
      </c>
      <c r="K534" t="inlineStr">
        <is>
          <t>Brophy, Jere E.</t>
        </is>
      </c>
      <c r="L534" t="inlineStr">
        <is>
          <t>East Lansing, Mich. : Institute for Research on Teaching, Michigan State University, [1983]</t>
        </is>
      </c>
      <c r="M534" t="inlineStr">
        <is>
          <t>1983</t>
        </is>
      </c>
      <c r="O534" t="inlineStr">
        <is>
          <t>eng</t>
        </is>
      </c>
      <c r="P534" t="inlineStr">
        <is>
          <t>miu</t>
        </is>
      </c>
      <c r="Q534" t="inlineStr">
        <is>
          <t>Occasional paper ; no. 70</t>
        </is>
      </c>
      <c r="R534" t="inlineStr">
        <is>
          <t xml:space="preserve">LB </t>
        </is>
      </c>
      <c r="S534" t="n">
        <v>9</v>
      </c>
      <c r="T534" t="n">
        <v>9</v>
      </c>
      <c r="U534" t="inlineStr">
        <is>
          <t>2001-03-02</t>
        </is>
      </c>
      <c r="V534" t="inlineStr">
        <is>
          <t>2001-03-02</t>
        </is>
      </c>
      <c r="W534" t="inlineStr">
        <is>
          <t>1993-10-26</t>
        </is>
      </c>
      <c r="X534" t="inlineStr">
        <is>
          <t>1993-10-26</t>
        </is>
      </c>
      <c r="Y534" t="n">
        <v>4</v>
      </c>
      <c r="Z534" t="n">
        <v>4</v>
      </c>
      <c r="AA534" t="n">
        <v>4</v>
      </c>
      <c r="AB534" t="n">
        <v>1</v>
      </c>
      <c r="AC534" t="n">
        <v>1</v>
      </c>
      <c r="AD534" t="n">
        <v>0</v>
      </c>
      <c r="AE534" t="n">
        <v>0</v>
      </c>
      <c r="AF534" t="n">
        <v>0</v>
      </c>
      <c r="AG534" t="n">
        <v>0</v>
      </c>
      <c r="AH534" t="n">
        <v>0</v>
      </c>
      <c r="AI534" t="n">
        <v>0</v>
      </c>
      <c r="AJ534" t="n">
        <v>0</v>
      </c>
      <c r="AK534" t="n">
        <v>0</v>
      </c>
      <c r="AL534" t="n">
        <v>0</v>
      </c>
      <c r="AM534" t="n">
        <v>0</v>
      </c>
      <c r="AN534" t="n">
        <v>0</v>
      </c>
      <c r="AO534" t="n">
        <v>0</v>
      </c>
      <c r="AP534" t="inlineStr">
        <is>
          <t>No</t>
        </is>
      </c>
      <c r="AQ534" t="inlineStr">
        <is>
          <t>No</t>
        </is>
      </c>
      <c r="AS534">
        <f>HYPERLINK("https://creighton-primo.hosted.exlibrisgroup.com/primo-explore/search?tab=default_tab&amp;search_scope=EVERYTHING&amp;vid=01CRU&amp;lang=en_US&amp;offset=0&amp;query=any,contains,991000570129702656","Catalog Record")</f>
        <v/>
      </c>
      <c r="AT534">
        <f>HYPERLINK("http://www.worldcat.org/oclc/11644507","WorldCat Record")</f>
        <v/>
      </c>
      <c r="AU534" t="inlineStr">
        <is>
          <t>4700655:eng</t>
        </is>
      </c>
      <c r="AV534" t="inlineStr">
        <is>
          <t>11644507</t>
        </is>
      </c>
      <c r="AW534" t="inlineStr">
        <is>
          <t>991000570129702656</t>
        </is>
      </c>
      <c r="AX534" t="inlineStr">
        <is>
          <t>991000570129702656</t>
        </is>
      </c>
      <c r="AY534" t="inlineStr">
        <is>
          <t>2256880260002656</t>
        </is>
      </c>
      <c r="AZ534" t="inlineStr">
        <is>
          <t>BOOK</t>
        </is>
      </c>
      <c r="BC534" t="inlineStr">
        <is>
          <t>32285001794980</t>
        </is>
      </c>
      <c r="BD534" t="inlineStr">
        <is>
          <t>893315064</t>
        </is>
      </c>
    </row>
    <row r="535">
      <c r="A535" t="inlineStr">
        <is>
          <t>No</t>
        </is>
      </c>
      <c r="B535" t="inlineStr">
        <is>
          <t>LB1065 .C44 1993</t>
        </is>
      </c>
      <c r="C535" t="inlineStr">
        <is>
          <t>0                      LB 1065000C  44          1993</t>
        </is>
      </c>
      <c r="D535" t="inlineStr">
        <is>
          <t>Springboards for today's children / E. Rosalie Cempura.</t>
        </is>
      </c>
      <c r="F535" t="inlineStr">
        <is>
          <t>No</t>
        </is>
      </c>
      <c r="G535" t="inlineStr">
        <is>
          <t>1</t>
        </is>
      </c>
      <c r="H535" t="inlineStr">
        <is>
          <t>No</t>
        </is>
      </c>
      <c r="I535" t="inlineStr">
        <is>
          <t>No</t>
        </is>
      </c>
      <c r="J535" t="inlineStr">
        <is>
          <t>0</t>
        </is>
      </c>
      <c r="K535" t="inlineStr">
        <is>
          <t>Cempura, E. Rosalie.</t>
        </is>
      </c>
      <c r="L535" t="inlineStr">
        <is>
          <t>Halfway, Or. : Hells Canyon Pub., c1993.</t>
        </is>
      </c>
      <c r="M535" t="inlineStr">
        <is>
          <t>1993</t>
        </is>
      </c>
      <c r="N535" t="inlineStr">
        <is>
          <t>1st ed.</t>
        </is>
      </c>
      <c r="O535" t="inlineStr">
        <is>
          <t>eng</t>
        </is>
      </c>
      <c r="P535" t="inlineStr">
        <is>
          <t>oru</t>
        </is>
      </c>
      <c r="R535" t="inlineStr">
        <is>
          <t xml:space="preserve">LB </t>
        </is>
      </c>
      <c r="S535" t="n">
        <v>1</v>
      </c>
      <c r="T535" t="n">
        <v>1</v>
      </c>
      <c r="U535" t="inlineStr">
        <is>
          <t>2000-10-23</t>
        </is>
      </c>
      <c r="V535" t="inlineStr">
        <is>
          <t>2000-10-23</t>
        </is>
      </c>
      <c r="W535" t="inlineStr">
        <is>
          <t>1993-09-02</t>
        </is>
      </c>
      <c r="X535" t="inlineStr">
        <is>
          <t>1993-09-02</t>
        </is>
      </c>
      <c r="Y535" t="n">
        <v>86</v>
      </c>
      <c r="Z535" t="n">
        <v>86</v>
      </c>
      <c r="AA535" t="n">
        <v>93</v>
      </c>
      <c r="AB535" t="n">
        <v>2</v>
      </c>
      <c r="AC535" t="n">
        <v>2</v>
      </c>
      <c r="AD535" t="n">
        <v>2</v>
      </c>
      <c r="AE535" t="n">
        <v>2</v>
      </c>
      <c r="AF535" t="n">
        <v>1</v>
      </c>
      <c r="AG535" t="n">
        <v>1</v>
      </c>
      <c r="AH535" t="n">
        <v>0</v>
      </c>
      <c r="AI535" t="n">
        <v>0</v>
      </c>
      <c r="AJ535" t="n">
        <v>0</v>
      </c>
      <c r="AK535" t="n">
        <v>0</v>
      </c>
      <c r="AL535" t="n">
        <v>1</v>
      </c>
      <c r="AM535" t="n">
        <v>1</v>
      </c>
      <c r="AN535" t="n">
        <v>0</v>
      </c>
      <c r="AO535" t="n">
        <v>0</v>
      </c>
      <c r="AP535" t="inlineStr">
        <is>
          <t>No</t>
        </is>
      </c>
      <c r="AQ535" t="inlineStr">
        <is>
          <t>No</t>
        </is>
      </c>
      <c r="AS535">
        <f>HYPERLINK("https://creighton-primo.hosted.exlibrisgroup.com/primo-explore/search?tab=default_tab&amp;search_scope=EVERYTHING&amp;vid=01CRU&amp;lang=en_US&amp;offset=0&amp;query=any,contains,991002181709702656","Catalog Record")</f>
        <v/>
      </c>
      <c r="AT535">
        <f>HYPERLINK("http://www.worldcat.org/oclc/29391004","WorldCat Record")</f>
        <v/>
      </c>
      <c r="AU535" t="inlineStr">
        <is>
          <t>31769257:eng</t>
        </is>
      </c>
      <c r="AV535" t="inlineStr">
        <is>
          <t>29391004</t>
        </is>
      </c>
      <c r="AW535" t="inlineStr">
        <is>
          <t>991002181709702656</t>
        </is>
      </c>
      <c r="AX535" t="inlineStr">
        <is>
          <t>991002181709702656</t>
        </is>
      </c>
      <c r="AY535" t="inlineStr">
        <is>
          <t>2264454590002656</t>
        </is>
      </c>
      <c r="AZ535" t="inlineStr">
        <is>
          <t>BOOK</t>
        </is>
      </c>
      <c r="BB535" t="inlineStr">
        <is>
          <t>9780963391995</t>
        </is>
      </c>
      <c r="BC535" t="inlineStr">
        <is>
          <t>32285001729911</t>
        </is>
      </c>
      <c r="BD535" t="inlineStr">
        <is>
          <t>893792126</t>
        </is>
      </c>
    </row>
    <row r="536">
      <c r="A536" t="inlineStr">
        <is>
          <t>No</t>
        </is>
      </c>
      <c r="B536" t="inlineStr">
        <is>
          <t>LB1065 .D27</t>
        </is>
      </c>
      <c r="C536" t="inlineStr">
        <is>
          <t>0                      LB 1065000D  27</t>
        </is>
      </c>
      <c r="D536" t="inlineStr">
        <is>
          <t>Enhancing motivation : change in the classroom / by Richard deCharms, in collaboration with Dennis J. Shea ... [et al.].</t>
        </is>
      </c>
      <c r="F536" t="inlineStr">
        <is>
          <t>No</t>
        </is>
      </c>
      <c r="G536" t="inlineStr">
        <is>
          <t>1</t>
        </is>
      </c>
      <c r="H536" t="inlineStr">
        <is>
          <t>No</t>
        </is>
      </c>
      <c r="I536" t="inlineStr">
        <is>
          <t>No</t>
        </is>
      </c>
      <c r="J536" t="inlineStr">
        <is>
          <t>0</t>
        </is>
      </c>
      <c r="K536" t="inlineStr">
        <is>
          <t>DeCharms, Richard.</t>
        </is>
      </c>
      <c r="L536" t="inlineStr">
        <is>
          <t>New York : Irvington Publishers : distributed by Halsted Press, c1976.</t>
        </is>
      </c>
      <c r="M536" t="inlineStr">
        <is>
          <t>1976</t>
        </is>
      </c>
      <c r="O536" t="inlineStr">
        <is>
          <t>eng</t>
        </is>
      </c>
      <c r="P536" t="inlineStr">
        <is>
          <t>nyu</t>
        </is>
      </c>
      <c r="Q536" t="inlineStr">
        <is>
          <t>The Irvington social relations series</t>
        </is>
      </c>
      <c r="R536" t="inlineStr">
        <is>
          <t xml:space="preserve">LB </t>
        </is>
      </c>
      <c r="S536" t="n">
        <v>10</v>
      </c>
      <c r="T536" t="n">
        <v>10</v>
      </c>
      <c r="U536" t="inlineStr">
        <is>
          <t>2003-09-29</t>
        </is>
      </c>
      <c r="V536" t="inlineStr">
        <is>
          <t>2003-09-29</t>
        </is>
      </c>
      <c r="W536" t="inlineStr">
        <is>
          <t>1997-05-06</t>
        </is>
      </c>
      <c r="X536" t="inlineStr">
        <is>
          <t>1997-05-06</t>
        </is>
      </c>
      <c r="Y536" t="n">
        <v>437</v>
      </c>
      <c r="Z536" t="n">
        <v>344</v>
      </c>
      <c r="AA536" t="n">
        <v>349</v>
      </c>
      <c r="AB536" t="n">
        <v>3</v>
      </c>
      <c r="AC536" t="n">
        <v>3</v>
      </c>
      <c r="AD536" t="n">
        <v>13</v>
      </c>
      <c r="AE536" t="n">
        <v>13</v>
      </c>
      <c r="AF536" t="n">
        <v>4</v>
      </c>
      <c r="AG536" t="n">
        <v>4</v>
      </c>
      <c r="AH536" t="n">
        <v>2</v>
      </c>
      <c r="AI536" t="n">
        <v>2</v>
      </c>
      <c r="AJ536" t="n">
        <v>10</v>
      </c>
      <c r="AK536" t="n">
        <v>10</v>
      </c>
      <c r="AL536" t="n">
        <v>2</v>
      </c>
      <c r="AM536" t="n">
        <v>2</v>
      </c>
      <c r="AN536" t="n">
        <v>0</v>
      </c>
      <c r="AO536" t="n">
        <v>0</v>
      </c>
      <c r="AP536" t="inlineStr">
        <is>
          <t>No</t>
        </is>
      </c>
      <c r="AQ536" t="inlineStr">
        <is>
          <t>Yes</t>
        </is>
      </c>
      <c r="AR536">
        <f>HYPERLINK("http://catalog.hathitrust.org/Record/000708392","HathiTrust Record")</f>
        <v/>
      </c>
      <c r="AS536">
        <f>HYPERLINK("https://creighton-primo.hosted.exlibrisgroup.com/primo-explore/search?tab=default_tab&amp;search_scope=EVERYTHING&amp;vid=01CRU&amp;lang=en_US&amp;offset=0&amp;query=any,contains,991003951489702656","Catalog Record")</f>
        <v/>
      </c>
      <c r="AT536">
        <f>HYPERLINK("http://www.worldcat.org/oclc/1958251","WorldCat Record")</f>
        <v/>
      </c>
      <c r="AU536" t="inlineStr">
        <is>
          <t>906236418:eng</t>
        </is>
      </c>
      <c r="AV536" t="inlineStr">
        <is>
          <t>1958251</t>
        </is>
      </c>
      <c r="AW536" t="inlineStr">
        <is>
          <t>991003951489702656</t>
        </is>
      </c>
      <c r="AX536" t="inlineStr">
        <is>
          <t>991003951489702656</t>
        </is>
      </c>
      <c r="AY536" t="inlineStr">
        <is>
          <t>2265571790002656</t>
        </is>
      </c>
      <c r="AZ536" t="inlineStr">
        <is>
          <t>BOOK</t>
        </is>
      </c>
      <c r="BB536" t="inlineStr">
        <is>
          <t>9780470013922</t>
        </is>
      </c>
      <c r="BC536" t="inlineStr">
        <is>
          <t>32285002633658</t>
        </is>
      </c>
      <c r="BD536" t="inlineStr">
        <is>
          <t>893234864</t>
        </is>
      </c>
    </row>
    <row r="537">
      <c r="A537" t="inlineStr">
        <is>
          <t>No</t>
        </is>
      </c>
      <c r="B537" t="inlineStr">
        <is>
          <t>LB1065 .D76</t>
        </is>
      </c>
      <c r="C537" t="inlineStr">
        <is>
          <t>0                      LB 1065000D  76</t>
        </is>
      </c>
      <c r="D537" t="inlineStr">
        <is>
          <t>Motivating today's students / by Walter F. Drew, Anita R. Olds, Henry F. Olds, Jr., with the editors of Learning magazine.</t>
        </is>
      </c>
      <c r="F537" t="inlineStr">
        <is>
          <t>No</t>
        </is>
      </c>
      <c r="G537" t="inlineStr">
        <is>
          <t>1</t>
        </is>
      </c>
      <c r="H537" t="inlineStr">
        <is>
          <t>No</t>
        </is>
      </c>
      <c r="I537" t="inlineStr">
        <is>
          <t>No</t>
        </is>
      </c>
      <c r="J537" t="inlineStr">
        <is>
          <t>0</t>
        </is>
      </c>
      <c r="K537" t="inlineStr">
        <is>
          <t>Drew, Walter F.</t>
        </is>
      </c>
      <c r="L537" t="inlineStr">
        <is>
          <t>Palo Alto, Calif. : Learning Handbooks, 1974.</t>
        </is>
      </c>
      <c r="M537" t="inlineStr">
        <is>
          <t>1974</t>
        </is>
      </c>
      <c r="O537" t="inlineStr">
        <is>
          <t>eng</t>
        </is>
      </c>
      <c r="P537" t="inlineStr">
        <is>
          <t>cau</t>
        </is>
      </c>
      <c r="R537" t="inlineStr">
        <is>
          <t xml:space="preserve">LB </t>
        </is>
      </c>
      <c r="S537" t="n">
        <v>4</v>
      </c>
      <c r="T537" t="n">
        <v>4</v>
      </c>
      <c r="U537" t="inlineStr">
        <is>
          <t>2000-10-23</t>
        </is>
      </c>
      <c r="V537" t="inlineStr">
        <is>
          <t>2000-10-23</t>
        </is>
      </c>
      <c r="W537" t="inlineStr">
        <is>
          <t>1997-05-06</t>
        </is>
      </c>
      <c r="X537" t="inlineStr">
        <is>
          <t>1997-05-06</t>
        </is>
      </c>
      <c r="Y537" t="n">
        <v>280</v>
      </c>
      <c r="Z537" t="n">
        <v>247</v>
      </c>
      <c r="AA537" t="n">
        <v>253</v>
      </c>
      <c r="AB537" t="n">
        <v>3</v>
      </c>
      <c r="AC537" t="n">
        <v>3</v>
      </c>
      <c r="AD537" t="n">
        <v>10</v>
      </c>
      <c r="AE537" t="n">
        <v>10</v>
      </c>
      <c r="AF537" t="n">
        <v>2</v>
      </c>
      <c r="AG537" t="n">
        <v>2</v>
      </c>
      <c r="AH537" t="n">
        <v>2</v>
      </c>
      <c r="AI537" t="n">
        <v>2</v>
      </c>
      <c r="AJ537" t="n">
        <v>6</v>
      </c>
      <c r="AK537" t="n">
        <v>6</v>
      </c>
      <c r="AL537" t="n">
        <v>2</v>
      </c>
      <c r="AM537" t="n">
        <v>2</v>
      </c>
      <c r="AN537" t="n">
        <v>0</v>
      </c>
      <c r="AO537" t="n">
        <v>0</v>
      </c>
      <c r="AP537" t="inlineStr">
        <is>
          <t>No</t>
        </is>
      </c>
      <c r="AQ537" t="inlineStr">
        <is>
          <t>Yes</t>
        </is>
      </c>
      <c r="AR537">
        <f>HYPERLINK("http://catalog.hathitrust.org/Record/004928560","HathiTrust Record")</f>
        <v/>
      </c>
      <c r="AS537">
        <f>HYPERLINK("https://creighton-primo.hosted.exlibrisgroup.com/primo-explore/search?tab=default_tab&amp;search_scope=EVERYTHING&amp;vid=01CRU&amp;lang=en_US&amp;offset=0&amp;query=any,contains,991003747199702656","Catalog Record")</f>
        <v/>
      </c>
      <c r="AT537">
        <f>HYPERLINK("http://www.worldcat.org/oclc/1419376","WorldCat Record")</f>
        <v/>
      </c>
      <c r="AU537" t="inlineStr">
        <is>
          <t>4495328358:eng</t>
        </is>
      </c>
      <c r="AV537" t="inlineStr">
        <is>
          <t>1419376</t>
        </is>
      </c>
      <c r="AW537" t="inlineStr">
        <is>
          <t>991003747199702656</t>
        </is>
      </c>
      <c r="AX537" t="inlineStr">
        <is>
          <t>991003747199702656</t>
        </is>
      </c>
      <c r="AY537" t="inlineStr">
        <is>
          <t>2260579550002656</t>
        </is>
      </c>
      <c r="AZ537" t="inlineStr">
        <is>
          <t>BOOK</t>
        </is>
      </c>
      <c r="BB537" t="inlineStr">
        <is>
          <t>9780915092000</t>
        </is>
      </c>
      <c r="BC537" t="inlineStr">
        <is>
          <t>32285002633666</t>
        </is>
      </c>
      <c r="BD537" t="inlineStr">
        <is>
          <t>893881492</t>
        </is>
      </c>
    </row>
    <row r="538">
      <c r="A538" t="inlineStr">
        <is>
          <t>No</t>
        </is>
      </c>
      <c r="B538" t="inlineStr">
        <is>
          <t>LB1065 .E74 1974</t>
        </is>
      </c>
      <c r="C538" t="inlineStr">
        <is>
          <t>0                      LB 1065000E  74          1974</t>
        </is>
      </c>
      <c r="D538" t="inlineStr">
        <is>
          <t>Motivation for learning; a guide for the teacher of the young adult [by] Stanford C. Ericksen.</t>
        </is>
      </c>
      <c r="F538" t="inlineStr">
        <is>
          <t>No</t>
        </is>
      </c>
      <c r="G538" t="inlineStr">
        <is>
          <t>1</t>
        </is>
      </c>
      <c r="H538" t="inlineStr">
        <is>
          <t>No</t>
        </is>
      </c>
      <c r="I538" t="inlineStr">
        <is>
          <t>No</t>
        </is>
      </c>
      <c r="J538" t="inlineStr">
        <is>
          <t>0</t>
        </is>
      </c>
      <c r="K538" t="inlineStr">
        <is>
          <t>Ericksen, Stanford C. (Stanford Clark), 1911-</t>
        </is>
      </c>
      <c r="L538" t="inlineStr">
        <is>
          <t>Ann Arbor, University of Michigan Press [1974]</t>
        </is>
      </c>
      <c r="M538" t="inlineStr">
        <is>
          <t>1974</t>
        </is>
      </c>
      <c r="O538" t="inlineStr">
        <is>
          <t>eng</t>
        </is>
      </c>
      <c r="P538" t="inlineStr">
        <is>
          <t>miu</t>
        </is>
      </c>
      <c r="R538" t="inlineStr">
        <is>
          <t xml:space="preserve">LB </t>
        </is>
      </c>
      <c r="S538" t="n">
        <v>8</v>
      </c>
      <c r="T538" t="n">
        <v>8</v>
      </c>
      <c r="U538" t="inlineStr">
        <is>
          <t>1999-05-04</t>
        </is>
      </c>
      <c r="V538" t="inlineStr">
        <is>
          <t>1999-05-04</t>
        </is>
      </c>
      <c r="W538" t="inlineStr">
        <is>
          <t>1997-05-06</t>
        </is>
      </c>
      <c r="X538" t="inlineStr">
        <is>
          <t>1997-05-06</t>
        </is>
      </c>
      <c r="Y538" t="n">
        <v>548</v>
      </c>
      <c r="Z538" t="n">
        <v>461</v>
      </c>
      <c r="AA538" t="n">
        <v>466</v>
      </c>
      <c r="AB538" t="n">
        <v>4</v>
      </c>
      <c r="AC538" t="n">
        <v>4</v>
      </c>
      <c r="AD538" t="n">
        <v>14</v>
      </c>
      <c r="AE538" t="n">
        <v>14</v>
      </c>
      <c r="AF538" t="n">
        <v>5</v>
      </c>
      <c r="AG538" t="n">
        <v>5</v>
      </c>
      <c r="AH538" t="n">
        <v>1</v>
      </c>
      <c r="AI538" t="n">
        <v>1</v>
      </c>
      <c r="AJ538" t="n">
        <v>7</v>
      </c>
      <c r="AK538" t="n">
        <v>7</v>
      </c>
      <c r="AL538" t="n">
        <v>3</v>
      </c>
      <c r="AM538" t="n">
        <v>3</v>
      </c>
      <c r="AN538" t="n">
        <v>0</v>
      </c>
      <c r="AO538" t="n">
        <v>0</v>
      </c>
      <c r="AP538" t="inlineStr">
        <is>
          <t>No</t>
        </is>
      </c>
      <c r="AQ538" t="inlineStr">
        <is>
          <t>Yes</t>
        </is>
      </c>
      <c r="AR538">
        <f>HYPERLINK("http://catalog.hathitrust.org/Record/001287552","HathiTrust Record")</f>
        <v/>
      </c>
      <c r="AS538">
        <f>HYPERLINK("https://creighton-primo.hosted.exlibrisgroup.com/primo-explore/search?tab=default_tab&amp;search_scope=EVERYTHING&amp;vid=01CRU&amp;lang=en_US&amp;offset=0&amp;query=any,contains,991003458559702656","Catalog Record")</f>
        <v/>
      </c>
      <c r="AT538">
        <f>HYPERLINK("http://www.worldcat.org/oclc/999004","WorldCat Record")</f>
        <v/>
      </c>
      <c r="AU538" t="inlineStr">
        <is>
          <t>889769030:eng</t>
        </is>
      </c>
      <c r="AV538" t="inlineStr">
        <is>
          <t>999004</t>
        </is>
      </c>
      <c r="AW538" t="inlineStr">
        <is>
          <t>991003458559702656</t>
        </is>
      </c>
      <c r="AX538" t="inlineStr">
        <is>
          <t>991003458559702656</t>
        </is>
      </c>
      <c r="AY538" t="inlineStr">
        <is>
          <t>2272176940002656</t>
        </is>
      </c>
      <c r="AZ538" t="inlineStr">
        <is>
          <t>BOOK</t>
        </is>
      </c>
      <c r="BB538" t="inlineStr">
        <is>
          <t>9780472083138</t>
        </is>
      </c>
      <c r="BC538" t="inlineStr">
        <is>
          <t>32285002633674</t>
        </is>
      </c>
      <c r="BD538" t="inlineStr">
        <is>
          <t>893617348</t>
        </is>
      </c>
    </row>
    <row r="539">
      <c r="A539" t="inlineStr">
        <is>
          <t>No</t>
        </is>
      </c>
      <c r="B539" t="inlineStr">
        <is>
          <t>LB1065 .H354 1982</t>
        </is>
      </c>
      <c r="C539" t="inlineStr">
        <is>
          <t>0                      LB 1065000H  354         1982</t>
        </is>
      </c>
      <c r="D539" t="inlineStr">
        <is>
          <t>Ten steps for motivating reluctant learners / by Robert C. Hawley.</t>
        </is>
      </c>
      <c r="F539" t="inlineStr">
        <is>
          <t>No</t>
        </is>
      </c>
      <c r="G539" t="inlineStr">
        <is>
          <t>1</t>
        </is>
      </c>
      <c r="H539" t="inlineStr">
        <is>
          <t>No</t>
        </is>
      </c>
      <c r="I539" t="inlineStr">
        <is>
          <t>No</t>
        </is>
      </c>
      <c r="J539" t="inlineStr">
        <is>
          <t>0</t>
        </is>
      </c>
      <c r="K539" t="inlineStr">
        <is>
          <t>Hawley, Robert C.</t>
        </is>
      </c>
      <c r="L539" t="inlineStr">
        <is>
          <t>Amherst, Mass. : Education Research Associates, c1982, 1984 printing.</t>
        </is>
      </c>
      <c r="M539" t="inlineStr">
        <is>
          <t>1982</t>
        </is>
      </c>
      <c r="O539" t="inlineStr">
        <is>
          <t>eng</t>
        </is>
      </c>
      <c r="P539" t="inlineStr">
        <is>
          <t>mau</t>
        </is>
      </c>
      <c r="Q539" t="inlineStr">
        <is>
          <t>Inservice action guide</t>
        </is>
      </c>
      <c r="R539" t="inlineStr">
        <is>
          <t xml:space="preserve">LB </t>
        </is>
      </c>
      <c r="S539" t="n">
        <v>5</v>
      </c>
      <c r="T539" t="n">
        <v>5</v>
      </c>
      <c r="U539" t="inlineStr">
        <is>
          <t>2000-10-23</t>
        </is>
      </c>
      <c r="V539" t="inlineStr">
        <is>
          <t>2000-10-23</t>
        </is>
      </c>
      <c r="W539" t="inlineStr">
        <is>
          <t>1992-06-01</t>
        </is>
      </c>
      <c r="X539" t="inlineStr">
        <is>
          <t>1992-06-01</t>
        </is>
      </c>
      <c r="Y539" t="n">
        <v>58</v>
      </c>
      <c r="Z539" t="n">
        <v>58</v>
      </c>
      <c r="AA539" t="n">
        <v>58</v>
      </c>
      <c r="AB539" t="n">
        <v>3</v>
      </c>
      <c r="AC539" t="n">
        <v>3</v>
      </c>
      <c r="AD539" t="n">
        <v>3</v>
      </c>
      <c r="AE539" t="n">
        <v>3</v>
      </c>
      <c r="AF539" t="n">
        <v>1</v>
      </c>
      <c r="AG539" t="n">
        <v>1</v>
      </c>
      <c r="AH539" t="n">
        <v>0</v>
      </c>
      <c r="AI539" t="n">
        <v>0</v>
      </c>
      <c r="AJ539" t="n">
        <v>1</v>
      </c>
      <c r="AK539" t="n">
        <v>1</v>
      </c>
      <c r="AL539" t="n">
        <v>2</v>
      </c>
      <c r="AM539" t="n">
        <v>2</v>
      </c>
      <c r="AN539" t="n">
        <v>0</v>
      </c>
      <c r="AO539" t="n">
        <v>0</v>
      </c>
      <c r="AP539" t="inlineStr">
        <is>
          <t>No</t>
        </is>
      </c>
      <c r="AQ539" t="inlineStr">
        <is>
          <t>No</t>
        </is>
      </c>
      <c r="AS539">
        <f>HYPERLINK("https://creighton-primo.hosted.exlibrisgroup.com/primo-explore/search?tab=default_tab&amp;search_scope=EVERYTHING&amp;vid=01CRU&amp;lang=en_US&amp;offset=0&amp;query=any,contains,991000261409702656","Catalog Record")</f>
        <v/>
      </c>
      <c r="AT539">
        <f>HYPERLINK("http://www.worldcat.org/oclc/9821044","WorldCat Record")</f>
        <v/>
      </c>
      <c r="AU539" t="inlineStr">
        <is>
          <t>3066416:eng</t>
        </is>
      </c>
      <c r="AV539" t="inlineStr">
        <is>
          <t>9821044</t>
        </is>
      </c>
      <c r="AW539" t="inlineStr">
        <is>
          <t>991000261409702656</t>
        </is>
      </c>
      <c r="AX539" t="inlineStr">
        <is>
          <t>991000261409702656</t>
        </is>
      </c>
      <c r="AY539" t="inlineStr">
        <is>
          <t>2257489920002656</t>
        </is>
      </c>
      <c r="AZ539" t="inlineStr">
        <is>
          <t>BOOK</t>
        </is>
      </c>
      <c r="BB539" t="inlineStr">
        <is>
          <t>9780913636145</t>
        </is>
      </c>
      <c r="BC539" t="inlineStr">
        <is>
          <t>32285001114726</t>
        </is>
      </c>
      <c r="BD539" t="inlineStr">
        <is>
          <t>893419334</t>
        </is>
      </c>
    </row>
    <row r="540">
      <c r="A540" t="inlineStr">
        <is>
          <t>No</t>
        </is>
      </c>
      <c r="B540" t="inlineStr">
        <is>
          <t>LB1065 .H55</t>
        </is>
      </c>
      <c r="C540" t="inlineStr">
        <is>
          <t>0                      LB 1065000H  55</t>
        </is>
      </c>
      <c r="D540" t="inlineStr">
        <is>
          <t>Teaching with confidence : how to get off the classroom wall / by Bill W. Hillman ; with a foreword by Don Dinkmeyer ; ill. by Suzanne Adams.</t>
        </is>
      </c>
      <c r="F540" t="inlineStr">
        <is>
          <t>No</t>
        </is>
      </c>
      <c r="G540" t="inlineStr">
        <is>
          <t>1</t>
        </is>
      </c>
      <c r="H540" t="inlineStr">
        <is>
          <t>No</t>
        </is>
      </c>
      <c r="I540" t="inlineStr">
        <is>
          <t>No</t>
        </is>
      </c>
      <c r="J540" t="inlineStr">
        <is>
          <t>0</t>
        </is>
      </c>
      <c r="K540" t="inlineStr">
        <is>
          <t>Hillman, Bill W.</t>
        </is>
      </c>
      <c r="L540" t="inlineStr">
        <is>
          <t>Springfield, Ill. : Thomas, c1981.</t>
        </is>
      </c>
      <c r="M540" t="inlineStr">
        <is>
          <t>1981</t>
        </is>
      </c>
      <c r="O540" t="inlineStr">
        <is>
          <t>eng</t>
        </is>
      </c>
      <c r="P540" t="inlineStr">
        <is>
          <t>ilu</t>
        </is>
      </c>
      <c r="R540" t="inlineStr">
        <is>
          <t xml:space="preserve">LB </t>
        </is>
      </c>
      <c r="S540" t="n">
        <v>1</v>
      </c>
      <c r="T540" t="n">
        <v>1</v>
      </c>
      <c r="U540" t="inlineStr">
        <is>
          <t>2008-01-31</t>
        </is>
      </c>
      <c r="V540" t="inlineStr">
        <is>
          <t>2008-01-31</t>
        </is>
      </c>
      <c r="W540" t="inlineStr">
        <is>
          <t>1990-02-27</t>
        </is>
      </c>
      <c r="X540" t="inlineStr">
        <is>
          <t>1990-02-27</t>
        </is>
      </c>
      <c r="Y540" t="n">
        <v>174</v>
      </c>
      <c r="Z540" t="n">
        <v>153</v>
      </c>
      <c r="AA540" t="n">
        <v>154</v>
      </c>
      <c r="AB540" t="n">
        <v>2</v>
      </c>
      <c r="AC540" t="n">
        <v>2</v>
      </c>
      <c r="AD540" t="n">
        <v>4</v>
      </c>
      <c r="AE540" t="n">
        <v>4</v>
      </c>
      <c r="AF540" t="n">
        <v>3</v>
      </c>
      <c r="AG540" t="n">
        <v>3</v>
      </c>
      <c r="AH540" t="n">
        <v>0</v>
      </c>
      <c r="AI540" t="n">
        <v>0</v>
      </c>
      <c r="AJ540" t="n">
        <v>2</v>
      </c>
      <c r="AK540" t="n">
        <v>2</v>
      </c>
      <c r="AL540" t="n">
        <v>1</v>
      </c>
      <c r="AM540" t="n">
        <v>1</v>
      </c>
      <c r="AN540" t="n">
        <v>0</v>
      </c>
      <c r="AO540" t="n">
        <v>0</v>
      </c>
      <c r="AP540" t="inlineStr">
        <is>
          <t>No</t>
        </is>
      </c>
      <c r="AQ540" t="inlineStr">
        <is>
          <t>Yes</t>
        </is>
      </c>
      <c r="AR540">
        <f>HYPERLINK("http://catalog.hathitrust.org/Record/101939710","HathiTrust Record")</f>
        <v/>
      </c>
      <c r="AS540">
        <f>HYPERLINK("https://creighton-primo.hosted.exlibrisgroup.com/primo-explore/search?tab=default_tab&amp;search_scope=EVERYTHING&amp;vid=01CRU&amp;lang=en_US&amp;offset=0&amp;query=any,contains,991004970459702656","Catalog Record")</f>
        <v/>
      </c>
      <c r="AT540">
        <f>HYPERLINK("http://www.worldcat.org/oclc/6357444","WorldCat Record")</f>
        <v/>
      </c>
      <c r="AU540" t="inlineStr">
        <is>
          <t>472227:eng</t>
        </is>
      </c>
      <c r="AV540" t="inlineStr">
        <is>
          <t>6357444</t>
        </is>
      </c>
      <c r="AW540" t="inlineStr">
        <is>
          <t>991004970459702656</t>
        </is>
      </c>
      <c r="AX540" t="inlineStr">
        <is>
          <t>991004970459702656</t>
        </is>
      </c>
      <c r="AY540" t="inlineStr">
        <is>
          <t>2256116900002656</t>
        </is>
      </c>
      <c r="AZ540" t="inlineStr">
        <is>
          <t>BOOK</t>
        </is>
      </c>
      <c r="BB540" t="inlineStr">
        <is>
          <t>9780398041038</t>
        </is>
      </c>
      <c r="BC540" t="inlineStr">
        <is>
          <t>32285000071323</t>
        </is>
      </c>
      <c r="BD540" t="inlineStr">
        <is>
          <t>893883162</t>
        </is>
      </c>
    </row>
    <row r="541">
      <c r="A541" t="inlineStr">
        <is>
          <t>No</t>
        </is>
      </c>
      <c r="B541" t="inlineStr">
        <is>
          <t>LB1065 .M68 1998</t>
        </is>
      </c>
      <c r="C541" t="inlineStr">
        <is>
          <t>0                      LB 1065000M  68          1998</t>
        </is>
      </c>
      <c r="D541" t="inlineStr">
        <is>
          <t>Motivating the difficult to teach / David Galloway ... [et al.].</t>
        </is>
      </c>
      <c r="F541" t="inlineStr">
        <is>
          <t>No</t>
        </is>
      </c>
      <c r="G541" t="inlineStr">
        <is>
          <t>1</t>
        </is>
      </c>
      <c r="H541" t="inlineStr">
        <is>
          <t>No</t>
        </is>
      </c>
      <c r="I541" t="inlineStr">
        <is>
          <t>No</t>
        </is>
      </c>
      <c r="J541" t="inlineStr">
        <is>
          <t>0</t>
        </is>
      </c>
      <c r="L541" t="inlineStr">
        <is>
          <t>London ; New York : Longman, 1998.</t>
        </is>
      </c>
      <c r="M541" t="inlineStr">
        <is>
          <t>1998</t>
        </is>
      </c>
      <c r="O541" t="inlineStr">
        <is>
          <t>eng</t>
        </is>
      </c>
      <c r="P541" t="inlineStr">
        <is>
          <t>enk</t>
        </is>
      </c>
      <c r="Q541" t="inlineStr">
        <is>
          <t>The Effective teacher series</t>
        </is>
      </c>
      <c r="R541" t="inlineStr">
        <is>
          <t xml:space="preserve">LB </t>
        </is>
      </c>
      <c r="S541" t="n">
        <v>4</v>
      </c>
      <c r="T541" t="n">
        <v>4</v>
      </c>
      <c r="U541" t="inlineStr">
        <is>
          <t>2006-03-02</t>
        </is>
      </c>
      <c r="V541" t="inlineStr">
        <is>
          <t>2006-03-02</t>
        </is>
      </c>
      <c r="W541" t="inlineStr">
        <is>
          <t>1999-01-05</t>
        </is>
      </c>
      <c r="X541" t="inlineStr">
        <is>
          <t>1999-01-05</t>
        </is>
      </c>
      <c r="Y541" t="n">
        <v>232</v>
      </c>
      <c r="Z541" t="n">
        <v>117</v>
      </c>
      <c r="AA541" t="n">
        <v>118</v>
      </c>
      <c r="AB541" t="n">
        <v>1</v>
      </c>
      <c r="AC541" t="n">
        <v>1</v>
      </c>
      <c r="AD541" t="n">
        <v>7</v>
      </c>
      <c r="AE541" t="n">
        <v>7</v>
      </c>
      <c r="AF541" t="n">
        <v>3</v>
      </c>
      <c r="AG541" t="n">
        <v>3</v>
      </c>
      <c r="AH541" t="n">
        <v>1</v>
      </c>
      <c r="AI541" t="n">
        <v>1</v>
      </c>
      <c r="AJ541" t="n">
        <v>6</v>
      </c>
      <c r="AK541" t="n">
        <v>6</v>
      </c>
      <c r="AL541" t="n">
        <v>0</v>
      </c>
      <c r="AM541" t="n">
        <v>0</v>
      </c>
      <c r="AN541" t="n">
        <v>0</v>
      </c>
      <c r="AO541" t="n">
        <v>0</v>
      </c>
      <c r="AP541" t="inlineStr">
        <is>
          <t>No</t>
        </is>
      </c>
      <c r="AQ541" t="inlineStr">
        <is>
          <t>Yes</t>
        </is>
      </c>
      <c r="AR541">
        <f>HYPERLINK("http://catalog.hathitrust.org/Record/101991175","HathiTrust Record")</f>
        <v/>
      </c>
      <c r="AS541">
        <f>HYPERLINK("https://creighton-primo.hosted.exlibrisgroup.com/primo-explore/search?tab=default_tab&amp;search_scope=EVERYTHING&amp;vid=01CRU&amp;lang=en_US&amp;offset=0&amp;query=any,contains,991002905859702656","Catalog Record")</f>
        <v/>
      </c>
      <c r="AT541">
        <f>HYPERLINK("http://www.worldcat.org/oclc/38357228","WorldCat Record")</f>
        <v/>
      </c>
      <c r="AU541" t="inlineStr">
        <is>
          <t>180637669:eng</t>
        </is>
      </c>
      <c r="AV541" t="inlineStr">
        <is>
          <t>38357228</t>
        </is>
      </c>
      <c r="AW541" t="inlineStr">
        <is>
          <t>991002905859702656</t>
        </is>
      </c>
      <c r="AX541" t="inlineStr">
        <is>
          <t>991002905859702656</t>
        </is>
      </c>
      <c r="AY541" t="inlineStr">
        <is>
          <t>2272049940002656</t>
        </is>
      </c>
      <c r="AZ541" t="inlineStr">
        <is>
          <t>BOOK</t>
        </is>
      </c>
      <c r="BB541" t="inlineStr">
        <is>
          <t>9780582231559</t>
        </is>
      </c>
      <c r="BC541" t="inlineStr">
        <is>
          <t>32285003509147</t>
        </is>
      </c>
      <c r="BD541" t="inlineStr">
        <is>
          <t>893245805</t>
        </is>
      </c>
    </row>
    <row r="542">
      <c r="A542" t="inlineStr">
        <is>
          <t>No</t>
        </is>
      </c>
      <c r="B542" t="inlineStr">
        <is>
          <t>LB1065 .R47 1984, v.1</t>
        </is>
      </c>
      <c r="C542" t="inlineStr">
        <is>
          <t>0                      LB 1065000R  47          1984                                        v.1</t>
        </is>
      </c>
      <c r="D542" t="inlineStr">
        <is>
          <t>Student motivation / edited by Russell Ames, Carole Ames.</t>
        </is>
      </c>
      <c r="E542" t="inlineStr">
        <is>
          <t>V.1</t>
        </is>
      </c>
      <c r="F542" t="inlineStr">
        <is>
          <t>No</t>
        </is>
      </c>
      <c r="G542" t="inlineStr">
        <is>
          <t>1</t>
        </is>
      </c>
      <c r="H542" t="inlineStr">
        <is>
          <t>No</t>
        </is>
      </c>
      <c r="I542" t="inlineStr">
        <is>
          <t>No</t>
        </is>
      </c>
      <c r="J542" t="inlineStr">
        <is>
          <t>0</t>
        </is>
      </c>
      <c r="L542" t="inlineStr">
        <is>
          <t>Orlando : Academic Press, 1984.</t>
        </is>
      </c>
      <c r="M542" t="inlineStr">
        <is>
          <t>1984</t>
        </is>
      </c>
      <c r="O542" t="inlineStr">
        <is>
          <t>eng</t>
        </is>
      </c>
      <c r="P542" t="inlineStr">
        <is>
          <t>flu</t>
        </is>
      </c>
      <c r="Q542" t="inlineStr">
        <is>
          <t>Research on motivation in education ; v. 1</t>
        </is>
      </c>
      <c r="R542" t="inlineStr">
        <is>
          <t xml:space="preserve">LB </t>
        </is>
      </c>
      <c r="S542" t="n">
        <v>6</v>
      </c>
      <c r="T542" t="n">
        <v>6</v>
      </c>
      <c r="U542" t="inlineStr">
        <is>
          <t>2006-02-26</t>
        </is>
      </c>
      <c r="V542" t="inlineStr">
        <is>
          <t>2006-02-26</t>
        </is>
      </c>
      <c r="W542" t="inlineStr">
        <is>
          <t>1992-04-15</t>
        </is>
      </c>
      <c r="X542" t="inlineStr">
        <is>
          <t>1992-04-15</t>
        </is>
      </c>
      <c r="Y542" t="n">
        <v>40</v>
      </c>
      <c r="Z542" t="n">
        <v>26</v>
      </c>
      <c r="AA542" t="n">
        <v>26</v>
      </c>
      <c r="AB542" t="n">
        <v>2</v>
      </c>
      <c r="AC542" t="n">
        <v>2</v>
      </c>
      <c r="AD542" t="n">
        <v>2</v>
      </c>
      <c r="AE542" t="n">
        <v>2</v>
      </c>
      <c r="AF542" t="n">
        <v>0</v>
      </c>
      <c r="AG542" t="n">
        <v>0</v>
      </c>
      <c r="AH542" t="n">
        <v>0</v>
      </c>
      <c r="AI542" t="n">
        <v>0</v>
      </c>
      <c r="AJ542" t="n">
        <v>1</v>
      </c>
      <c r="AK542" t="n">
        <v>1</v>
      </c>
      <c r="AL542" t="n">
        <v>1</v>
      </c>
      <c r="AM542" t="n">
        <v>1</v>
      </c>
      <c r="AN542" t="n">
        <v>0</v>
      </c>
      <c r="AO542" t="n">
        <v>0</v>
      </c>
      <c r="AP542" t="inlineStr">
        <is>
          <t>No</t>
        </is>
      </c>
      <c r="AQ542" t="inlineStr">
        <is>
          <t>No</t>
        </is>
      </c>
      <c r="AS542">
        <f>HYPERLINK("https://creighton-primo.hosted.exlibrisgroup.com/primo-explore/search?tab=default_tab&amp;search_scope=EVERYTHING&amp;vid=01CRU&amp;lang=en_US&amp;offset=0&amp;query=any,contains,991000504499702656","Catalog Record")</f>
        <v/>
      </c>
      <c r="AT542">
        <f>HYPERLINK("http://www.worldcat.org/oclc/11202220","WorldCat Record")</f>
        <v/>
      </c>
      <c r="AU542" t="inlineStr">
        <is>
          <t>54667761:eng</t>
        </is>
      </c>
      <c r="AV542" t="inlineStr">
        <is>
          <t>11202220</t>
        </is>
      </c>
      <c r="AW542" t="inlineStr">
        <is>
          <t>991000504499702656</t>
        </is>
      </c>
      <c r="AX542" t="inlineStr">
        <is>
          <t>991000504499702656</t>
        </is>
      </c>
      <c r="AY542" t="inlineStr">
        <is>
          <t>2263127560002656</t>
        </is>
      </c>
      <c r="AZ542" t="inlineStr">
        <is>
          <t>BOOK</t>
        </is>
      </c>
      <c r="BB542" t="inlineStr">
        <is>
          <t>9780120567010</t>
        </is>
      </c>
      <c r="BC542" t="inlineStr">
        <is>
          <t>32285001062982</t>
        </is>
      </c>
      <c r="BD542" t="inlineStr">
        <is>
          <t>893871724</t>
        </is>
      </c>
    </row>
    <row r="543">
      <c r="A543" t="inlineStr">
        <is>
          <t>No</t>
        </is>
      </c>
      <c r="B543" t="inlineStr">
        <is>
          <t>LB1065 .S23 2003</t>
        </is>
      </c>
      <c r="C543" t="inlineStr">
        <is>
          <t>0                      LB 1065000S  23          2003</t>
        </is>
      </c>
      <c r="D543" t="inlineStr">
        <is>
          <t>Motivating students and teachers in an era of standards / Richard Sagor.</t>
        </is>
      </c>
      <c r="F543" t="inlineStr">
        <is>
          <t>No</t>
        </is>
      </c>
      <c r="G543" t="inlineStr">
        <is>
          <t>1</t>
        </is>
      </c>
      <c r="H543" t="inlineStr">
        <is>
          <t>No</t>
        </is>
      </c>
      <c r="I543" t="inlineStr">
        <is>
          <t>No</t>
        </is>
      </c>
      <c r="J543" t="inlineStr">
        <is>
          <t>0</t>
        </is>
      </c>
      <c r="K543" t="inlineStr">
        <is>
          <t>Sagor, Richard.</t>
        </is>
      </c>
      <c r="L543" t="inlineStr">
        <is>
          <t>Alexandria, VA : Association for Supervision and Curriculum Development, c2003.</t>
        </is>
      </c>
      <c r="M543" t="inlineStr">
        <is>
          <t>2003</t>
        </is>
      </c>
      <c r="O543" t="inlineStr">
        <is>
          <t>eng</t>
        </is>
      </c>
      <c r="P543" t="inlineStr">
        <is>
          <t>vau</t>
        </is>
      </c>
      <c r="R543" t="inlineStr">
        <is>
          <t xml:space="preserve">LB </t>
        </is>
      </c>
      <c r="S543" t="n">
        <v>4</v>
      </c>
      <c r="T543" t="n">
        <v>4</v>
      </c>
      <c r="U543" t="inlineStr">
        <is>
          <t>2006-03-02</t>
        </is>
      </c>
      <c r="V543" t="inlineStr">
        <is>
          <t>2006-03-02</t>
        </is>
      </c>
      <c r="W543" t="inlineStr">
        <is>
          <t>2004-06-23</t>
        </is>
      </c>
      <c r="X543" t="inlineStr">
        <is>
          <t>2004-06-23</t>
        </is>
      </c>
      <c r="Y543" t="n">
        <v>291</v>
      </c>
      <c r="Z543" t="n">
        <v>255</v>
      </c>
      <c r="AA543" t="n">
        <v>255</v>
      </c>
      <c r="AB543" t="n">
        <v>5</v>
      </c>
      <c r="AC543" t="n">
        <v>5</v>
      </c>
      <c r="AD543" t="n">
        <v>13</v>
      </c>
      <c r="AE543" t="n">
        <v>13</v>
      </c>
      <c r="AF543" t="n">
        <v>4</v>
      </c>
      <c r="AG543" t="n">
        <v>4</v>
      </c>
      <c r="AH543" t="n">
        <v>3</v>
      </c>
      <c r="AI543" t="n">
        <v>3</v>
      </c>
      <c r="AJ543" t="n">
        <v>2</v>
      </c>
      <c r="AK543" t="n">
        <v>2</v>
      </c>
      <c r="AL543" t="n">
        <v>4</v>
      </c>
      <c r="AM543" t="n">
        <v>4</v>
      </c>
      <c r="AN543" t="n">
        <v>0</v>
      </c>
      <c r="AO543" t="n">
        <v>0</v>
      </c>
      <c r="AP543" t="inlineStr">
        <is>
          <t>No</t>
        </is>
      </c>
      <c r="AQ543" t="inlineStr">
        <is>
          <t>No</t>
        </is>
      </c>
      <c r="AS543">
        <f>HYPERLINK("https://creighton-primo.hosted.exlibrisgroup.com/primo-explore/search?tab=default_tab&amp;search_scope=EVERYTHING&amp;vid=01CRU&amp;lang=en_US&amp;offset=0&amp;query=any,contains,991004290099702656","Catalog Record")</f>
        <v/>
      </c>
      <c r="AT543">
        <f>HYPERLINK("http://www.worldcat.org/oclc/52644472","WorldCat Record")</f>
        <v/>
      </c>
      <c r="AU543" t="inlineStr">
        <is>
          <t>729915:eng</t>
        </is>
      </c>
      <c r="AV543" t="inlineStr">
        <is>
          <t>52644472</t>
        </is>
      </c>
      <c r="AW543" t="inlineStr">
        <is>
          <t>991004290099702656</t>
        </is>
      </c>
      <c r="AX543" t="inlineStr">
        <is>
          <t>991004290099702656</t>
        </is>
      </c>
      <c r="AY543" t="inlineStr">
        <is>
          <t>2255038670002656</t>
        </is>
      </c>
      <c r="AZ543" t="inlineStr">
        <is>
          <t>BOOK</t>
        </is>
      </c>
      <c r="BB543" t="inlineStr">
        <is>
          <t>9780871208019</t>
        </is>
      </c>
      <c r="BC543" t="inlineStr">
        <is>
          <t>32285004920855</t>
        </is>
      </c>
      <c r="BD543" t="inlineStr">
        <is>
          <t>893624556</t>
        </is>
      </c>
    </row>
    <row r="544">
      <c r="A544" t="inlineStr">
        <is>
          <t>No</t>
        </is>
      </c>
      <c r="B544" t="inlineStr">
        <is>
          <t>LB1065 .S64 1992</t>
        </is>
      </c>
      <c r="C544" t="inlineStr">
        <is>
          <t>0                      LB 1065000S  64          1992</t>
        </is>
      </c>
      <c r="D544" t="inlineStr">
        <is>
          <t>Motivation in the classroom / by Cheryl L. Spaulding.</t>
        </is>
      </c>
      <c r="F544" t="inlineStr">
        <is>
          <t>No</t>
        </is>
      </c>
      <c r="G544" t="inlineStr">
        <is>
          <t>1</t>
        </is>
      </c>
      <c r="H544" t="inlineStr">
        <is>
          <t>No</t>
        </is>
      </c>
      <c r="I544" t="inlineStr">
        <is>
          <t>No</t>
        </is>
      </c>
      <c r="J544" t="inlineStr">
        <is>
          <t>0</t>
        </is>
      </c>
      <c r="K544" t="inlineStr">
        <is>
          <t>Spaulding, Cheryl Lynn.</t>
        </is>
      </c>
      <c r="L544" t="inlineStr">
        <is>
          <t>New York : McGraw-Hill, c1992.</t>
        </is>
      </c>
      <c r="M544" t="inlineStr">
        <is>
          <t>1992</t>
        </is>
      </c>
      <c r="O544" t="inlineStr">
        <is>
          <t>eng</t>
        </is>
      </c>
      <c r="P544" t="inlineStr">
        <is>
          <t>nyu</t>
        </is>
      </c>
      <c r="R544" t="inlineStr">
        <is>
          <t xml:space="preserve">LB </t>
        </is>
      </c>
      <c r="S544" t="n">
        <v>22</v>
      </c>
      <c r="T544" t="n">
        <v>22</v>
      </c>
      <c r="U544" t="inlineStr">
        <is>
          <t>2009-10-30</t>
        </is>
      </c>
      <c r="V544" t="inlineStr">
        <is>
          <t>2009-10-30</t>
        </is>
      </c>
      <c r="W544" t="inlineStr">
        <is>
          <t>1992-03-26</t>
        </is>
      </c>
      <c r="X544" t="inlineStr">
        <is>
          <t>1992-03-26</t>
        </is>
      </c>
      <c r="Y544" t="n">
        <v>264</v>
      </c>
      <c r="Z544" t="n">
        <v>183</v>
      </c>
      <c r="AA544" t="n">
        <v>183</v>
      </c>
      <c r="AB544" t="n">
        <v>1</v>
      </c>
      <c r="AC544" t="n">
        <v>1</v>
      </c>
      <c r="AD544" t="n">
        <v>11</v>
      </c>
      <c r="AE544" t="n">
        <v>11</v>
      </c>
      <c r="AF544" t="n">
        <v>7</v>
      </c>
      <c r="AG544" t="n">
        <v>7</v>
      </c>
      <c r="AH544" t="n">
        <v>0</v>
      </c>
      <c r="AI544" t="n">
        <v>0</v>
      </c>
      <c r="AJ544" t="n">
        <v>8</v>
      </c>
      <c r="AK544" t="n">
        <v>8</v>
      </c>
      <c r="AL544" t="n">
        <v>0</v>
      </c>
      <c r="AM544" t="n">
        <v>0</v>
      </c>
      <c r="AN544" t="n">
        <v>0</v>
      </c>
      <c r="AO544" t="n">
        <v>0</v>
      </c>
      <c r="AP544" t="inlineStr">
        <is>
          <t>No</t>
        </is>
      </c>
      <c r="AQ544" t="inlineStr">
        <is>
          <t>No</t>
        </is>
      </c>
      <c r="AS544">
        <f>HYPERLINK("https://creighton-primo.hosted.exlibrisgroup.com/primo-explore/search?tab=default_tab&amp;search_scope=EVERYTHING&amp;vid=01CRU&amp;lang=en_US&amp;offset=0&amp;query=any,contains,991001926039702656","Catalog Record")</f>
        <v/>
      </c>
      <c r="AT544">
        <f>HYPERLINK("http://www.worldcat.org/oclc/24319740","WorldCat Record")</f>
        <v/>
      </c>
      <c r="AU544" t="inlineStr">
        <is>
          <t>325781245:eng</t>
        </is>
      </c>
      <c r="AV544" t="inlineStr">
        <is>
          <t>24319740</t>
        </is>
      </c>
      <c r="AW544" t="inlineStr">
        <is>
          <t>991001926039702656</t>
        </is>
      </c>
      <c r="AX544" t="inlineStr">
        <is>
          <t>991001926039702656</t>
        </is>
      </c>
      <c r="AY544" t="inlineStr">
        <is>
          <t>2272032320002656</t>
        </is>
      </c>
      <c r="AZ544" t="inlineStr">
        <is>
          <t>BOOK</t>
        </is>
      </c>
      <c r="BB544" t="inlineStr">
        <is>
          <t>9780070599277</t>
        </is>
      </c>
      <c r="BC544" t="inlineStr">
        <is>
          <t>32285001006435</t>
        </is>
      </c>
      <c r="BD544" t="inlineStr">
        <is>
          <t>893879310</t>
        </is>
      </c>
    </row>
    <row r="545">
      <c r="A545" t="inlineStr">
        <is>
          <t>No</t>
        </is>
      </c>
      <c r="B545" t="inlineStr">
        <is>
          <t>LB1065 .T47</t>
        </is>
      </c>
      <c r="C545" t="inlineStr">
        <is>
          <t>0                      LB 1065000T  47</t>
        </is>
      </c>
      <c r="D545" t="inlineStr">
        <is>
          <t>Writing long-term and short-term objectives : a painless approach / Duane G. Thompson. --</t>
        </is>
      </c>
      <c r="F545" t="inlineStr">
        <is>
          <t>No</t>
        </is>
      </c>
      <c r="G545" t="inlineStr">
        <is>
          <t>1</t>
        </is>
      </c>
      <c r="H545" t="inlineStr">
        <is>
          <t>No</t>
        </is>
      </c>
      <c r="I545" t="inlineStr">
        <is>
          <t>No</t>
        </is>
      </c>
      <c r="J545" t="inlineStr">
        <is>
          <t>0</t>
        </is>
      </c>
      <c r="K545" t="inlineStr">
        <is>
          <t>Thompson, Duane G.</t>
        </is>
      </c>
      <c r="L545" t="inlineStr">
        <is>
          <t>Champaign, Ill. : Research Press Co., c1977.</t>
        </is>
      </c>
      <c r="M545" t="inlineStr">
        <is>
          <t>1977</t>
        </is>
      </c>
      <c r="O545" t="inlineStr">
        <is>
          <t>eng</t>
        </is>
      </c>
      <c r="P545" t="inlineStr">
        <is>
          <t>ilu</t>
        </is>
      </c>
      <c r="R545" t="inlineStr">
        <is>
          <t xml:space="preserve">LB </t>
        </is>
      </c>
      <c r="S545" t="n">
        <v>1</v>
      </c>
      <c r="T545" t="n">
        <v>1</v>
      </c>
      <c r="U545" t="inlineStr">
        <is>
          <t>2007-11-07</t>
        </is>
      </c>
      <c r="V545" t="inlineStr">
        <is>
          <t>2007-11-07</t>
        </is>
      </c>
      <c r="W545" t="inlineStr">
        <is>
          <t>1992-11-19</t>
        </is>
      </c>
      <c r="X545" t="inlineStr">
        <is>
          <t>1992-11-19</t>
        </is>
      </c>
      <c r="Y545" t="n">
        <v>221</v>
      </c>
      <c r="Z545" t="n">
        <v>195</v>
      </c>
      <c r="AA545" t="n">
        <v>201</v>
      </c>
      <c r="AB545" t="n">
        <v>3</v>
      </c>
      <c r="AC545" t="n">
        <v>3</v>
      </c>
      <c r="AD545" t="n">
        <v>7</v>
      </c>
      <c r="AE545" t="n">
        <v>7</v>
      </c>
      <c r="AF545" t="n">
        <v>3</v>
      </c>
      <c r="AG545" t="n">
        <v>3</v>
      </c>
      <c r="AH545" t="n">
        <v>1</v>
      </c>
      <c r="AI545" t="n">
        <v>1</v>
      </c>
      <c r="AJ545" t="n">
        <v>3</v>
      </c>
      <c r="AK545" t="n">
        <v>3</v>
      </c>
      <c r="AL545" t="n">
        <v>2</v>
      </c>
      <c r="AM545" t="n">
        <v>2</v>
      </c>
      <c r="AN545" t="n">
        <v>0</v>
      </c>
      <c r="AO545" t="n">
        <v>0</v>
      </c>
      <c r="AP545" t="inlineStr">
        <is>
          <t>No</t>
        </is>
      </c>
      <c r="AQ545" t="inlineStr">
        <is>
          <t>No</t>
        </is>
      </c>
      <c r="AS545">
        <f>HYPERLINK("https://creighton-primo.hosted.exlibrisgroup.com/primo-explore/search?tab=default_tab&amp;search_scope=EVERYTHING&amp;vid=01CRU&amp;lang=en_US&amp;offset=0&amp;query=any,contains,991004515619702656","Catalog Record")</f>
        <v/>
      </c>
      <c r="AT545">
        <f>HYPERLINK("http://www.worldcat.org/oclc/3786052","WorldCat Record")</f>
        <v/>
      </c>
      <c r="AU545" t="inlineStr">
        <is>
          <t>309308010:eng</t>
        </is>
      </c>
      <c r="AV545" t="inlineStr">
        <is>
          <t>3786052</t>
        </is>
      </c>
      <c r="AW545" t="inlineStr">
        <is>
          <t>991004515619702656</t>
        </is>
      </c>
      <c r="AX545" t="inlineStr">
        <is>
          <t>991004515619702656</t>
        </is>
      </c>
      <c r="AY545" t="inlineStr">
        <is>
          <t>2255051800002656</t>
        </is>
      </c>
      <c r="AZ545" t="inlineStr">
        <is>
          <t>BOOK</t>
        </is>
      </c>
      <c r="BB545" t="inlineStr">
        <is>
          <t>9780878221417</t>
        </is>
      </c>
      <c r="BC545" t="inlineStr">
        <is>
          <t>32285001407708</t>
        </is>
      </c>
      <c r="BD545" t="inlineStr">
        <is>
          <t>893719010</t>
        </is>
      </c>
    </row>
    <row r="546">
      <c r="A546" t="inlineStr">
        <is>
          <t>No</t>
        </is>
      </c>
      <c r="B546" t="inlineStr">
        <is>
          <t>LB1065 .W58 1990</t>
        </is>
      </c>
      <c r="C546" t="inlineStr">
        <is>
          <t>0                      LB 1065000W  58          1990</t>
        </is>
      </c>
      <c r="D546" t="inlineStr">
        <is>
          <t>Eager to learn : helping children become motivated and love learning / Raymond J. Wlodkowski, Judith H. Jaynes.</t>
        </is>
      </c>
      <c r="F546" t="inlineStr">
        <is>
          <t>No</t>
        </is>
      </c>
      <c r="G546" t="inlineStr">
        <is>
          <t>1</t>
        </is>
      </c>
      <c r="H546" t="inlineStr">
        <is>
          <t>No</t>
        </is>
      </c>
      <c r="I546" t="inlineStr">
        <is>
          <t>No</t>
        </is>
      </c>
      <c r="J546" t="inlineStr">
        <is>
          <t>0</t>
        </is>
      </c>
      <c r="K546" t="inlineStr">
        <is>
          <t>Wlodkowski, Raymond J.</t>
        </is>
      </c>
      <c r="L546" t="inlineStr">
        <is>
          <t>San Francisco : Jossey-Bass Publishers, 1990.</t>
        </is>
      </c>
      <c r="M546" t="inlineStr">
        <is>
          <t>1990</t>
        </is>
      </c>
      <c r="N546" t="inlineStr">
        <is>
          <t>1st ed.</t>
        </is>
      </c>
      <c r="O546" t="inlineStr">
        <is>
          <t>eng</t>
        </is>
      </c>
      <c r="P546" t="inlineStr">
        <is>
          <t>cau</t>
        </is>
      </c>
      <c r="Q546" t="inlineStr">
        <is>
          <t>A Joint publication in the Jossey-Bass education series and the Jossey-Bass social and behavioral science series</t>
        </is>
      </c>
      <c r="R546" t="inlineStr">
        <is>
          <t xml:space="preserve">LB </t>
        </is>
      </c>
      <c r="S546" t="n">
        <v>11</v>
      </c>
      <c r="T546" t="n">
        <v>11</v>
      </c>
      <c r="U546" t="inlineStr">
        <is>
          <t>2003-03-16</t>
        </is>
      </c>
      <c r="V546" t="inlineStr">
        <is>
          <t>2003-03-16</t>
        </is>
      </c>
      <c r="W546" t="inlineStr">
        <is>
          <t>1990-11-05</t>
        </is>
      </c>
      <c r="X546" t="inlineStr">
        <is>
          <t>1990-11-05</t>
        </is>
      </c>
      <c r="Y546" t="n">
        <v>1217</v>
      </c>
      <c r="Z546" t="n">
        <v>1103</v>
      </c>
      <c r="AA546" t="n">
        <v>1152</v>
      </c>
      <c r="AB546" t="n">
        <v>10</v>
      </c>
      <c r="AC546" t="n">
        <v>10</v>
      </c>
      <c r="AD546" t="n">
        <v>35</v>
      </c>
      <c r="AE546" t="n">
        <v>36</v>
      </c>
      <c r="AF546" t="n">
        <v>14</v>
      </c>
      <c r="AG546" t="n">
        <v>15</v>
      </c>
      <c r="AH546" t="n">
        <v>3</v>
      </c>
      <c r="AI546" t="n">
        <v>3</v>
      </c>
      <c r="AJ546" t="n">
        <v>14</v>
      </c>
      <c r="AK546" t="n">
        <v>14</v>
      </c>
      <c r="AL546" t="n">
        <v>8</v>
      </c>
      <c r="AM546" t="n">
        <v>8</v>
      </c>
      <c r="AN546" t="n">
        <v>0</v>
      </c>
      <c r="AO546" t="n">
        <v>0</v>
      </c>
      <c r="AP546" t="inlineStr">
        <is>
          <t>No</t>
        </is>
      </c>
      <c r="AQ546" t="inlineStr">
        <is>
          <t>Yes</t>
        </is>
      </c>
      <c r="AR546">
        <f>HYPERLINK("http://catalog.hathitrust.org/Record/001948528","HathiTrust Record")</f>
        <v/>
      </c>
      <c r="AS546">
        <f>HYPERLINK("https://creighton-primo.hosted.exlibrisgroup.com/primo-explore/search?tab=default_tab&amp;search_scope=EVERYTHING&amp;vid=01CRU&amp;lang=en_US&amp;offset=0&amp;query=any,contains,991001592369702656","Catalog Record")</f>
        <v/>
      </c>
      <c r="AT546">
        <f>HYPERLINK("http://www.worldcat.org/oclc/20593807","WorldCat Record")</f>
        <v/>
      </c>
      <c r="AU546" t="inlineStr">
        <is>
          <t>894396128:eng</t>
        </is>
      </c>
      <c r="AV546" t="inlineStr">
        <is>
          <t>20593807</t>
        </is>
      </c>
      <c r="AW546" t="inlineStr">
        <is>
          <t>991001592369702656</t>
        </is>
      </c>
      <c r="AX546" t="inlineStr">
        <is>
          <t>991001592369702656</t>
        </is>
      </c>
      <c r="AY546" t="inlineStr">
        <is>
          <t>2267066880002656</t>
        </is>
      </c>
      <c r="AZ546" t="inlineStr">
        <is>
          <t>BOOK</t>
        </is>
      </c>
      <c r="BB546" t="inlineStr">
        <is>
          <t>9781555422066</t>
        </is>
      </c>
      <c r="BC546" t="inlineStr">
        <is>
          <t>32285000313527</t>
        </is>
      </c>
      <c r="BD546" t="inlineStr">
        <is>
          <t>893615222</t>
        </is>
      </c>
    </row>
    <row r="547">
      <c r="A547" t="inlineStr">
        <is>
          <t>No</t>
        </is>
      </c>
      <c r="B547" t="inlineStr">
        <is>
          <t>LB1065 .W59 1986</t>
        </is>
      </c>
      <c r="C547" t="inlineStr">
        <is>
          <t>0                      LB 1065000W  59          1986</t>
        </is>
      </c>
      <c r="D547" t="inlineStr">
        <is>
          <t>Motivation and teaching : a practical guide / by Raymond J. Wlodkowski.</t>
        </is>
      </c>
      <c r="F547" t="inlineStr">
        <is>
          <t>No</t>
        </is>
      </c>
      <c r="G547" t="inlineStr">
        <is>
          <t>1</t>
        </is>
      </c>
      <c r="H547" t="inlineStr">
        <is>
          <t>No</t>
        </is>
      </c>
      <c r="I547" t="inlineStr">
        <is>
          <t>No</t>
        </is>
      </c>
      <c r="J547" t="inlineStr">
        <is>
          <t>0</t>
        </is>
      </c>
      <c r="K547" t="inlineStr">
        <is>
          <t>Wlodkowski, Raymond J.</t>
        </is>
      </c>
      <c r="L547" t="inlineStr">
        <is>
          <t>Washington, D.C. : National Education Association, c1986.</t>
        </is>
      </c>
      <c r="M547" t="inlineStr">
        <is>
          <t>1986</t>
        </is>
      </c>
      <c r="O547" t="inlineStr">
        <is>
          <t>eng</t>
        </is>
      </c>
      <c r="P547" t="inlineStr">
        <is>
          <t>dcu</t>
        </is>
      </c>
      <c r="R547" t="inlineStr">
        <is>
          <t xml:space="preserve">LB </t>
        </is>
      </c>
      <c r="S547" t="n">
        <v>10</v>
      </c>
      <c r="T547" t="n">
        <v>10</v>
      </c>
      <c r="U547" t="inlineStr">
        <is>
          <t>1998-11-19</t>
        </is>
      </c>
      <c r="V547" t="inlineStr">
        <is>
          <t>1998-11-19</t>
        </is>
      </c>
      <c r="W547" t="inlineStr">
        <is>
          <t>1999-02-01</t>
        </is>
      </c>
      <c r="X547" t="inlineStr">
        <is>
          <t>1999-02-01</t>
        </is>
      </c>
      <c r="Y547" t="n">
        <v>304</v>
      </c>
      <c r="Z547" t="n">
        <v>296</v>
      </c>
      <c r="AA547" t="n">
        <v>760</v>
      </c>
      <c r="AB547" t="n">
        <v>5</v>
      </c>
      <c r="AC547" t="n">
        <v>11</v>
      </c>
      <c r="AD547" t="n">
        <v>15</v>
      </c>
      <c r="AE547" t="n">
        <v>33</v>
      </c>
      <c r="AF547" t="n">
        <v>5</v>
      </c>
      <c r="AG547" t="n">
        <v>12</v>
      </c>
      <c r="AH547" t="n">
        <v>2</v>
      </c>
      <c r="AI547" t="n">
        <v>6</v>
      </c>
      <c r="AJ547" t="n">
        <v>8</v>
      </c>
      <c r="AK547" t="n">
        <v>14</v>
      </c>
      <c r="AL547" t="n">
        <v>4</v>
      </c>
      <c r="AM547" t="n">
        <v>10</v>
      </c>
      <c r="AN547" t="n">
        <v>0</v>
      </c>
      <c r="AO547" t="n">
        <v>0</v>
      </c>
      <c r="AP547" t="inlineStr">
        <is>
          <t>No</t>
        </is>
      </c>
      <c r="AQ547" t="inlineStr">
        <is>
          <t>Yes</t>
        </is>
      </c>
      <c r="AR547">
        <f>HYPERLINK("http://catalog.hathitrust.org/Record/000817574","HathiTrust Record")</f>
        <v/>
      </c>
      <c r="AS547">
        <f>HYPERLINK("https://creighton-primo.hosted.exlibrisgroup.com/primo-explore/search?tab=default_tab&amp;search_scope=EVERYTHING&amp;vid=01CRU&amp;lang=en_US&amp;offset=0&amp;query=any,contains,991001030179702656","Catalog Record")</f>
        <v/>
      </c>
      <c r="AT547">
        <f>HYPERLINK("http://www.worldcat.org/oclc/15496486","WorldCat Record")</f>
        <v/>
      </c>
      <c r="AU547" t="inlineStr">
        <is>
          <t>1075757:eng</t>
        </is>
      </c>
      <c r="AV547" t="inlineStr">
        <is>
          <t>15496486</t>
        </is>
      </c>
      <c r="AW547" t="inlineStr">
        <is>
          <t>991001030179702656</t>
        </is>
      </c>
      <c r="AX547" t="inlineStr">
        <is>
          <t>991001030179702656</t>
        </is>
      </c>
      <c r="AY547" t="inlineStr">
        <is>
          <t>2272436340002656</t>
        </is>
      </c>
      <c r="AZ547" t="inlineStr">
        <is>
          <t>BOOK</t>
        </is>
      </c>
      <c r="BB547" t="inlineStr">
        <is>
          <t>9780810607514</t>
        </is>
      </c>
      <c r="BC547" t="inlineStr">
        <is>
          <t>32285003262895</t>
        </is>
      </c>
      <c r="BD547" t="inlineStr">
        <is>
          <t>893407763</t>
        </is>
      </c>
    </row>
    <row r="548">
      <c r="A548" t="inlineStr">
        <is>
          <t>No</t>
        </is>
      </c>
      <c r="B548" t="inlineStr">
        <is>
          <t>LB1067 .T48</t>
        </is>
      </c>
      <c r="C548" t="inlineStr">
        <is>
          <t>0                      LB 1067000T  48</t>
        </is>
      </c>
      <c r="D548" t="inlineStr">
        <is>
          <t>Beyond words : nonverbal communication in the classroom / [by] James J. Thompson.</t>
        </is>
      </c>
      <c r="F548" t="inlineStr">
        <is>
          <t>No</t>
        </is>
      </c>
      <c r="G548" t="inlineStr">
        <is>
          <t>1</t>
        </is>
      </c>
      <c r="H548" t="inlineStr">
        <is>
          <t>No</t>
        </is>
      </c>
      <c r="I548" t="inlineStr">
        <is>
          <t>No</t>
        </is>
      </c>
      <c r="J548" t="inlineStr">
        <is>
          <t>0</t>
        </is>
      </c>
      <c r="K548" t="inlineStr">
        <is>
          <t>Thompson, James J. (James Joseph), 1924-</t>
        </is>
      </c>
      <c r="L548" t="inlineStr">
        <is>
          <t>New York : Citation Press, 1973.</t>
        </is>
      </c>
      <c r="M548" t="inlineStr">
        <is>
          <t>1973</t>
        </is>
      </c>
      <c r="O548" t="inlineStr">
        <is>
          <t>eng</t>
        </is>
      </c>
      <c r="P548" t="inlineStr">
        <is>
          <t>nyu</t>
        </is>
      </c>
      <c r="R548" t="inlineStr">
        <is>
          <t xml:space="preserve">LB </t>
        </is>
      </c>
      <c r="S548" t="n">
        <v>6</v>
      </c>
      <c r="T548" t="n">
        <v>6</v>
      </c>
      <c r="U548" t="inlineStr">
        <is>
          <t>2001-09-28</t>
        </is>
      </c>
      <c r="V548" t="inlineStr">
        <is>
          <t>2001-09-28</t>
        </is>
      </c>
      <c r="W548" t="inlineStr">
        <is>
          <t>1993-07-01</t>
        </is>
      </c>
      <c r="X548" t="inlineStr">
        <is>
          <t>1993-07-01</t>
        </is>
      </c>
      <c r="Y548" t="n">
        <v>342</v>
      </c>
      <c r="Z548" t="n">
        <v>310</v>
      </c>
      <c r="AA548" t="n">
        <v>311</v>
      </c>
      <c r="AB548" t="n">
        <v>4</v>
      </c>
      <c r="AC548" t="n">
        <v>4</v>
      </c>
      <c r="AD548" t="n">
        <v>10</v>
      </c>
      <c r="AE548" t="n">
        <v>10</v>
      </c>
      <c r="AF548" t="n">
        <v>3</v>
      </c>
      <c r="AG548" t="n">
        <v>3</v>
      </c>
      <c r="AH548" t="n">
        <v>2</v>
      </c>
      <c r="AI548" t="n">
        <v>2</v>
      </c>
      <c r="AJ548" t="n">
        <v>4</v>
      </c>
      <c r="AK548" t="n">
        <v>4</v>
      </c>
      <c r="AL548" t="n">
        <v>3</v>
      </c>
      <c r="AM548" t="n">
        <v>3</v>
      </c>
      <c r="AN548" t="n">
        <v>0</v>
      </c>
      <c r="AO548" t="n">
        <v>0</v>
      </c>
      <c r="AP548" t="inlineStr">
        <is>
          <t>No</t>
        </is>
      </c>
      <c r="AQ548" t="inlineStr">
        <is>
          <t>Yes</t>
        </is>
      </c>
      <c r="AR548">
        <f>HYPERLINK("http://catalog.hathitrust.org/Record/007395468","HathiTrust Record")</f>
        <v/>
      </c>
      <c r="AS548">
        <f>HYPERLINK("https://creighton-primo.hosted.exlibrisgroup.com/primo-explore/search?tab=default_tab&amp;search_scope=EVERYTHING&amp;vid=01CRU&amp;lang=en_US&amp;offset=0&amp;query=any,contains,991003135249702656","Catalog Record")</f>
        <v/>
      </c>
      <c r="AT548">
        <f>HYPERLINK("http://www.worldcat.org/oclc/677161","WorldCat Record")</f>
        <v/>
      </c>
      <c r="AU548" t="inlineStr">
        <is>
          <t>1733866:eng</t>
        </is>
      </c>
      <c r="AV548" t="inlineStr">
        <is>
          <t>677161</t>
        </is>
      </c>
      <c r="AW548" t="inlineStr">
        <is>
          <t>991003135249702656</t>
        </is>
      </c>
      <c r="AX548" t="inlineStr">
        <is>
          <t>991003135249702656</t>
        </is>
      </c>
      <c r="AY548" t="inlineStr">
        <is>
          <t>2272346880002656</t>
        </is>
      </c>
      <c r="AZ548" t="inlineStr">
        <is>
          <t>BOOK</t>
        </is>
      </c>
      <c r="BC548" t="inlineStr">
        <is>
          <t>32285001699551</t>
        </is>
      </c>
      <c r="BD548" t="inlineStr">
        <is>
          <t>893774433</t>
        </is>
      </c>
    </row>
    <row r="549">
      <c r="A549" t="inlineStr">
        <is>
          <t>No</t>
        </is>
      </c>
      <c r="B549" t="inlineStr">
        <is>
          <t>LB1067.5 .H94 1996</t>
        </is>
      </c>
      <c r="C549" t="inlineStr">
        <is>
          <t>0                      LB 1067500H  94          1996</t>
        </is>
      </c>
      <c r="D549" t="inlineStr">
        <is>
          <t>Visual tools for constructing knowledge / David Hyerle.</t>
        </is>
      </c>
      <c r="F549" t="inlineStr">
        <is>
          <t>No</t>
        </is>
      </c>
      <c r="G549" t="inlineStr">
        <is>
          <t>1</t>
        </is>
      </c>
      <c r="H549" t="inlineStr">
        <is>
          <t>No</t>
        </is>
      </c>
      <c r="I549" t="inlineStr">
        <is>
          <t>No</t>
        </is>
      </c>
      <c r="J549" t="inlineStr">
        <is>
          <t>0</t>
        </is>
      </c>
      <c r="K549" t="inlineStr">
        <is>
          <t>Hyerle, David.</t>
        </is>
      </c>
      <c r="L549" t="inlineStr">
        <is>
          <t>Alexandria, Va. : Association for Supervision and Curriculum Development, 1996.</t>
        </is>
      </c>
      <c r="M549" t="inlineStr">
        <is>
          <t>1996</t>
        </is>
      </c>
      <c r="O549" t="inlineStr">
        <is>
          <t>eng</t>
        </is>
      </c>
      <c r="P549" t="inlineStr">
        <is>
          <t>vau</t>
        </is>
      </c>
      <c r="R549" t="inlineStr">
        <is>
          <t xml:space="preserve">LB </t>
        </is>
      </c>
      <c r="S549" t="n">
        <v>8</v>
      </c>
      <c r="T549" t="n">
        <v>8</v>
      </c>
      <c r="U549" t="inlineStr">
        <is>
          <t>2010-04-06</t>
        </is>
      </c>
      <c r="V549" t="inlineStr">
        <is>
          <t>2010-04-06</t>
        </is>
      </c>
      <c r="W549" t="inlineStr">
        <is>
          <t>1996-07-22</t>
        </is>
      </c>
      <c r="X549" t="inlineStr">
        <is>
          <t>1996-07-22</t>
        </is>
      </c>
      <c r="Y549" t="n">
        <v>722</v>
      </c>
      <c r="Z549" t="n">
        <v>637</v>
      </c>
      <c r="AA549" t="n">
        <v>638</v>
      </c>
      <c r="AB549" t="n">
        <v>7</v>
      </c>
      <c r="AC549" t="n">
        <v>7</v>
      </c>
      <c r="AD549" t="n">
        <v>24</v>
      </c>
      <c r="AE549" t="n">
        <v>24</v>
      </c>
      <c r="AF549" t="n">
        <v>9</v>
      </c>
      <c r="AG549" t="n">
        <v>9</v>
      </c>
      <c r="AH549" t="n">
        <v>5</v>
      </c>
      <c r="AI549" t="n">
        <v>5</v>
      </c>
      <c r="AJ549" t="n">
        <v>9</v>
      </c>
      <c r="AK549" t="n">
        <v>9</v>
      </c>
      <c r="AL549" t="n">
        <v>4</v>
      </c>
      <c r="AM549" t="n">
        <v>4</v>
      </c>
      <c r="AN549" t="n">
        <v>0</v>
      </c>
      <c r="AO549" t="n">
        <v>0</v>
      </c>
      <c r="AP549" t="inlineStr">
        <is>
          <t>No</t>
        </is>
      </c>
      <c r="AQ549" t="inlineStr">
        <is>
          <t>No</t>
        </is>
      </c>
      <c r="AS549">
        <f>HYPERLINK("https://creighton-primo.hosted.exlibrisgroup.com/primo-explore/search?tab=default_tab&amp;search_scope=EVERYTHING&amp;vid=01CRU&amp;lang=en_US&amp;offset=0&amp;query=any,contains,991002650649702656","Catalog Record")</f>
        <v/>
      </c>
      <c r="AT549">
        <f>HYPERLINK("http://www.worldcat.org/oclc/34669414","WorldCat Record")</f>
        <v/>
      </c>
      <c r="AU549" t="inlineStr">
        <is>
          <t>39990951:eng</t>
        </is>
      </c>
      <c r="AV549" t="inlineStr">
        <is>
          <t>34669414</t>
        </is>
      </c>
      <c r="AW549" t="inlineStr">
        <is>
          <t>991002650649702656</t>
        </is>
      </c>
      <c r="AX549" t="inlineStr">
        <is>
          <t>991002650649702656</t>
        </is>
      </c>
      <c r="AY549" t="inlineStr">
        <is>
          <t>2271274350002656</t>
        </is>
      </c>
      <c r="AZ549" t="inlineStr">
        <is>
          <t>BOOK</t>
        </is>
      </c>
      <c r="BB549" t="inlineStr">
        <is>
          <t>9780871202666</t>
        </is>
      </c>
      <c r="BC549" t="inlineStr">
        <is>
          <t>32285002207768</t>
        </is>
      </c>
      <c r="BD549" t="inlineStr">
        <is>
          <t>893335545</t>
        </is>
      </c>
    </row>
    <row r="550">
      <c r="A550" t="inlineStr">
        <is>
          <t>No</t>
        </is>
      </c>
      <c r="B550" t="inlineStr">
        <is>
          <t>LB1068 .B87 2002</t>
        </is>
      </c>
      <c r="C550" t="inlineStr">
        <is>
          <t>0                      LB 1068000B  87          2002</t>
        </is>
      </c>
      <c r="D550" t="inlineStr">
        <is>
          <t>Visual literacy : learn to see, see to learn / Lynell Burmark.</t>
        </is>
      </c>
      <c r="F550" t="inlineStr">
        <is>
          <t>No</t>
        </is>
      </c>
      <c r="G550" t="inlineStr">
        <is>
          <t>1</t>
        </is>
      </c>
      <c r="H550" t="inlineStr">
        <is>
          <t>No</t>
        </is>
      </c>
      <c r="I550" t="inlineStr">
        <is>
          <t>No</t>
        </is>
      </c>
      <c r="J550" t="inlineStr">
        <is>
          <t>0</t>
        </is>
      </c>
      <c r="K550" t="inlineStr">
        <is>
          <t>Burmark, Lynell, 1946-</t>
        </is>
      </c>
      <c r="L550" t="inlineStr">
        <is>
          <t>Alexandria, Va. : Association for Supervision and Curriculum Development, c2002.</t>
        </is>
      </c>
      <c r="M550" t="inlineStr">
        <is>
          <t>2002</t>
        </is>
      </c>
      <c r="O550" t="inlineStr">
        <is>
          <t>eng</t>
        </is>
      </c>
      <c r="P550" t="inlineStr">
        <is>
          <t>vau</t>
        </is>
      </c>
      <c r="R550" t="inlineStr">
        <is>
          <t xml:space="preserve">LB </t>
        </is>
      </c>
      <c r="S550" t="n">
        <v>5</v>
      </c>
      <c r="T550" t="n">
        <v>5</v>
      </c>
      <c r="U550" t="inlineStr">
        <is>
          <t>2010-04-06</t>
        </is>
      </c>
      <c r="V550" t="inlineStr">
        <is>
          <t>2010-04-06</t>
        </is>
      </c>
      <c r="W550" t="inlineStr">
        <is>
          <t>2003-01-08</t>
        </is>
      </c>
      <c r="X550" t="inlineStr">
        <is>
          <t>2003-01-08</t>
        </is>
      </c>
      <c r="Y550" t="n">
        <v>459</v>
      </c>
      <c r="Z550" t="n">
        <v>387</v>
      </c>
      <c r="AA550" t="n">
        <v>394</v>
      </c>
      <c r="AB550" t="n">
        <v>5</v>
      </c>
      <c r="AC550" t="n">
        <v>5</v>
      </c>
      <c r="AD550" t="n">
        <v>14</v>
      </c>
      <c r="AE550" t="n">
        <v>14</v>
      </c>
      <c r="AF550" t="n">
        <v>7</v>
      </c>
      <c r="AG550" t="n">
        <v>7</v>
      </c>
      <c r="AH550" t="n">
        <v>1</v>
      </c>
      <c r="AI550" t="n">
        <v>1</v>
      </c>
      <c r="AJ550" t="n">
        <v>2</v>
      </c>
      <c r="AK550" t="n">
        <v>2</v>
      </c>
      <c r="AL550" t="n">
        <v>4</v>
      </c>
      <c r="AM550" t="n">
        <v>4</v>
      </c>
      <c r="AN550" t="n">
        <v>0</v>
      </c>
      <c r="AO550" t="n">
        <v>0</v>
      </c>
      <c r="AP550" t="inlineStr">
        <is>
          <t>No</t>
        </is>
      </c>
      <c r="AQ550" t="inlineStr">
        <is>
          <t>Yes</t>
        </is>
      </c>
      <c r="AR550">
        <f>HYPERLINK("http://catalog.hathitrust.org/Record/008326846","HathiTrust Record")</f>
        <v/>
      </c>
      <c r="AS550">
        <f>HYPERLINK("https://creighton-primo.hosted.exlibrisgroup.com/primo-explore/search?tab=default_tab&amp;search_scope=EVERYTHING&amp;vid=01CRU&amp;lang=en_US&amp;offset=0&amp;query=any,contains,991003898369702656","Catalog Record")</f>
        <v/>
      </c>
      <c r="AT550">
        <f>HYPERLINK("http://www.worldcat.org/oclc/48655930","WorldCat Record")</f>
        <v/>
      </c>
      <c r="AU550" t="inlineStr">
        <is>
          <t>1032019:eng</t>
        </is>
      </c>
      <c r="AV550" t="inlineStr">
        <is>
          <t>48655930</t>
        </is>
      </c>
      <c r="AW550" t="inlineStr">
        <is>
          <t>991003898369702656</t>
        </is>
      </c>
      <c r="AX550" t="inlineStr">
        <is>
          <t>991003898369702656</t>
        </is>
      </c>
      <c r="AY550" t="inlineStr">
        <is>
          <t>2269083420002656</t>
        </is>
      </c>
      <c r="AZ550" t="inlineStr">
        <is>
          <t>BOOK</t>
        </is>
      </c>
      <c r="BB550" t="inlineStr">
        <is>
          <t>9780871206404</t>
        </is>
      </c>
      <c r="BC550" t="inlineStr">
        <is>
          <t>32285004691720</t>
        </is>
      </c>
      <c r="BD550" t="inlineStr">
        <is>
          <t>893687102</t>
        </is>
      </c>
    </row>
    <row r="551">
      <c r="A551" t="inlineStr">
        <is>
          <t>No</t>
        </is>
      </c>
      <c r="B551" t="inlineStr">
        <is>
          <t>LB1071 .L5 1932</t>
        </is>
      </c>
      <c r="C551" t="inlineStr">
        <is>
          <t>0                      LB 1071000L  5           1932</t>
        </is>
      </c>
      <c r="D551" t="inlineStr">
        <is>
          <t>The training of the will / by Johann Lindworsky.</t>
        </is>
      </c>
      <c r="F551" t="inlineStr">
        <is>
          <t>No</t>
        </is>
      </c>
      <c r="G551" t="inlineStr">
        <is>
          <t>1</t>
        </is>
      </c>
      <c r="H551" t="inlineStr">
        <is>
          <t>No</t>
        </is>
      </c>
      <c r="I551" t="inlineStr">
        <is>
          <t>No</t>
        </is>
      </c>
      <c r="J551" t="inlineStr">
        <is>
          <t>0</t>
        </is>
      </c>
      <c r="K551" t="inlineStr">
        <is>
          <t>Lindworsky, Johannes, 1875-1939.</t>
        </is>
      </c>
      <c r="L551" t="inlineStr">
        <is>
          <t>[Bombay] : St. Paul Publications, [1932?]</t>
        </is>
      </c>
      <c r="M551" t="inlineStr">
        <is>
          <t>1932</t>
        </is>
      </c>
      <c r="O551" t="inlineStr">
        <is>
          <t>eng</t>
        </is>
      </c>
      <c r="P551" t="inlineStr">
        <is>
          <t xml:space="preserve">ii </t>
        </is>
      </c>
      <c r="R551" t="inlineStr">
        <is>
          <t xml:space="preserve">LB </t>
        </is>
      </c>
      <c r="S551" t="n">
        <v>1</v>
      </c>
      <c r="T551" t="n">
        <v>1</v>
      </c>
      <c r="U551" t="inlineStr">
        <is>
          <t>2005-06-13</t>
        </is>
      </c>
      <c r="V551" t="inlineStr">
        <is>
          <t>2005-06-13</t>
        </is>
      </c>
      <c r="W551" t="inlineStr">
        <is>
          <t>1992-03-23</t>
        </is>
      </c>
      <c r="X551" t="inlineStr">
        <is>
          <t>1992-03-23</t>
        </is>
      </c>
      <c r="Y551" t="n">
        <v>4</v>
      </c>
      <c r="Z551" t="n">
        <v>2</v>
      </c>
      <c r="AA551" t="n">
        <v>162</v>
      </c>
      <c r="AB551" t="n">
        <v>1</v>
      </c>
      <c r="AC551" t="n">
        <v>2</v>
      </c>
      <c r="AD551" t="n">
        <v>0</v>
      </c>
      <c r="AE551" t="n">
        <v>24</v>
      </c>
      <c r="AF551" t="n">
        <v>0</v>
      </c>
      <c r="AG551" t="n">
        <v>8</v>
      </c>
      <c r="AH551" t="n">
        <v>0</v>
      </c>
      <c r="AI551" t="n">
        <v>7</v>
      </c>
      <c r="AJ551" t="n">
        <v>0</v>
      </c>
      <c r="AK551" t="n">
        <v>18</v>
      </c>
      <c r="AL551" t="n">
        <v>0</v>
      </c>
      <c r="AM551" t="n">
        <v>0</v>
      </c>
      <c r="AN551" t="n">
        <v>0</v>
      </c>
      <c r="AO551" t="n">
        <v>0</v>
      </c>
      <c r="AP551" t="inlineStr">
        <is>
          <t>No</t>
        </is>
      </c>
      <c r="AQ551" t="inlineStr">
        <is>
          <t>No</t>
        </is>
      </c>
      <c r="AS551">
        <f>HYPERLINK("https://creighton-primo.hosted.exlibrisgroup.com/primo-explore/search?tab=default_tab&amp;search_scope=EVERYTHING&amp;vid=01CRU&amp;lang=en_US&amp;offset=0&amp;query=any,contains,991004859689702656","Catalog Record")</f>
        <v/>
      </c>
      <c r="AT551">
        <f>HYPERLINK("http://www.worldcat.org/oclc/5687857","WorldCat Record")</f>
        <v/>
      </c>
      <c r="AU551" t="inlineStr">
        <is>
          <t>653462:eng</t>
        </is>
      </c>
      <c r="AV551" t="inlineStr">
        <is>
          <t>5687857</t>
        </is>
      </c>
      <c r="AW551" t="inlineStr">
        <is>
          <t>991004859689702656</t>
        </is>
      </c>
      <c r="AX551" t="inlineStr">
        <is>
          <t>991004859689702656</t>
        </is>
      </c>
      <c r="AY551" t="inlineStr">
        <is>
          <t>2256143960002656</t>
        </is>
      </c>
      <c r="AZ551" t="inlineStr">
        <is>
          <t>BOOK</t>
        </is>
      </c>
      <c r="BC551" t="inlineStr">
        <is>
          <t>32285001014488</t>
        </is>
      </c>
      <c r="BD551" t="inlineStr">
        <is>
          <t>893883045</t>
        </is>
      </c>
    </row>
    <row r="552">
      <c r="A552" t="inlineStr">
        <is>
          <t>No</t>
        </is>
      </c>
      <c r="B552" t="inlineStr">
        <is>
          <t>LB1073 .B4 1975</t>
        </is>
      </c>
      <c r="C552" t="inlineStr">
        <is>
          <t>0                      LB 1073000B  4           1975</t>
        </is>
      </c>
      <c r="D552" t="inlineStr">
        <is>
          <t>Activities and exercises for affective education / co-edited by Kent D. Beeler and Lou Thayer.</t>
        </is>
      </c>
      <c r="F552" t="inlineStr">
        <is>
          <t>No</t>
        </is>
      </c>
      <c r="G552" t="inlineStr">
        <is>
          <t>1</t>
        </is>
      </c>
      <c r="H552" t="inlineStr">
        <is>
          <t>No</t>
        </is>
      </c>
      <c r="I552" t="inlineStr">
        <is>
          <t>No</t>
        </is>
      </c>
      <c r="J552" t="inlineStr">
        <is>
          <t>0</t>
        </is>
      </c>
      <c r="L552" t="inlineStr">
        <is>
          <t>[Washington?] : American Educational Research Association, Special Interest Group, Affective Aspects of Education, 1975.</t>
        </is>
      </c>
      <c r="M552" t="inlineStr">
        <is>
          <t>1975</t>
        </is>
      </c>
      <c r="O552" t="inlineStr">
        <is>
          <t>eng</t>
        </is>
      </c>
      <c r="P552" t="inlineStr">
        <is>
          <t>dcu</t>
        </is>
      </c>
      <c r="R552" t="inlineStr">
        <is>
          <t xml:space="preserve">LB </t>
        </is>
      </c>
      <c r="S552" t="n">
        <v>1</v>
      </c>
      <c r="T552" t="n">
        <v>1</v>
      </c>
      <c r="U552" t="inlineStr">
        <is>
          <t>2002-06-17</t>
        </is>
      </c>
      <c r="V552" t="inlineStr">
        <is>
          <t>2002-06-17</t>
        </is>
      </c>
      <c r="W552" t="inlineStr">
        <is>
          <t>1997-05-07</t>
        </is>
      </c>
      <c r="X552" t="inlineStr">
        <is>
          <t>1997-05-07</t>
        </is>
      </c>
      <c r="Y552" t="n">
        <v>16</v>
      </c>
      <c r="Z552" t="n">
        <v>16</v>
      </c>
      <c r="AA552" t="n">
        <v>17</v>
      </c>
      <c r="AB552" t="n">
        <v>1</v>
      </c>
      <c r="AC552" t="n">
        <v>1</v>
      </c>
      <c r="AD552" t="n">
        <v>0</v>
      </c>
      <c r="AE552" t="n">
        <v>0</v>
      </c>
      <c r="AF552" t="n">
        <v>0</v>
      </c>
      <c r="AG552" t="n">
        <v>0</v>
      </c>
      <c r="AH552" t="n">
        <v>0</v>
      </c>
      <c r="AI552" t="n">
        <v>0</v>
      </c>
      <c r="AJ552" t="n">
        <v>0</v>
      </c>
      <c r="AK552" t="n">
        <v>0</v>
      </c>
      <c r="AL552" t="n">
        <v>0</v>
      </c>
      <c r="AM552" t="n">
        <v>0</v>
      </c>
      <c r="AN552" t="n">
        <v>0</v>
      </c>
      <c r="AO552" t="n">
        <v>0</v>
      </c>
      <c r="AP552" t="inlineStr">
        <is>
          <t>No</t>
        </is>
      </c>
      <c r="AQ552" t="inlineStr">
        <is>
          <t>Yes</t>
        </is>
      </c>
      <c r="AR552">
        <f>HYPERLINK("http://catalog.hathitrust.org/Record/003161012","HathiTrust Record")</f>
        <v/>
      </c>
      <c r="AS552">
        <f>HYPERLINK("https://creighton-primo.hosted.exlibrisgroup.com/primo-explore/search?tab=default_tab&amp;search_scope=EVERYTHING&amp;vid=01CRU&amp;lang=en_US&amp;offset=0&amp;query=any,contains,991003983259702656","Catalog Record")</f>
        <v/>
      </c>
      <c r="AT552">
        <f>HYPERLINK("http://www.worldcat.org/oclc/2022038","WorldCat Record")</f>
        <v/>
      </c>
      <c r="AU552" t="inlineStr">
        <is>
          <t>2714799:eng</t>
        </is>
      </c>
      <c r="AV552" t="inlineStr">
        <is>
          <t>2022038</t>
        </is>
      </c>
      <c r="AW552" t="inlineStr">
        <is>
          <t>991003983259702656</t>
        </is>
      </c>
      <c r="AX552" t="inlineStr">
        <is>
          <t>991003983259702656</t>
        </is>
      </c>
      <c r="AY552" t="inlineStr">
        <is>
          <t>2265660270002656</t>
        </is>
      </c>
      <c r="AZ552" t="inlineStr">
        <is>
          <t>BOOK</t>
        </is>
      </c>
      <c r="BC552" t="inlineStr">
        <is>
          <t>32285002633856</t>
        </is>
      </c>
      <c r="BD552" t="inlineStr">
        <is>
          <t>893718311</t>
        </is>
      </c>
    </row>
    <row r="553">
      <c r="A553" t="inlineStr">
        <is>
          <t>No</t>
        </is>
      </c>
      <c r="B553" t="inlineStr">
        <is>
          <t>LB1073 .D6</t>
        </is>
      </c>
      <c r="C553" t="inlineStr">
        <is>
          <t>0                      LB 1073000D  6</t>
        </is>
      </c>
      <c r="D553" t="inlineStr">
        <is>
          <t>Children under pressure : a collection of readings about scholastic pressure / edited by Ronald C. Doll [and] Robert S. Fleming.</t>
        </is>
      </c>
      <c r="F553" t="inlineStr">
        <is>
          <t>No</t>
        </is>
      </c>
      <c r="G553" t="inlineStr">
        <is>
          <t>1</t>
        </is>
      </c>
      <c r="H553" t="inlineStr">
        <is>
          <t>No</t>
        </is>
      </c>
      <c r="I553" t="inlineStr">
        <is>
          <t>No</t>
        </is>
      </c>
      <c r="J553" t="inlineStr">
        <is>
          <t>0</t>
        </is>
      </c>
      <c r="K553" t="inlineStr">
        <is>
          <t>Doll, Ronald C. editor.</t>
        </is>
      </c>
      <c r="L553" t="inlineStr">
        <is>
          <t>Columbus, Ohio : C. E. Merrill Books, [1966]</t>
        </is>
      </c>
      <c r="M553" t="inlineStr">
        <is>
          <t>1966</t>
        </is>
      </c>
      <c r="O553" t="inlineStr">
        <is>
          <t>eng</t>
        </is>
      </c>
      <c r="P553" t="inlineStr">
        <is>
          <t>ohu</t>
        </is>
      </c>
      <c r="Q553" t="inlineStr">
        <is>
          <t>Merrill's international education series</t>
        </is>
      </c>
      <c r="R553" t="inlineStr">
        <is>
          <t xml:space="preserve">LB </t>
        </is>
      </c>
      <c r="S553" t="n">
        <v>9</v>
      </c>
      <c r="T553" t="n">
        <v>9</v>
      </c>
      <c r="U553" t="inlineStr">
        <is>
          <t>1997-11-05</t>
        </is>
      </c>
      <c r="V553" t="inlineStr">
        <is>
          <t>1997-11-05</t>
        </is>
      </c>
      <c r="W553" t="inlineStr">
        <is>
          <t>1993-09-09</t>
        </is>
      </c>
      <c r="X553" t="inlineStr">
        <is>
          <t>1993-09-09</t>
        </is>
      </c>
      <c r="Y553" t="n">
        <v>403</v>
      </c>
      <c r="Z553" t="n">
        <v>344</v>
      </c>
      <c r="AA553" t="n">
        <v>346</v>
      </c>
      <c r="AB553" t="n">
        <v>3</v>
      </c>
      <c r="AC553" t="n">
        <v>3</v>
      </c>
      <c r="AD553" t="n">
        <v>14</v>
      </c>
      <c r="AE553" t="n">
        <v>14</v>
      </c>
      <c r="AF553" t="n">
        <v>6</v>
      </c>
      <c r="AG553" t="n">
        <v>6</v>
      </c>
      <c r="AH553" t="n">
        <v>1</v>
      </c>
      <c r="AI553" t="n">
        <v>1</v>
      </c>
      <c r="AJ553" t="n">
        <v>7</v>
      </c>
      <c r="AK553" t="n">
        <v>7</v>
      </c>
      <c r="AL553" t="n">
        <v>2</v>
      </c>
      <c r="AM553" t="n">
        <v>2</v>
      </c>
      <c r="AN553" t="n">
        <v>0</v>
      </c>
      <c r="AO553" t="n">
        <v>0</v>
      </c>
      <c r="AP553" t="inlineStr">
        <is>
          <t>No</t>
        </is>
      </c>
      <c r="AQ553" t="inlineStr">
        <is>
          <t>Yes</t>
        </is>
      </c>
      <c r="AR553">
        <f>HYPERLINK("http://catalog.hathitrust.org/Record/001280527","HathiTrust Record")</f>
        <v/>
      </c>
      <c r="AS553">
        <f>HYPERLINK("https://creighton-primo.hosted.exlibrisgroup.com/primo-explore/search?tab=default_tab&amp;search_scope=EVERYTHING&amp;vid=01CRU&amp;lang=en_US&amp;offset=0&amp;query=any,contains,991003181719702656","Catalog Record")</f>
        <v/>
      </c>
      <c r="AT553">
        <f>HYPERLINK("http://www.worldcat.org/oclc/711887","WorldCat Record")</f>
        <v/>
      </c>
      <c r="AU553" t="inlineStr">
        <is>
          <t>378736262:eng</t>
        </is>
      </c>
      <c r="AV553" t="inlineStr">
        <is>
          <t>711887</t>
        </is>
      </c>
      <c r="AW553" t="inlineStr">
        <is>
          <t>991003181719702656</t>
        </is>
      </c>
      <c r="AX553" t="inlineStr">
        <is>
          <t>991003181719702656</t>
        </is>
      </c>
      <c r="AY553" t="inlineStr">
        <is>
          <t>2261927780002656</t>
        </is>
      </c>
      <c r="AZ553" t="inlineStr">
        <is>
          <t>BOOK</t>
        </is>
      </c>
      <c r="BC553" t="inlineStr">
        <is>
          <t>32285001764363</t>
        </is>
      </c>
      <c r="BD553" t="inlineStr">
        <is>
          <t>893899698</t>
        </is>
      </c>
    </row>
    <row r="554">
      <c r="A554" t="inlineStr">
        <is>
          <t>No</t>
        </is>
      </c>
      <c r="B554" t="inlineStr">
        <is>
          <t>LB1073 .H3</t>
        </is>
      </c>
      <c r="C554" t="inlineStr">
        <is>
          <t>0                      LB 1073000H  3</t>
        </is>
      </c>
      <c r="D554" t="inlineStr">
        <is>
          <t>Emotional blocks to learning : a study of the reasons for failure in school / by Irving D. Harris.</t>
        </is>
      </c>
      <c r="F554" t="inlineStr">
        <is>
          <t>No</t>
        </is>
      </c>
      <c r="G554" t="inlineStr">
        <is>
          <t>1</t>
        </is>
      </c>
      <c r="H554" t="inlineStr">
        <is>
          <t>No</t>
        </is>
      </c>
      <c r="I554" t="inlineStr">
        <is>
          <t>No</t>
        </is>
      </c>
      <c r="J554" t="inlineStr">
        <is>
          <t>0</t>
        </is>
      </c>
      <c r="K554" t="inlineStr">
        <is>
          <t>Harris, Irving D.</t>
        </is>
      </c>
      <c r="L554" t="inlineStr">
        <is>
          <t>New York : Free Press, [1966, c1961]</t>
        </is>
      </c>
      <c r="M554" t="inlineStr">
        <is>
          <t>1966</t>
        </is>
      </c>
      <c r="O554" t="inlineStr">
        <is>
          <t>eng</t>
        </is>
      </c>
      <c r="P554" t="inlineStr">
        <is>
          <t>nyu</t>
        </is>
      </c>
      <c r="R554" t="inlineStr">
        <is>
          <t xml:space="preserve">LB </t>
        </is>
      </c>
      <c r="S554" t="n">
        <v>6</v>
      </c>
      <c r="T554" t="n">
        <v>6</v>
      </c>
      <c r="U554" t="inlineStr">
        <is>
          <t>1996-11-15</t>
        </is>
      </c>
      <c r="V554" t="inlineStr">
        <is>
          <t>1996-11-15</t>
        </is>
      </c>
      <c r="W554" t="inlineStr">
        <is>
          <t>1993-09-09</t>
        </is>
      </c>
      <c r="X554" t="inlineStr">
        <is>
          <t>1993-09-09</t>
        </is>
      </c>
      <c r="Y554" t="n">
        <v>88</v>
      </c>
      <c r="Z554" t="n">
        <v>52</v>
      </c>
      <c r="AA554" t="n">
        <v>544</v>
      </c>
      <c r="AB554" t="n">
        <v>1</v>
      </c>
      <c r="AC554" t="n">
        <v>3</v>
      </c>
      <c r="AD554" t="n">
        <v>3</v>
      </c>
      <c r="AE554" t="n">
        <v>21</v>
      </c>
      <c r="AF554" t="n">
        <v>2</v>
      </c>
      <c r="AG554" t="n">
        <v>10</v>
      </c>
      <c r="AH554" t="n">
        <v>1</v>
      </c>
      <c r="AI554" t="n">
        <v>3</v>
      </c>
      <c r="AJ554" t="n">
        <v>2</v>
      </c>
      <c r="AK554" t="n">
        <v>12</v>
      </c>
      <c r="AL554" t="n">
        <v>0</v>
      </c>
      <c r="AM554" t="n">
        <v>2</v>
      </c>
      <c r="AN554" t="n">
        <v>0</v>
      </c>
      <c r="AO554" t="n">
        <v>0</v>
      </c>
      <c r="AP554" t="inlineStr">
        <is>
          <t>No</t>
        </is>
      </c>
      <c r="AQ554" t="inlineStr">
        <is>
          <t>No</t>
        </is>
      </c>
      <c r="AS554">
        <f>HYPERLINK("https://creighton-primo.hosted.exlibrisgroup.com/primo-explore/search?tab=default_tab&amp;search_scope=EVERYTHING&amp;vid=01CRU&amp;lang=en_US&amp;offset=0&amp;query=any,contains,991004238489702656","Catalog Record")</f>
        <v/>
      </c>
      <c r="AT554">
        <f>HYPERLINK("http://www.worldcat.org/oclc/2778715","WorldCat Record")</f>
        <v/>
      </c>
      <c r="AU554" t="inlineStr">
        <is>
          <t>4923914924:eng</t>
        </is>
      </c>
      <c r="AV554" t="inlineStr">
        <is>
          <t>2778715</t>
        </is>
      </c>
      <c r="AW554" t="inlineStr">
        <is>
          <t>991004238489702656</t>
        </is>
      </c>
      <c r="AX554" t="inlineStr">
        <is>
          <t>991004238489702656</t>
        </is>
      </c>
      <c r="AY554" t="inlineStr">
        <is>
          <t>2272070510002656</t>
        </is>
      </c>
      <c r="AZ554" t="inlineStr">
        <is>
          <t>BOOK</t>
        </is>
      </c>
      <c r="BC554" t="inlineStr">
        <is>
          <t>32285001764355</t>
        </is>
      </c>
      <c r="BD554" t="inlineStr">
        <is>
          <t>893442375</t>
        </is>
      </c>
    </row>
    <row r="555">
      <c r="A555" t="inlineStr">
        <is>
          <t>No</t>
        </is>
      </c>
      <c r="B555" t="inlineStr">
        <is>
          <t>LB1083 .B55</t>
        </is>
      </c>
      <c r="C555" t="inlineStr">
        <is>
          <t>0                      LB 1083000B  55</t>
        </is>
      </c>
      <c r="D555" t="inlineStr">
        <is>
          <t>The deviant child in the classroom / [by] Garth J. Blackham.</t>
        </is>
      </c>
      <c r="F555" t="inlineStr">
        <is>
          <t>No</t>
        </is>
      </c>
      <c r="G555" t="inlineStr">
        <is>
          <t>1</t>
        </is>
      </c>
      <c r="H555" t="inlineStr">
        <is>
          <t>No</t>
        </is>
      </c>
      <c r="I555" t="inlineStr">
        <is>
          <t>No</t>
        </is>
      </c>
      <c r="J555" t="inlineStr">
        <is>
          <t>0</t>
        </is>
      </c>
      <c r="K555" t="inlineStr">
        <is>
          <t>Blackham, Garth J.</t>
        </is>
      </c>
      <c r="L555" t="inlineStr">
        <is>
          <t>Belmont, Calif. : Wadsworth Pub. Co., [1967]</t>
        </is>
      </c>
      <c r="M555" t="inlineStr">
        <is>
          <t>1967</t>
        </is>
      </c>
      <c r="O555" t="inlineStr">
        <is>
          <t>eng</t>
        </is>
      </c>
      <c r="P555" t="inlineStr">
        <is>
          <t>cau</t>
        </is>
      </c>
      <c r="R555" t="inlineStr">
        <is>
          <t xml:space="preserve">LB </t>
        </is>
      </c>
      <c r="S555" t="n">
        <v>5</v>
      </c>
      <c r="T555" t="n">
        <v>5</v>
      </c>
      <c r="U555" t="inlineStr">
        <is>
          <t>1996-11-15</t>
        </is>
      </c>
      <c r="V555" t="inlineStr">
        <is>
          <t>1996-11-15</t>
        </is>
      </c>
      <c r="W555" t="inlineStr">
        <is>
          <t>1991-12-16</t>
        </is>
      </c>
      <c r="X555" t="inlineStr">
        <is>
          <t>1991-12-16</t>
        </is>
      </c>
      <c r="Y555" t="n">
        <v>409</v>
      </c>
      <c r="Z555" t="n">
        <v>345</v>
      </c>
      <c r="AA555" t="n">
        <v>346</v>
      </c>
      <c r="AB555" t="n">
        <v>7</v>
      </c>
      <c r="AC555" t="n">
        <v>7</v>
      </c>
      <c r="AD555" t="n">
        <v>21</v>
      </c>
      <c r="AE555" t="n">
        <v>21</v>
      </c>
      <c r="AF555" t="n">
        <v>6</v>
      </c>
      <c r="AG555" t="n">
        <v>6</v>
      </c>
      <c r="AH555" t="n">
        <v>3</v>
      </c>
      <c r="AI555" t="n">
        <v>3</v>
      </c>
      <c r="AJ555" t="n">
        <v>10</v>
      </c>
      <c r="AK555" t="n">
        <v>10</v>
      </c>
      <c r="AL555" t="n">
        <v>6</v>
      </c>
      <c r="AM555" t="n">
        <v>6</v>
      </c>
      <c r="AN555" t="n">
        <v>0</v>
      </c>
      <c r="AO555" t="n">
        <v>0</v>
      </c>
      <c r="AP555" t="inlineStr">
        <is>
          <t>No</t>
        </is>
      </c>
      <c r="AQ555" t="inlineStr">
        <is>
          <t>Yes</t>
        </is>
      </c>
      <c r="AR555">
        <f>HYPERLINK("http://catalog.hathitrust.org/Record/001451036","HathiTrust Record")</f>
        <v/>
      </c>
      <c r="AS555">
        <f>HYPERLINK("https://creighton-primo.hosted.exlibrisgroup.com/primo-explore/search?tab=default_tab&amp;search_scope=EVERYTHING&amp;vid=01CRU&amp;lang=en_US&amp;offset=0&amp;query=any,contains,991001095149702656","Catalog Record")</f>
        <v/>
      </c>
      <c r="AT555">
        <f>HYPERLINK("http://www.worldcat.org/oclc/182899","WorldCat Record")</f>
        <v/>
      </c>
      <c r="AU555" t="inlineStr">
        <is>
          <t>1152220603:eng</t>
        </is>
      </c>
      <c r="AV555" t="inlineStr">
        <is>
          <t>182899</t>
        </is>
      </c>
      <c r="AW555" t="inlineStr">
        <is>
          <t>991001095149702656</t>
        </is>
      </c>
      <c r="AX555" t="inlineStr">
        <is>
          <t>991001095149702656</t>
        </is>
      </c>
      <c r="AY555" t="inlineStr">
        <is>
          <t>2271192210002656</t>
        </is>
      </c>
      <c r="AZ555" t="inlineStr">
        <is>
          <t>BOOK</t>
        </is>
      </c>
      <c r="BC555" t="inlineStr">
        <is>
          <t>32285000877919</t>
        </is>
      </c>
      <c r="BD555" t="inlineStr">
        <is>
          <t>893249961</t>
        </is>
      </c>
    </row>
    <row r="556">
      <c r="A556" t="inlineStr">
        <is>
          <t>No</t>
        </is>
      </c>
      <c r="B556" t="inlineStr">
        <is>
          <t>LB1083 .M4 1978</t>
        </is>
      </c>
      <c r="C556" t="inlineStr">
        <is>
          <t>0                      LB 1083000M  4           1978</t>
        </is>
      </c>
      <c r="D556" t="inlineStr">
        <is>
          <t>Students under stress : a study in the social psychology of adaptation / David Mechanic. --</t>
        </is>
      </c>
      <c r="F556" t="inlineStr">
        <is>
          <t>No</t>
        </is>
      </c>
      <c r="G556" t="inlineStr">
        <is>
          <t>1</t>
        </is>
      </c>
      <c r="H556" t="inlineStr">
        <is>
          <t>No</t>
        </is>
      </c>
      <c r="I556" t="inlineStr">
        <is>
          <t>No</t>
        </is>
      </c>
      <c r="J556" t="inlineStr">
        <is>
          <t>0</t>
        </is>
      </c>
      <c r="K556" t="inlineStr">
        <is>
          <t>Mechanic, David, 1936-</t>
        </is>
      </c>
      <c r="L556" t="inlineStr">
        <is>
          <t>Madison : University of Wisconsin Press, 1978.</t>
        </is>
      </c>
      <c r="M556" t="inlineStr">
        <is>
          <t>1978</t>
        </is>
      </c>
      <c r="N556" t="inlineStr">
        <is>
          <t>Wisconsin ed. --</t>
        </is>
      </c>
      <c r="O556" t="inlineStr">
        <is>
          <t>eng</t>
        </is>
      </c>
      <c r="P556" t="inlineStr">
        <is>
          <t>wiu</t>
        </is>
      </c>
      <c r="R556" t="inlineStr">
        <is>
          <t xml:space="preserve">LB </t>
        </is>
      </c>
      <c r="S556" t="n">
        <v>13</v>
      </c>
      <c r="T556" t="n">
        <v>13</v>
      </c>
      <c r="U556" t="inlineStr">
        <is>
          <t>1996-02-19</t>
        </is>
      </c>
      <c r="V556" t="inlineStr">
        <is>
          <t>1996-02-19</t>
        </is>
      </c>
      <c r="W556" t="inlineStr">
        <is>
          <t>1992-04-30</t>
        </is>
      </c>
      <c r="X556" t="inlineStr">
        <is>
          <t>1992-04-30</t>
        </is>
      </c>
      <c r="Y556" t="n">
        <v>255</v>
      </c>
      <c r="Z556" t="n">
        <v>221</v>
      </c>
      <c r="AA556" t="n">
        <v>575</v>
      </c>
      <c r="AB556" t="n">
        <v>2</v>
      </c>
      <c r="AC556" t="n">
        <v>5</v>
      </c>
      <c r="AD556" t="n">
        <v>7</v>
      </c>
      <c r="AE556" t="n">
        <v>27</v>
      </c>
      <c r="AF556" t="n">
        <v>3</v>
      </c>
      <c r="AG556" t="n">
        <v>11</v>
      </c>
      <c r="AH556" t="n">
        <v>0</v>
      </c>
      <c r="AI556" t="n">
        <v>4</v>
      </c>
      <c r="AJ556" t="n">
        <v>3</v>
      </c>
      <c r="AK556" t="n">
        <v>16</v>
      </c>
      <c r="AL556" t="n">
        <v>1</v>
      </c>
      <c r="AM556" t="n">
        <v>4</v>
      </c>
      <c r="AN556" t="n">
        <v>0</v>
      </c>
      <c r="AO556" t="n">
        <v>0</v>
      </c>
      <c r="AP556" t="inlineStr">
        <is>
          <t>No</t>
        </is>
      </c>
      <c r="AQ556" t="inlineStr">
        <is>
          <t>Yes</t>
        </is>
      </c>
      <c r="AR556">
        <f>HYPERLINK("http://catalog.hathitrust.org/Record/004426104","HathiTrust Record")</f>
        <v/>
      </c>
      <c r="AS556">
        <f>HYPERLINK("https://creighton-primo.hosted.exlibrisgroup.com/primo-explore/search?tab=default_tab&amp;search_scope=EVERYTHING&amp;vid=01CRU&amp;lang=en_US&amp;offset=0&amp;query=any,contains,991004558819702656","Catalog Record")</f>
        <v/>
      </c>
      <c r="AT556">
        <f>HYPERLINK("http://www.worldcat.org/oclc/3983485","WorldCat Record")</f>
        <v/>
      </c>
      <c r="AU556" t="inlineStr">
        <is>
          <t>432712453:eng</t>
        </is>
      </c>
      <c r="AV556" t="inlineStr">
        <is>
          <t>3983485</t>
        </is>
      </c>
      <c r="AW556" t="inlineStr">
        <is>
          <t>991004558819702656</t>
        </is>
      </c>
      <c r="AX556" t="inlineStr">
        <is>
          <t>991004558819702656</t>
        </is>
      </c>
      <c r="AY556" t="inlineStr">
        <is>
          <t>2270974470002656</t>
        </is>
      </c>
      <c r="AZ556" t="inlineStr">
        <is>
          <t>BOOK</t>
        </is>
      </c>
      <c r="BB556" t="inlineStr">
        <is>
          <t>9780299074708</t>
        </is>
      </c>
      <c r="BC556" t="inlineStr">
        <is>
          <t>32285001103646</t>
        </is>
      </c>
      <c r="BD556" t="inlineStr">
        <is>
          <t>893241585</t>
        </is>
      </c>
    </row>
    <row r="557">
      <c r="A557" t="inlineStr">
        <is>
          <t>No</t>
        </is>
      </c>
      <c r="B557" t="inlineStr">
        <is>
          <t>LB1091 .O7</t>
        </is>
      </c>
      <c r="C557" t="inlineStr">
        <is>
          <t>0                      LB 1091000O  7</t>
        </is>
      </c>
      <c r="D557" t="inlineStr">
        <is>
          <t>Reading, writing and speech problems in children : a presentation of certain types of disorders in the development of the language faculty / by Samuel Torrey Orton.</t>
        </is>
      </c>
      <c r="F557" t="inlineStr">
        <is>
          <t>No</t>
        </is>
      </c>
      <c r="G557" t="inlineStr">
        <is>
          <t>1</t>
        </is>
      </c>
      <c r="H557" t="inlineStr">
        <is>
          <t>No</t>
        </is>
      </c>
      <c r="I557" t="inlineStr">
        <is>
          <t>No</t>
        </is>
      </c>
      <c r="J557" t="inlineStr">
        <is>
          <t>0</t>
        </is>
      </c>
      <c r="K557" t="inlineStr">
        <is>
          <t>Orton, Samuel Torrey, 1879-1948.</t>
        </is>
      </c>
      <c r="L557" t="inlineStr">
        <is>
          <t>New York : W. W. Norton &amp; company, inc., [c1937]</t>
        </is>
      </c>
      <c r="M557" t="inlineStr">
        <is>
          <t>1937</t>
        </is>
      </c>
      <c r="O557" t="inlineStr">
        <is>
          <t>eng</t>
        </is>
      </c>
      <c r="P557" t="inlineStr">
        <is>
          <t>nyu</t>
        </is>
      </c>
      <c r="Q557" t="inlineStr">
        <is>
          <t>Thomas W. Salmon memorial lectures, New York academy of medicine</t>
        </is>
      </c>
      <c r="R557" t="inlineStr">
        <is>
          <t xml:space="preserve">LB </t>
        </is>
      </c>
      <c r="S557" t="n">
        <v>3</v>
      </c>
      <c r="T557" t="n">
        <v>3</v>
      </c>
      <c r="U557" t="inlineStr">
        <is>
          <t>1992-02-13</t>
        </is>
      </c>
      <c r="V557" t="inlineStr">
        <is>
          <t>1992-02-13</t>
        </is>
      </c>
      <c r="W557" t="inlineStr">
        <is>
          <t>1990-04-02</t>
        </is>
      </c>
      <c r="X557" t="inlineStr">
        <is>
          <t>1990-04-02</t>
        </is>
      </c>
      <c r="Y557" t="n">
        <v>515</v>
      </c>
      <c r="Z557" t="n">
        <v>459</v>
      </c>
      <c r="AA557" t="n">
        <v>540</v>
      </c>
      <c r="AB557" t="n">
        <v>4</v>
      </c>
      <c r="AC557" t="n">
        <v>5</v>
      </c>
      <c r="AD557" t="n">
        <v>16</v>
      </c>
      <c r="AE557" t="n">
        <v>17</v>
      </c>
      <c r="AF557" t="n">
        <v>5</v>
      </c>
      <c r="AG557" t="n">
        <v>5</v>
      </c>
      <c r="AH557" t="n">
        <v>2</v>
      </c>
      <c r="AI557" t="n">
        <v>2</v>
      </c>
      <c r="AJ557" t="n">
        <v>8</v>
      </c>
      <c r="AK557" t="n">
        <v>8</v>
      </c>
      <c r="AL557" t="n">
        <v>3</v>
      </c>
      <c r="AM557" t="n">
        <v>4</v>
      </c>
      <c r="AN557" t="n">
        <v>0</v>
      </c>
      <c r="AO557" t="n">
        <v>0</v>
      </c>
      <c r="AP557" t="inlineStr">
        <is>
          <t>No</t>
        </is>
      </c>
      <c r="AQ557" t="inlineStr">
        <is>
          <t>Yes</t>
        </is>
      </c>
      <c r="AR557">
        <f>HYPERLINK("http://catalog.hathitrust.org/Record/000430885","HathiTrust Record")</f>
        <v/>
      </c>
      <c r="AS557">
        <f>HYPERLINK("https://creighton-primo.hosted.exlibrisgroup.com/primo-explore/search?tab=default_tab&amp;search_scope=EVERYTHING&amp;vid=01CRU&amp;lang=en_US&amp;offset=0&amp;query=any,contains,991002002819702656","Catalog Record")</f>
        <v/>
      </c>
      <c r="AT557">
        <f>HYPERLINK("http://www.worldcat.org/oclc/257036","WorldCat Record")</f>
        <v/>
      </c>
      <c r="AU557" t="inlineStr">
        <is>
          <t>1356792:eng</t>
        </is>
      </c>
      <c r="AV557" t="inlineStr">
        <is>
          <t>257036</t>
        </is>
      </c>
      <c r="AW557" t="inlineStr">
        <is>
          <t>991002002819702656</t>
        </is>
      </c>
      <c r="AX557" t="inlineStr">
        <is>
          <t>991002002819702656</t>
        </is>
      </c>
      <c r="AY557" t="inlineStr">
        <is>
          <t>2271721910002656</t>
        </is>
      </c>
      <c r="AZ557" t="inlineStr">
        <is>
          <t>BOOK</t>
        </is>
      </c>
      <c r="BC557" t="inlineStr">
        <is>
          <t>32285000100239</t>
        </is>
      </c>
      <c r="BD557" t="inlineStr">
        <is>
          <t>893420846</t>
        </is>
      </c>
    </row>
    <row r="558">
      <c r="A558" t="inlineStr">
        <is>
          <t>No</t>
        </is>
      </c>
      <c r="B558" t="inlineStr">
        <is>
          <t>LB1101 So13m, ser.no., 186, v.45, no.5</t>
        </is>
      </c>
      <c r="C558" t="inlineStr">
        <is>
          <t>0                      LB 1101000So 13m                                                     ser.no., 186, v.45, no.5</t>
        </is>
      </c>
      <c r="D558" t="inlineStr">
        <is>
          <t>Mothers, the unacknowledged victims / G.R. Patterson ; with commentary by Eleanor E. Maccoby and reply by the author.</t>
        </is>
      </c>
      <c r="E558" t="inlineStr">
        <is>
          <t>V. 45  NO. 5</t>
        </is>
      </c>
      <c r="F558" t="inlineStr">
        <is>
          <t>No</t>
        </is>
      </c>
      <c r="G558" t="inlineStr">
        <is>
          <t>1</t>
        </is>
      </c>
      <c r="H558" t="inlineStr">
        <is>
          <t>No</t>
        </is>
      </c>
      <c r="I558" t="inlineStr">
        <is>
          <t>No</t>
        </is>
      </c>
      <c r="J558" t="inlineStr">
        <is>
          <t>0</t>
        </is>
      </c>
      <c r="K558" t="inlineStr">
        <is>
          <t>Patterson, Gerald R.</t>
        </is>
      </c>
      <c r="L558" t="inlineStr">
        <is>
          <t>Chicago : Published by the University of Chicago Press for the Society for Research in Child Development, 1980.</t>
        </is>
      </c>
      <c r="M558" t="inlineStr">
        <is>
          <t>1980</t>
        </is>
      </c>
      <c r="O558" t="inlineStr">
        <is>
          <t>eng</t>
        </is>
      </c>
      <c r="P558" t="inlineStr">
        <is>
          <t>ilu</t>
        </is>
      </c>
      <c r="Q558" t="inlineStr">
        <is>
          <t>Monographs of the Society for Research in Child Development, 0037-976X ; ser. no. 186, v. 45, no. 5</t>
        </is>
      </c>
      <c r="R558" t="inlineStr">
        <is>
          <t xml:space="preserve">LB </t>
        </is>
      </c>
      <c r="S558" t="n">
        <v>2</v>
      </c>
      <c r="T558" t="n">
        <v>2</v>
      </c>
      <c r="U558" t="inlineStr">
        <is>
          <t>2003-12-23</t>
        </is>
      </c>
      <c r="V558" t="inlineStr">
        <is>
          <t>2003-12-23</t>
        </is>
      </c>
      <c r="W558" t="inlineStr">
        <is>
          <t>1992-11-19</t>
        </is>
      </c>
      <c r="X558" t="inlineStr">
        <is>
          <t>1992-11-19</t>
        </is>
      </c>
      <c r="Y558" t="n">
        <v>221</v>
      </c>
      <c r="Z558" t="n">
        <v>193</v>
      </c>
      <c r="AA558" t="n">
        <v>240</v>
      </c>
      <c r="AB558" t="n">
        <v>1</v>
      </c>
      <c r="AC558" t="n">
        <v>1</v>
      </c>
      <c r="AD558" t="n">
        <v>6</v>
      </c>
      <c r="AE558" t="n">
        <v>6</v>
      </c>
      <c r="AF558" t="n">
        <v>2</v>
      </c>
      <c r="AG558" t="n">
        <v>2</v>
      </c>
      <c r="AH558" t="n">
        <v>3</v>
      </c>
      <c r="AI558" t="n">
        <v>3</v>
      </c>
      <c r="AJ558" t="n">
        <v>5</v>
      </c>
      <c r="AK558" t="n">
        <v>5</v>
      </c>
      <c r="AL558" t="n">
        <v>0</v>
      </c>
      <c r="AM558" t="n">
        <v>0</v>
      </c>
      <c r="AN558" t="n">
        <v>0</v>
      </c>
      <c r="AO558" t="n">
        <v>0</v>
      </c>
      <c r="AP558" t="inlineStr">
        <is>
          <t>No</t>
        </is>
      </c>
      <c r="AQ558" t="inlineStr">
        <is>
          <t>No</t>
        </is>
      </c>
      <c r="AS558">
        <f>HYPERLINK("https://creighton-primo.hosted.exlibrisgroup.com/primo-explore/search?tab=default_tab&amp;search_scope=EVERYTHING&amp;vid=01CRU&amp;lang=en_US&amp;offset=0&amp;query=any,contains,991005101729702656","Catalog Record")</f>
        <v/>
      </c>
      <c r="AT558">
        <f>HYPERLINK("http://www.worldcat.org/oclc/7289660","WorldCat Record")</f>
        <v/>
      </c>
      <c r="AU558" t="inlineStr">
        <is>
          <t>26631758:eng</t>
        </is>
      </c>
      <c r="AV558" t="inlineStr">
        <is>
          <t>7289660</t>
        </is>
      </c>
      <c r="AW558" t="inlineStr">
        <is>
          <t>991005101729702656</t>
        </is>
      </c>
      <c r="AX558" t="inlineStr">
        <is>
          <t>991005101729702656</t>
        </is>
      </c>
      <c r="AY558" t="inlineStr">
        <is>
          <t>2261750180002656</t>
        </is>
      </c>
      <c r="AZ558" t="inlineStr">
        <is>
          <t>BOOK</t>
        </is>
      </c>
      <c r="BC558" t="inlineStr">
        <is>
          <t>32285001407872</t>
        </is>
      </c>
      <c r="BD558" t="inlineStr">
        <is>
          <t>893606832</t>
        </is>
      </c>
    </row>
    <row r="559">
      <c r="A559" t="inlineStr">
        <is>
          <t>No</t>
        </is>
      </c>
      <c r="B559" t="inlineStr">
        <is>
          <t>LB1101 So13m, ser.no., 187, v.45, no.6/7</t>
        </is>
      </c>
      <c r="C559" t="inlineStr">
        <is>
          <t>0                      LB 1101000So 13m                                                     ser.no., 187, v.45, no.6 7</t>
        </is>
      </c>
      <c r="D559" t="inlineStr">
        <is>
          <t>Experience and the development of intelligence in young children at home and in day care / Jean V. Carew ; with commentary by K. Alison Clarke-Stewart.</t>
        </is>
      </c>
      <c r="E559" t="inlineStr">
        <is>
          <t>V. 45  NO. 6-7</t>
        </is>
      </c>
      <c r="F559" t="inlineStr">
        <is>
          <t>No</t>
        </is>
      </c>
      <c r="G559" t="inlineStr">
        <is>
          <t>1</t>
        </is>
      </c>
      <c r="H559" t="inlineStr">
        <is>
          <t>No</t>
        </is>
      </c>
      <c r="I559" t="inlineStr">
        <is>
          <t>No</t>
        </is>
      </c>
      <c r="J559" t="inlineStr">
        <is>
          <t>0</t>
        </is>
      </c>
      <c r="K559" t="inlineStr">
        <is>
          <t>Carew, Jean V., 1936-</t>
        </is>
      </c>
      <c r="L559" t="inlineStr">
        <is>
          <t>Chicago : Published by the University of Chicago Press for the Society for Research in Child Development, 1980, c1981.</t>
        </is>
      </c>
      <c r="M559" t="inlineStr">
        <is>
          <t>1980</t>
        </is>
      </c>
      <c r="O559" t="inlineStr">
        <is>
          <t>eng</t>
        </is>
      </c>
      <c r="P559" t="inlineStr">
        <is>
          <t>ilu</t>
        </is>
      </c>
      <c r="Q559" t="inlineStr">
        <is>
          <t>Monographs of the Society for Research in Child Development, 0037-976X ; ser. no. 187, v. 45, no. 6/7</t>
        </is>
      </c>
      <c r="R559" t="inlineStr">
        <is>
          <t xml:space="preserve">LB </t>
        </is>
      </c>
      <c r="S559" t="n">
        <v>13</v>
      </c>
      <c r="T559" t="n">
        <v>13</v>
      </c>
      <c r="U559" t="inlineStr">
        <is>
          <t>1998-11-11</t>
        </is>
      </c>
      <c r="V559" t="inlineStr">
        <is>
          <t>1998-11-11</t>
        </is>
      </c>
      <c r="W559" t="inlineStr">
        <is>
          <t>1992-11-19</t>
        </is>
      </c>
      <c r="X559" t="inlineStr">
        <is>
          <t>1992-11-19</t>
        </is>
      </c>
      <c r="Y559" t="n">
        <v>239</v>
      </c>
      <c r="Z559" t="n">
        <v>204</v>
      </c>
      <c r="AA559" t="n">
        <v>241</v>
      </c>
      <c r="AB559" t="n">
        <v>2</v>
      </c>
      <c r="AC559" t="n">
        <v>2</v>
      </c>
      <c r="AD559" t="n">
        <v>8</v>
      </c>
      <c r="AE559" t="n">
        <v>8</v>
      </c>
      <c r="AF559" t="n">
        <v>2</v>
      </c>
      <c r="AG559" t="n">
        <v>2</v>
      </c>
      <c r="AH559" t="n">
        <v>4</v>
      </c>
      <c r="AI559" t="n">
        <v>4</v>
      </c>
      <c r="AJ559" t="n">
        <v>5</v>
      </c>
      <c r="AK559" t="n">
        <v>5</v>
      </c>
      <c r="AL559" t="n">
        <v>1</v>
      </c>
      <c r="AM559" t="n">
        <v>1</v>
      </c>
      <c r="AN559" t="n">
        <v>0</v>
      </c>
      <c r="AO559" t="n">
        <v>0</v>
      </c>
      <c r="AP559" t="inlineStr">
        <is>
          <t>No</t>
        </is>
      </c>
      <c r="AQ559" t="inlineStr">
        <is>
          <t>No</t>
        </is>
      </c>
      <c r="AS559">
        <f>HYPERLINK("https://creighton-primo.hosted.exlibrisgroup.com/primo-explore/search?tab=default_tab&amp;search_scope=EVERYTHING&amp;vid=01CRU&amp;lang=en_US&amp;offset=0&amp;query=any,contains,991005104329702656","Catalog Record")</f>
        <v/>
      </c>
      <c r="AT559">
        <f>HYPERLINK("http://www.worldcat.org/oclc/7320846","WorldCat Record")</f>
        <v/>
      </c>
      <c r="AU559" t="inlineStr">
        <is>
          <t>6757478:eng</t>
        </is>
      </c>
      <c r="AV559" t="inlineStr">
        <is>
          <t>7320846</t>
        </is>
      </c>
      <c r="AW559" t="inlineStr">
        <is>
          <t>991005104329702656</t>
        </is>
      </c>
      <c r="AX559" t="inlineStr">
        <is>
          <t>991005104329702656</t>
        </is>
      </c>
      <c r="AY559" t="inlineStr">
        <is>
          <t>2266459230002656</t>
        </is>
      </c>
      <c r="AZ559" t="inlineStr">
        <is>
          <t>BOOK</t>
        </is>
      </c>
      <c r="BC559" t="inlineStr">
        <is>
          <t>32285001407880</t>
        </is>
      </c>
      <c r="BD559" t="inlineStr">
        <is>
          <t>893437162</t>
        </is>
      </c>
    </row>
    <row r="560">
      <c r="A560" t="inlineStr">
        <is>
          <t>No</t>
        </is>
      </c>
      <c r="B560" t="inlineStr">
        <is>
          <t>LB1103 .S6 v. 67 no. 3</t>
        </is>
      </c>
      <c r="C560" t="inlineStr">
        <is>
          <t>0                      LB 1103000S  6                                                       v. 67 no. 3</t>
        </is>
      </c>
      <c r="D560" t="inlineStr">
        <is>
          <t>Child emotional security and interparental conflict / Patrick T. Davies ... [et al.] ; with commentary by Jennifer M. Jenkins.</t>
        </is>
      </c>
      <c r="E560" t="inlineStr">
        <is>
          <t>V. 67 NO. 3</t>
        </is>
      </c>
      <c r="F560" t="inlineStr">
        <is>
          <t>No</t>
        </is>
      </c>
      <c r="G560" t="inlineStr">
        <is>
          <t>1</t>
        </is>
      </c>
      <c r="H560" t="inlineStr">
        <is>
          <t>No</t>
        </is>
      </c>
      <c r="I560" t="inlineStr">
        <is>
          <t>No</t>
        </is>
      </c>
      <c r="J560" t="inlineStr">
        <is>
          <t>0</t>
        </is>
      </c>
      <c r="L560" t="inlineStr">
        <is>
          <t>Boston, Mass. : Blackwell, c2002.</t>
        </is>
      </c>
      <c r="M560" t="inlineStr">
        <is>
          <t>2002</t>
        </is>
      </c>
      <c r="O560" t="inlineStr">
        <is>
          <t>eng</t>
        </is>
      </c>
      <c r="P560" t="inlineStr">
        <is>
          <t>mau</t>
        </is>
      </c>
      <c r="Q560" t="inlineStr">
        <is>
          <t>Monographs of the Society for Research in Child Development, 0037-976X ; serial no. 270, vol. 67, no. 3, 2002</t>
        </is>
      </c>
      <c r="R560" t="inlineStr">
        <is>
          <t xml:space="preserve">LB </t>
        </is>
      </c>
      <c r="S560" t="n">
        <v>1</v>
      </c>
      <c r="T560" t="n">
        <v>1</v>
      </c>
      <c r="U560" t="inlineStr">
        <is>
          <t>2010-06-03</t>
        </is>
      </c>
      <c r="V560" t="inlineStr">
        <is>
          <t>2010-06-03</t>
        </is>
      </c>
      <c r="W560" t="inlineStr">
        <is>
          <t>2003-02-03</t>
        </is>
      </c>
      <c r="X560" t="inlineStr">
        <is>
          <t>2003-02-03</t>
        </is>
      </c>
      <c r="Y560" t="n">
        <v>943</v>
      </c>
      <c r="Z560" t="n">
        <v>805</v>
      </c>
      <c r="AA560" t="n">
        <v>826</v>
      </c>
      <c r="AB560" t="n">
        <v>10</v>
      </c>
      <c r="AC560" t="n">
        <v>10</v>
      </c>
      <c r="AD560" t="n">
        <v>45</v>
      </c>
      <c r="AE560" t="n">
        <v>45</v>
      </c>
      <c r="AF560" t="n">
        <v>20</v>
      </c>
      <c r="AG560" t="n">
        <v>20</v>
      </c>
      <c r="AH560" t="n">
        <v>8</v>
      </c>
      <c r="AI560" t="n">
        <v>8</v>
      </c>
      <c r="AJ560" t="n">
        <v>19</v>
      </c>
      <c r="AK560" t="n">
        <v>19</v>
      </c>
      <c r="AL560" t="n">
        <v>9</v>
      </c>
      <c r="AM560" t="n">
        <v>9</v>
      </c>
      <c r="AN560" t="n">
        <v>0</v>
      </c>
      <c r="AO560" t="n">
        <v>0</v>
      </c>
      <c r="AP560" t="inlineStr">
        <is>
          <t>No</t>
        </is>
      </c>
      <c r="AQ560" t="inlineStr">
        <is>
          <t>Yes</t>
        </is>
      </c>
      <c r="AR560">
        <f>HYPERLINK("http://catalog.hathitrust.org/Record/003849390","HathiTrust Record")</f>
        <v/>
      </c>
      <c r="AS560">
        <f>HYPERLINK("https://creighton-primo.hosted.exlibrisgroup.com/primo-explore/search?tab=default_tab&amp;search_scope=EVERYTHING&amp;vid=01CRU&amp;lang=en_US&amp;offset=0&amp;query=any,contains,991003986689702656","Catalog Record")</f>
        <v/>
      </c>
      <c r="AT560">
        <f>HYPERLINK("http://www.worldcat.org/oclc/51216945","WorldCat Record")</f>
        <v/>
      </c>
      <c r="AU560" t="inlineStr">
        <is>
          <t>505457230:eng</t>
        </is>
      </c>
      <c r="AV560" t="inlineStr">
        <is>
          <t>51216945</t>
        </is>
      </c>
      <c r="AW560" t="inlineStr">
        <is>
          <t>991003986689702656</t>
        </is>
      </c>
      <c r="AX560" t="inlineStr">
        <is>
          <t>991003986689702656</t>
        </is>
      </c>
      <c r="AY560" t="inlineStr">
        <is>
          <t>2270504100002656</t>
        </is>
      </c>
      <c r="AZ560" t="inlineStr">
        <is>
          <t>BOOK</t>
        </is>
      </c>
      <c r="BC560" t="inlineStr">
        <is>
          <t>32285004690839</t>
        </is>
      </c>
      <c r="BD560" t="inlineStr">
        <is>
          <t>893806509</t>
        </is>
      </c>
    </row>
    <row r="561">
      <c r="A561" t="inlineStr">
        <is>
          <t>No</t>
        </is>
      </c>
      <c r="B561" t="inlineStr">
        <is>
          <t>LB1103 .S6 v. 69 no. 1</t>
        </is>
      </c>
      <c r="C561" t="inlineStr">
        <is>
          <t>0                      LB 1103000S  6                                                       v. 69 no. 1</t>
        </is>
      </c>
      <c r="D561" t="inlineStr">
        <is>
          <t>Mother-child conversations about gender : understanding the acquisition of essentialist beliefs / Susan A. Gelman, Marianne G. Taylor, Simone P. Nguyen ; with commentary by Campbell Leaper, Rebecca S. Bigler.</t>
        </is>
      </c>
      <c r="E561" t="inlineStr">
        <is>
          <t>V. 69 NO. 1</t>
        </is>
      </c>
      <c r="F561" t="inlineStr">
        <is>
          <t>No</t>
        </is>
      </c>
      <c r="G561" t="inlineStr">
        <is>
          <t>1</t>
        </is>
      </c>
      <c r="H561" t="inlineStr">
        <is>
          <t>No</t>
        </is>
      </c>
      <c r="I561" t="inlineStr">
        <is>
          <t>No</t>
        </is>
      </c>
      <c r="J561" t="inlineStr">
        <is>
          <t>0</t>
        </is>
      </c>
      <c r="K561" t="inlineStr">
        <is>
          <t>Gelman, Susan A.</t>
        </is>
      </c>
      <c r="L561" t="inlineStr">
        <is>
          <t>Boston : Blackwell Publishing, 2004.</t>
        </is>
      </c>
      <c r="M561" t="inlineStr">
        <is>
          <t>2004</t>
        </is>
      </c>
      <c r="O561" t="inlineStr">
        <is>
          <t>eng</t>
        </is>
      </c>
      <c r="P561" t="inlineStr">
        <is>
          <t>mau</t>
        </is>
      </c>
      <c r="Q561" t="inlineStr">
        <is>
          <t>Monographs of the Society for Research in Child Development ; serial no. 275, v. 69, no. 1</t>
        </is>
      </c>
      <c r="R561" t="inlineStr">
        <is>
          <t xml:space="preserve">LB </t>
        </is>
      </c>
      <c r="S561" t="n">
        <v>1</v>
      </c>
      <c r="T561" t="n">
        <v>1</v>
      </c>
      <c r="U561" t="inlineStr">
        <is>
          <t>2004-09-01</t>
        </is>
      </c>
      <c r="V561" t="inlineStr">
        <is>
          <t>2004-09-01</t>
        </is>
      </c>
      <c r="W561" t="inlineStr">
        <is>
          <t>2004-09-01</t>
        </is>
      </c>
      <c r="X561" t="inlineStr">
        <is>
          <t>2004-09-01</t>
        </is>
      </c>
      <c r="Y561" t="n">
        <v>867</v>
      </c>
      <c r="Z561" t="n">
        <v>756</v>
      </c>
      <c r="AA561" t="n">
        <v>775</v>
      </c>
      <c r="AB561" t="n">
        <v>10</v>
      </c>
      <c r="AC561" t="n">
        <v>10</v>
      </c>
      <c r="AD561" t="n">
        <v>44</v>
      </c>
      <c r="AE561" t="n">
        <v>44</v>
      </c>
      <c r="AF561" t="n">
        <v>21</v>
      </c>
      <c r="AG561" t="n">
        <v>21</v>
      </c>
      <c r="AH561" t="n">
        <v>6</v>
      </c>
      <c r="AI561" t="n">
        <v>6</v>
      </c>
      <c r="AJ561" t="n">
        <v>20</v>
      </c>
      <c r="AK561" t="n">
        <v>20</v>
      </c>
      <c r="AL561" t="n">
        <v>9</v>
      </c>
      <c r="AM561" t="n">
        <v>9</v>
      </c>
      <c r="AN561" t="n">
        <v>0</v>
      </c>
      <c r="AO561" t="n">
        <v>0</v>
      </c>
      <c r="AP561" t="inlineStr">
        <is>
          <t>No</t>
        </is>
      </c>
      <c r="AQ561" t="inlineStr">
        <is>
          <t>Yes</t>
        </is>
      </c>
      <c r="AR561">
        <f>HYPERLINK("http://catalog.hathitrust.org/Record/008316236","HathiTrust Record")</f>
        <v/>
      </c>
      <c r="AS561">
        <f>HYPERLINK("https://creighton-primo.hosted.exlibrisgroup.com/primo-explore/search?tab=default_tab&amp;search_scope=EVERYTHING&amp;vid=01CRU&amp;lang=en_US&amp;offset=0&amp;query=any,contains,991004361049702656","Catalog Record")</f>
        <v/>
      </c>
      <c r="AT561">
        <f>HYPERLINK("http://www.worldcat.org/oclc/56338906","WorldCat Record")</f>
        <v/>
      </c>
      <c r="AU561" t="inlineStr">
        <is>
          <t>478515105:eng</t>
        </is>
      </c>
      <c r="AV561" t="inlineStr">
        <is>
          <t>56338906</t>
        </is>
      </c>
      <c r="AW561" t="inlineStr">
        <is>
          <t>991004361049702656</t>
        </is>
      </c>
      <c r="AX561" t="inlineStr">
        <is>
          <t>991004361049702656</t>
        </is>
      </c>
      <c r="AY561" t="inlineStr">
        <is>
          <t>2265753850002656</t>
        </is>
      </c>
      <c r="AZ561" t="inlineStr">
        <is>
          <t>BOOK</t>
        </is>
      </c>
      <c r="BC561" t="inlineStr">
        <is>
          <t>32285004985304</t>
        </is>
      </c>
      <c r="BD561" t="inlineStr">
        <is>
          <t>893901153</t>
        </is>
      </c>
    </row>
    <row r="562">
      <c r="A562" t="inlineStr">
        <is>
          <t>No</t>
        </is>
      </c>
      <c r="B562" t="inlineStr">
        <is>
          <t>LB1103 .S6 v. 69 no. 2</t>
        </is>
      </c>
      <c r="C562" t="inlineStr">
        <is>
          <t>0                      LB 1103000S  6                                                       v. 69 no. 2</t>
        </is>
      </c>
      <c r="D562" t="inlineStr">
        <is>
          <t>Origins and early development of human body knowledge / Virginia Slaughter, Michelle Heron ; in collaboration with Linda Jenkins, Elizabeth Tilse ; with commentary by Ulrich Meuller, Dana Liebermann.</t>
        </is>
      </c>
      <c r="E562" t="inlineStr">
        <is>
          <t>V. 69 NO. 2</t>
        </is>
      </c>
      <c r="F562" t="inlineStr">
        <is>
          <t>No</t>
        </is>
      </c>
      <c r="G562" t="inlineStr">
        <is>
          <t>1</t>
        </is>
      </c>
      <c r="H562" t="inlineStr">
        <is>
          <t>No</t>
        </is>
      </c>
      <c r="I562" t="inlineStr">
        <is>
          <t>No</t>
        </is>
      </c>
      <c r="J562" t="inlineStr">
        <is>
          <t>0</t>
        </is>
      </c>
      <c r="L562" t="inlineStr">
        <is>
          <t>Boston, Mass. : Blackwell Pub., 2004.</t>
        </is>
      </c>
      <c r="M562" t="inlineStr">
        <is>
          <t>2004</t>
        </is>
      </c>
      <c r="O562" t="inlineStr">
        <is>
          <t>eng</t>
        </is>
      </c>
      <c r="P562" t="inlineStr">
        <is>
          <t>mau</t>
        </is>
      </c>
      <c r="Q562" t="inlineStr">
        <is>
          <t>Monographs of the Society for Research in Child Development ; serial no. 276, v. 69, no. 2</t>
        </is>
      </c>
      <c r="R562" t="inlineStr">
        <is>
          <t xml:space="preserve">LB </t>
        </is>
      </c>
      <c r="S562" t="n">
        <v>1</v>
      </c>
      <c r="T562" t="n">
        <v>1</v>
      </c>
      <c r="U562" t="inlineStr">
        <is>
          <t>2004-10-06</t>
        </is>
      </c>
      <c r="V562" t="inlineStr">
        <is>
          <t>2004-10-06</t>
        </is>
      </c>
      <c r="W562" t="inlineStr">
        <is>
          <t>2004-10-05</t>
        </is>
      </c>
      <c r="X562" t="inlineStr">
        <is>
          <t>2004-10-05</t>
        </is>
      </c>
      <c r="Y562" t="n">
        <v>831</v>
      </c>
      <c r="Z562" t="n">
        <v>712</v>
      </c>
      <c r="AA562" t="n">
        <v>727</v>
      </c>
      <c r="AB562" t="n">
        <v>7</v>
      </c>
      <c r="AC562" t="n">
        <v>7</v>
      </c>
      <c r="AD562" t="n">
        <v>38</v>
      </c>
      <c r="AE562" t="n">
        <v>38</v>
      </c>
      <c r="AF562" t="n">
        <v>18</v>
      </c>
      <c r="AG562" t="n">
        <v>18</v>
      </c>
      <c r="AH562" t="n">
        <v>6</v>
      </c>
      <c r="AI562" t="n">
        <v>6</v>
      </c>
      <c r="AJ562" t="n">
        <v>19</v>
      </c>
      <c r="AK562" t="n">
        <v>19</v>
      </c>
      <c r="AL562" t="n">
        <v>6</v>
      </c>
      <c r="AM562" t="n">
        <v>6</v>
      </c>
      <c r="AN562" t="n">
        <v>0</v>
      </c>
      <c r="AO562" t="n">
        <v>0</v>
      </c>
      <c r="AP562" t="inlineStr">
        <is>
          <t>No</t>
        </is>
      </c>
      <c r="AQ562" t="inlineStr">
        <is>
          <t>No</t>
        </is>
      </c>
      <c r="AS562">
        <f>HYPERLINK("https://creighton-primo.hosted.exlibrisgroup.com/primo-explore/search?tab=default_tab&amp;search_scope=EVERYTHING&amp;vid=01CRU&amp;lang=en_US&amp;offset=0&amp;query=any,contains,991004393419702656","Catalog Record")</f>
        <v/>
      </c>
      <c r="AT562">
        <f>HYPERLINK("http://www.worldcat.org/oclc/49861940","WorldCat Record")</f>
        <v/>
      </c>
      <c r="AU562" t="inlineStr">
        <is>
          <t>145761159:eng</t>
        </is>
      </c>
      <c r="AV562" t="inlineStr">
        <is>
          <t>49861940</t>
        </is>
      </c>
      <c r="AW562" t="inlineStr">
        <is>
          <t>991004393419702656</t>
        </is>
      </c>
      <c r="AX562" t="inlineStr">
        <is>
          <t>991004393419702656</t>
        </is>
      </c>
      <c r="AY562" t="inlineStr">
        <is>
          <t>2269044580002656</t>
        </is>
      </c>
      <c r="AZ562" t="inlineStr">
        <is>
          <t>BOOK</t>
        </is>
      </c>
      <c r="BC562" t="inlineStr">
        <is>
          <t>32285005001119</t>
        </is>
      </c>
      <c r="BD562" t="inlineStr">
        <is>
          <t>893706349</t>
        </is>
      </c>
    </row>
    <row r="563">
      <c r="A563" t="inlineStr">
        <is>
          <t>No</t>
        </is>
      </c>
      <c r="B563" t="inlineStr">
        <is>
          <t>LB1103 .S6 v. 69 no. 3</t>
        </is>
      </c>
      <c r="C563" t="inlineStr">
        <is>
          <t>0                      LB 1103000S  6                                                       v. 69 no. 3</t>
        </is>
      </c>
      <c r="D563" t="inlineStr">
        <is>
          <t>Constraints on conceptual development : a case study of the acquisition of folkbiological and folksociological knowledge in Madagascar / Rita Astuti, Gregg E.A. Solomon, Susan Carey ; with commentary by Tim Ingold, Patricia H. Miller.</t>
        </is>
      </c>
      <c r="E563" t="inlineStr">
        <is>
          <t>V. 69 NO. 3</t>
        </is>
      </c>
      <c r="F563" t="inlineStr">
        <is>
          <t>No</t>
        </is>
      </c>
      <c r="G563" t="inlineStr">
        <is>
          <t>1</t>
        </is>
      </c>
      <c r="H563" t="inlineStr">
        <is>
          <t>No</t>
        </is>
      </c>
      <c r="I563" t="inlineStr">
        <is>
          <t>No</t>
        </is>
      </c>
      <c r="J563" t="inlineStr">
        <is>
          <t>0</t>
        </is>
      </c>
      <c r="K563" t="inlineStr">
        <is>
          <t>Astuti, Rita.</t>
        </is>
      </c>
      <c r="L563" t="inlineStr">
        <is>
          <t>Boston, MA : Blackwell Pub., [2004?]</t>
        </is>
      </c>
      <c r="M563" t="inlineStr">
        <is>
          <t>2004</t>
        </is>
      </c>
      <c r="O563" t="inlineStr">
        <is>
          <t>eng</t>
        </is>
      </c>
      <c r="P563" t="inlineStr">
        <is>
          <t>mau</t>
        </is>
      </c>
      <c r="Q563" t="inlineStr">
        <is>
          <t>Monographs of the Society for Research in Child Development ; serial no. 277, v.69, no. 3</t>
        </is>
      </c>
      <c r="R563" t="inlineStr">
        <is>
          <t xml:space="preserve">LB </t>
        </is>
      </c>
      <c r="S563" t="n">
        <v>1</v>
      </c>
      <c r="T563" t="n">
        <v>1</v>
      </c>
      <c r="U563" t="inlineStr">
        <is>
          <t>2004-11-30</t>
        </is>
      </c>
      <c r="V563" t="inlineStr">
        <is>
          <t>2004-11-30</t>
        </is>
      </c>
      <c r="W563" t="inlineStr">
        <is>
          <t>2004-11-30</t>
        </is>
      </c>
      <c r="X563" t="inlineStr">
        <is>
          <t>2004-11-30</t>
        </is>
      </c>
      <c r="Y563" t="n">
        <v>795</v>
      </c>
      <c r="Z563" t="n">
        <v>703</v>
      </c>
      <c r="AA563" t="n">
        <v>739</v>
      </c>
      <c r="AB563" t="n">
        <v>8</v>
      </c>
      <c r="AC563" t="n">
        <v>9</v>
      </c>
      <c r="AD563" t="n">
        <v>42</v>
      </c>
      <c r="AE563" t="n">
        <v>43</v>
      </c>
      <c r="AF563" t="n">
        <v>21</v>
      </c>
      <c r="AG563" t="n">
        <v>21</v>
      </c>
      <c r="AH563" t="n">
        <v>7</v>
      </c>
      <c r="AI563" t="n">
        <v>7</v>
      </c>
      <c r="AJ563" t="n">
        <v>19</v>
      </c>
      <c r="AK563" t="n">
        <v>19</v>
      </c>
      <c r="AL563" t="n">
        <v>7</v>
      </c>
      <c r="AM563" t="n">
        <v>8</v>
      </c>
      <c r="AN563" t="n">
        <v>0</v>
      </c>
      <c r="AO563" t="n">
        <v>0</v>
      </c>
      <c r="AP563" t="inlineStr">
        <is>
          <t>No</t>
        </is>
      </c>
      <c r="AQ563" t="inlineStr">
        <is>
          <t>No</t>
        </is>
      </c>
      <c r="AS563">
        <f>HYPERLINK("https://creighton-primo.hosted.exlibrisgroup.com/primo-explore/search?tab=default_tab&amp;search_scope=EVERYTHING&amp;vid=01CRU&amp;lang=en_US&amp;offset=0&amp;query=any,contains,991004428119702656","Catalog Record")</f>
        <v/>
      </c>
      <c r="AT563">
        <f>HYPERLINK("http://www.worldcat.org/oclc/56720396","WorldCat Record")</f>
        <v/>
      </c>
      <c r="AU563" t="inlineStr">
        <is>
          <t>866237057:eng</t>
        </is>
      </c>
      <c r="AV563" t="inlineStr">
        <is>
          <t>56720396</t>
        </is>
      </c>
      <c r="AW563" t="inlineStr">
        <is>
          <t>991004428119702656</t>
        </is>
      </c>
      <c r="AX563" t="inlineStr">
        <is>
          <t>991004428119702656</t>
        </is>
      </c>
      <c r="AY563" t="inlineStr">
        <is>
          <t>2262978570002656</t>
        </is>
      </c>
      <c r="AZ563" t="inlineStr">
        <is>
          <t>BOOK</t>
        </is>
      </c>
      <c r="BC563" t="inlineStr">
        <is>
          <t>32285005014203</t>
        </is>
      </c>
      <c r="BD563" t="inlineStr">
        <is>
          <t>893500554</t>
        </is>
      </c>
    </row>
    <row r="564">
      <c r="A564" t="inlineStr">
        <is>
          <t>No</t>
        </is>
      </c>
      <c r="B564" t="inlineStr">
        <is>
          <t>LB1103 .S6 v. 69 no. 4</t>
        </is>
      </c>
      <c r="C564" t="inlineStr">
        <is>
          <t>0                      LB 1103000S  6                                                       v. 69 no. 4</t>
        </is>
      </c>
      <c r="D564" t="inlineStr">
        <is>
          <t>Trajectories of physical aggression from toddlerhood to middle childhood : predictors, correlates, and outcomes / NICHD Early Child Care Research Network ; with commentary by William F. Arsenio.</t>
        </is>
      </c>
      <c r="E564" t="inlineStr">
        <is>
          <t>V. 69 NO. 4</t>
        </is>
      </c>
      <c r="F564" t="inlineStr">
        <is>
          <t>No</t>
        </is>
      </c>
      <c r="G564" t="inlineStr">
        <is>
          <t>1</t>
        </is>
      </c>
      <c r="H564" t="inlineStr">
        <is>
          <t>No</t>
        </is>
      </c>
      <c r="I564" t="inlineStr">
        <is>
          <t>No</t>
        </is>
      </c>
      <c r="J564" t="inlineStr">
        <is>
          <t>0</t>
        </is>
      </c>
      <c r="L564" t="inlineStr">
        <is>
          <t>Boston, Mass. : Blackwell, c2004.</t>
        </is>
      </c>
      <c r="M564" t="inlineStr">
        <is>
          <t>2004</t>
        </is>
      </c>
      <c r="O564" t="inlineStr">
        <is>
          <t>eng</t>
        </is>
      </c>
      <c r="P564" t="inlineStr">
        <is>
          <t>mau</t>
        </is>
      </c>
      <c r="Q564" t="inlineStr">
        <is>
          <t>Monographs of the Society for Research in Child Development, 0037-976X ; serial no. 278, vol. 69, no. 4, 2004</t>
        </is>
      </c>
      <c r="R564" t="inlineStr">
        <is>
          <t xml:space="preserve">LB </t>
        </is>
      </c>
      <c r="S564" t="n">
        <v>1</v>
      </c>
      <c r="T564" t="n">
        <v>1</v>
      </c>
      <c r="U564" t="inlineStr">
        <is>
          <t>2005-01-18</t>
        </is>
      </c>
      <c r="V564" t="inlineStr">
        <is>
          <t>2005-01-18</t>
        </is>
      </c>
      <c r="W564" t="inlineStr">
        <is>
          <t>2005-01-18</t>
        </is>
      </c>
      <c r="X564" t="inlineStr">
        <is>
          <t>2005-01-18</t>
        </is>
      </c>
      <c r="Y564" t="n">
        <v>875</v>
      </c>
      <c r="Z564" t="n">
        <v>749</v>
      </c>
      <c r="AA564" t="n">
        <v>770</v>
      </c>
      <c r="AB564" t="n">
        <v>8</v>
      </c>
      <c r="AC564" t="n">
        <v>8</v>
      </c>
      <c r="AD564" t="n">
        <v>41</v>
      </c>
      <c r="AE564" t="n">
        <v>41</v>
      </c>
      <c r="AF564" t="n">
        <v>19</v>
      </c>
      <c r="AG564" t="n">
        <v>19</v>
      </c>
      <c r="AH564" t="n">
        <v>6</v>
      </c>
      <c r="AI564" t="n">
        <v>6</v>
      </c>
      <c r="AJ564" t="n">
        <v>21</v>
      </c>
      <c r="AK564" t="n">
        <v>21</v>
      </c>
      <c r="AL564" t="n">
        <v>7</v>
      </c>
      <c r="AM564" t="n">
        <v>7</v>
      </c>
      <c r="AN564" t="n">
        <v>0</v>
      </c>
      <c r="AO564" t="n">
        <v>0</v>
      </c>
      <c r="AP564" t="inlineStr">
        <is>
          <t>No</t>
        </is>
      </c>
      <c r="AQ564" t="inlineStr">
        <is>
          <t>Yes</t>
        </is>
      </c>
      <c r="AR564">
        <f>HYPERLINK("http://catalog.hathitrust.org/Record/007155387","HathiTrust Record")</f>
        <v/>
      </c>
      <c r="AS564">
        <f>HYPERLINK("https://creighton-primo.hosted.exlibrisgroup.com/primo-explore/search?tab=default_tab&amp;search_scope=EVERYTHING&amp;vid=01CRU&amp;lang=en_US&amp;offset=0&amp;query=any,contains,991004457779702656","Catalog Record")</f>
        <v/>
      </c>
      <c r="AT564">
        <f>HYPERLINK("http://www.worldcat.org/oclc/57359012","WorldCat Record")</f>
        <v/>
      </c>
      <c r="AU564" t="inlineStr">
        <is>
          <t>939757209:eng</t>
        </is>
      </c>
      <c r="AV564" t="inlineStr">
        <is>
          <t>57359012</t>
        </is>
      </c>
      <c r="AW564" t="inlineStr">
        <is>
          <t>991004457779702656</t>
        </is>
      </c>
      <c r="AX564" t="inlineStr">
        <is>
          <t>991004457779702656</t>
        </is>
      </c>
      <c r="AY564" t="inlineStr">
        <is>
          <t>2267410240002656</t>
        </is>
      </c>
      <c r="AZ564" t="inlineStr">
        <is>
          <t>BOOK</t>
        </is>
      </c>
      <c r="BC564" t="inlineStr">
        <is>
          <t>32285005021034</t>
        </is>
      </c>
      <c r="BD564" t="inlineStr">
        <is>
          <t>893411571</t>
        </is>
      </c>
    </row>
    <row r="565">
      <c r="A565" t="inlineStr">
        <is>
          <t>No</t>
        </is>
      </c>
      <c r="B565" t="inlineStr">
        <is>
          <t>LB1103 .S6 v. 70 no. 2</t>
        </is>
      </c>
      <c r="C565" t="inlineStr">
        <is>
          <t>0                      LB 1103000S  6                                                       v. 70 no. 2</t>
        </is>
      </c>
      <c r="D565" t="inlineStr">
        <is>
          <t>Childhood sexual assault victims : long-term outcomes after testifying in criminal court / Jodi A. Quas ... [et al.] ; with commentary by Jeffrey J. Haugaard.</t>
        </is>
      </c>
      <c r="E565" t="inlineStr">
        <is>
          <t>V. 70 NO. 2</t>
        </is>
      </c>
      <c r="F565" t="inlineStr">
        <is>
          <t>No</t>
        </is>
      </c>
      <c r="G565" t="inlineStr">
        <is>
          <t>1</t>
        </is>
      </c>
      <c r="H565" t="inlineStr">
        <is>
          <t>No</t>
        </is>
      </c>
      <c r="I565" t="inlineStr">
        <is>
          <t>No</t>
        </is>
      </c>
      <c r="J565" t="inlineStr">
        <is>
          <t>0</t>
        </is>
      </c>
      <c r="L565" t="inlineStr">
        <is>
          <t>Boston, Mass. : Blackwell Pub., 2005.</t>
        </is>
      </c>
      <c r="M565" t="inlineStr">
        <is>
          <t>2005</t>
        </is>
      </c>
      <c r="O565" t="inlineStr">
        <is>
          <t>eng</t>
        </is>
      </c>
      <c r="P565" t="inlineStr">
        <is>
          <t>mau</t>
        </is>
      </c>
      <c r="Q565" t="inlineStr">
        <is>
          <t>Monographs of the Society for Research in Child Development ; serial no. 280, v. 70, no. 2</t>
        </is>
      </c>
      <c r="R565" t="inlineStr">
        <is>
          <t xml:space="preserve">LB </t>
        </is>
      </c>
      <c r="S565" t="n">
        <v>1</v>
      </c>
      <c r="T565" t="n">
        <v>1</v>
      </c>
      <c r="U565" t="inlineStr">
        <is>
          <t>2005-10-31</t>
        </is>
      </c>
      <c r="V565" t="inlineStr">
        <is>
          <t>2005-10-31</t>
        </is>
      </c>
      <c r="W565" t="inlineStr">
        <is>
          <t>2005-10-31</t>
        </is>
      </c>
      <c r="X565" t="inlineStr">
        <is>
          <t>2005-10-31</t>
        </is>
      </c>
      <c r="Y565" t="n">
        <v>689</v>
      </c>
      <c r="Z565" t="n">
        <v>565</v>
      </c>
      <c r="AA565" t="n">
        <v>587</v>
      </c>
      <c r="AB565" t="n">
        <v>8</v>
      </c>
      <c r="AC565" t="n">
        <v>8</v>
      </c>
      <c r="AD565" t="n">
        <v>34</v>
      </c>
      <c r="AE565" t="n">
        <v>34</v>
      </c>
      <c r="AF565" t="n">
        <v>14</v>
      </c>
      <c r="AG565" t="n">
        <v>14</v>
      </c>
      <c r="AH565" t="n">
        <v>7</v>
      </c>
      <c r="AI565" t="n">
        <v>7</v>
      </c>
      <c r="AJ565" t="n">
        <v>14</v>
      </c>
      <c r="AK565" t="n">
        <v>14</v>
      </c>
      <c r="AL565" t="n">
        <v>7</v>
      </c>
      <c r="AM565" t="n">
        <v>7</v>
      </c>
      <c r="AN565" t="n">
        <v>0</v>
      </c>
      <c r="AO565" t="n">
        <v>0</v>
      </c>
      <c r="AP565" t="inlineStr">
        <is>
          <t>No</t>
        </is>
      </c>
      <c r="AQ565" t="inlineStr">
        <is>
          <t>Yes</t>
        </is>
      </c>
      <c r="AR565">
        <f>HYPERLINK("http://catalog.hathitrust.org/Record/005124727","HathiTrust Record")</f>
        <v/>
      </c>
      <c r="AS565">
        <f>HYPERLINK("https://creighton-primo.hosted.exlibrisgroup.com/primo-explore/search?tab=default_tab&amp;search_scope=EVERYTHING&amp;vid=01CRU&amp;lang=en_US&amp;offset=0&amp;query=any,contains,991004686829702656","Catalog Record")</f>
        <v/>
      </c>
      <c r="AT565">
        <f>HYPERLINK("http://www.worldcat.org/oclc/61885008","WorldCat Record")</f>
        <v/>
      </c>
      <c r="AU565" t="inlineStr">
        <is>
          <t>862860898:eng</t>
        </is>
      </c>
      <c r="AV565" t="inlineStr">
        <is>
          <t>61885008</t>
        </is>
      </c>
      <c r="AW565" t="inlineStr">
        <is>
          <t>991004686829702656</t>
        </is>
      </c>
      <c r="AX565" t="inlineStr">
        <is>
          <t>991004686829702656</t>
        </is>
      </c>
      <c r="AY565" t="inlineStr">
        <is>
          <t>2260723530002656</t>
        </is>
      </c>
      <c r="AZ565" t="inlineStr">
        <is>
          <t>BOOK</t>
        </is>
      </c>
      <c r="BC565" t="inlineStr">
        <is>
          <t>32285005143374</t>
        </is>
      </c>
      <c r="BD565" t="inlineStr">
        <is>
          <t>893628308</t>
        </is>
      </c>
    </row>
    <row r="566">
      <c r="A566" t="inlineStr">
        <is>
          <t>No</t>
        </is>
      </c>
      <c r="B566" t="inlineStr">
        <is>
          <t>LB1103 .S6 v. 70 no. 3</t>
        </is>
      </c>
      <c r="C566" t="inlineStr">
        <is>
          <t>0                      LB 1103000S  6                                                       v. 70 no. 3</t>
        </is>
      </c>
      <c r="D566" t="inlineStr">
        <is>
          <t>Being hurt and hurting others : children's narrative accounts and moral judgments of their own interpersonal conflicts / Cecilia Wainryb ... [et al.] ; with commentary by Bryan W. Sokol and Stuart Hammond.</t>
        </is>
      </c>
      <c r="E566" t="inlineStr">
        <is>
          <t>V. 70 NO. 3</t>
        </is>
      </c>
      <c r="F566" t="inlineStr">
        <is>
          <t>No</t>
        </is>
      </c>
      <c r="G566" t="inlineStr">
        <is>
          <t>1</t>
        </is>
      </c>
      <c r="H566" t="inlineStr">
        <is>
          <t>No</t>
        </is>
      </c>
      <c r="I566" t="inlineStr">
        <is>
          <t>No</t>
        </is>
      </c>
      <c r="J566" t="inlineStr">
        <is>
          <t>0</t>
        </is>
      </c>
      <c r="L566" t="inlineStr">
        <is>
          <t>Boston, Mass. : Blackwell Pub., 2005.</t>
        </is>
      </c>
      <c r="M566" t="inlineStr">
        <is>
          <t>2005</t>
        </is>
      </c>
      <c r="O566" t="inlineStr">
        <is>
          <t>eng</t>
        </is>
      </c>
      <c r="P566" t="inlineStr">
        <is>
          <t>mau</t>
        </is>
      </c>
      <c r="R566" t="inlineStr">
        <is>
          <t xml:space="preserve">LB </t>
        </is>
      </c>
      <c r="S566" t="n">
        <v>1</v>
      </c>
      <c r="T566" t="n">
        <v>1</v>
      </c>
      <c r="U566" t="inlineStr">
        <is>
          <t>2006-01-17</t>
        </is>
      </c>
      <c r="V566" t="inlineStr">
        <is>
          <t>2006-01-17</t>
        </is>
      </c>
      <c r="W566" t="inlineStr">
        <is>
          <t>2006-01-17</t>
        </is>
      </c>
      <c r="X566" t="inlineStr">
        <is>
          <t>2006-01-17</t>
        </is>
      </c>
      <c r="Y566" t="n">
        <v>843</v>
      </c>
      <c r="Z566" t="n">
        <v>718</v>
      </c>
      <c r="AA566" t="n">
        <v>739</v>
      </c>
      <c r="AB566" t="n">
        <v>9</v>
      </c>
      <c r="AC566" t="n">
        <v>9</v>
      </c>
      <c r="AD566" t="n">
        <v>39</v>
      </c>
      <c r="AE566" t="n">
        <v>39</v>
      </c>
      <c r="AF566" t="n">
        <v>17</v>
      </c>
      <c r="AG566" t="n">
        <v>17</v>
      </c>
      <c r="AH566" t="n">
        <v>7</v>
      </c>
      <c r="AI566" t="n">
        <v>7</v>
      </c>
      <c r="AJ566" t="n">
        <v>16</v>
      </c>
      <c r="AK566" t="n">
        <v>16</v>
      </c>
      <c r="AL566" t="n">
        <v>8</v>
      </c>
      <c r="AM566" t="n">
        <v>8</v>
      </c>
      <c r="AN566" t="n">
        <v>0</v>
      </c>
      <c r="AO566" t="n">
        <v>0</v>
      </c>
      <c r="AP566" t="inlineStr">
        <is>
          <t>No</t>
        </is>
      </c>
      <c r="AQ566" t="inlineStr">
        <is>
          <t>Yes</t>
        </is>
      </c>
      <c r="AR566">
        <f>HYPERLINK("http://catalog.hathitrust.org/Record/005124716","HathiTrust Record")</f>
        <v/>
      </c>
      <c r="AS566">
        <f>HYPERLINK("https://creighton-primo.hosted.exlibrisgroup.com/primo-explore/search?tab=default_tab&amp;search_scope=EVERYTHING&amp;vid=01CRU&amp;lang=en_US&amp;offset=0&amp;query=any,contains,991004713739702656","Catalog Record")</f>
        <v/>
      </c>
      <c r="AT566">
        <f>HYPERLINK("http://www.worldcat.org/oclc/62793706","WorldCat Record")</f>
        <v/>
      </c>
      <c r="AU566" t="inlineStr">
        <is>
          <t>863153954:eng</t>
        </is>
      </c>
      <c r="AV566" t="inlineStr">
        <is>
          <t>62793706</t>
        </is>
      </c>
      <c r="AW566" t="inlineStr">
        <is>
          <t>991004713739702656</t>
        </is>
      </c>
      <c r="AX566" t="inlineStr">
        <is>
          <t>991004713739702656</t>
        </is>
      </c>
      <c r="AY566" t="inlineStr">
        <is>
          <t>2261842940002656</t>
        </is>
      </c>
      <c r="AZ566" t="inlineStr">
        <is>
          <t>BOOK</t>
        </is>
      </c>
      <c r="BC566" t="inlineStr">
        <is>
          <t>32285005155584</t>
        </is>
      </c>
      <c r="BD566" t="inlineStr">
        <is>
          <t>893430419</t>
        </is>
      </c>
    </row>
    <row r="567">
      <c r="A567" t="inlineStr">
        <is>
          <t>No</t>
        </is>
      </c>
      <c r="B567" t="inlineStr">
        <is>
          <t>LB1103 .S6 v. 70 no. 4</t>
        </is>
      </c>
      <c r="C567" t="inlineStr">
        <is>
          <t>0                      LB 1103000S  6                                                       v. 70 no. 4</t>
        </is>
      </c>
      <c r="D567" t="inlineStr">
        <is>
          <t>Parental support, psychological control, and behavioral control : assessing relevance across time, culture, and method / Brian K. Barber, Heidi E. Stolz, Joseph A. Olsen ; with commentary by W. Andrew Collins and Margaret Burchinal.</t>
        </is>
      </c>
      <c r="E567" t="inlineStr">
        <is>
          <t>V. 70 NO. 4</t>
        </is>
      </c>
      <c r="F567" t="inlineStr">
        <is>
          <t>No</t>
        </is>
      </c>
      <c r="G567" t="inlineStr">
        <is>
          <t>1</t>
        </is>
      </c>
      <c r="H567" t="inlineStr">
        <is>
          <t>No</t>
        </is>
      </c>
      <c r="I567" t="inlineStr">
        <is>
          <t>No</t>
        </is>
      </c>
      <c r="J567" t="inlineStr">
        <is>
          <t>0</t>
        </is>
      </c>
      <c r="L567" t="inlineStr">
        <is>
          <t>Boston, Mass. : Blackwell, 2005.</t>
        </is>
      </c>
      <c r="M567" t="inlineStr">
        <is>
          <t>2005</t>
        </is>
      </c>
      <c r="O567" t="inlineStr">
        <is>
          <t>eng</t>
        </is>
      </c>
      <c r="P567" t="inlineStr">
        <is>
          <t>mau</t>
        </is>
      </c>
      <c r="Q567" t="inlineStr">
        <is>
          <t>Monographs of the Society for Research in Child Development, 0037-976X ; serial no. 282, vol. 70, no. 4, 2005</t>
        </is>
      </c>
      <c r="R567" t="inlineStr">
        <is>
          <t xml:space="preserve">LB </t>
        </is>
      </c>
      <c r="S567" t="n">
        <v>1</v>
      </c>
      <c r="T567" t="n">
        <v>1</v>
      </c>
      <c r="U567" t="inlineStr">
        <is>
          <t>2006-01-17</t>
        </is>
      </c>
      <c r="V567" t="inlineStr">
        <is>
          <t>2006-01-17</t>
        </is>
      </c>
      <c r="W567" t="inlineStr">
        <is>
          <t>2006-01-17</t>
        </is>
      </c>
      <c r="X567" t="inlineStr">
        <is>
          <t>2006-01-17</t>
        </is>
      </c>
      <c r="Y567" t="n">
        <v>842</v>
      </c>
      <c r="Z567" t="n">
        <v>717</v>
      </c>
      <c r="AA567" t="n">
        <v>735</v>
      </c>
      <c r="AB567" t="n">
        <v>9</v>
      </c>
      <c r="AC567" t="n">
        <v>9</v>
      </c>
      <c r="AD567" t="n">
        <v>40</v>
      </c>
      <c r="AE567" t="n">
        <v>40</v>
      </c>
      <c r="AF567" t="n">
        <v>18</v>
      </c>
      <c r="AG567" t="n">
        <v>18</v>
      </c>
      <c r="AH567" t="n">
        <v>7</v>
      </c>
      <c r="AI567" t="n">
        <v>7</v>
      </c>
      <c r="AJ567" t="n">
        <v>16</v>
      </c>
      <c r="AK567" t="n">
        <v>16</v>
      </c>
      <c r="AL567" t="n">
        <v>8</v>
      </c>
      <c r="AM567" t="n">
        <v>8</v>
      </c>
      <c r="AN567" t="n">
        <v>0</v>
      </c>
      <c r="AO567" t="n">
        <v>0</v>
      </c>
      <c r="AP567" t="inlineStr">
        <is>
          <t>No</t>
        </is>
      </c>
      <c r="AQ567" t="inlineStr">
        <is>
          <t>No</t>
        </is>
      </c>
      <c r="AS567">
        <f>HYPERLINK("https://creighton-primo.hosted.exlibrisgroup.com/primo-explore/search?tab=default_tab&amp;search_scope=EVERYTHING&amp;vid=01CRU&amp;lang=en_US&amp;offset=0&amp;query=any,contains,991004713779702656","Catalog Record")</f>
        <v/>
      </c>
      <c r="AT567">
        <f>HYPERLINK("http://www.worldcat.org/oclc/62875463","WorldCat Record")</f>
        <v/>
      </c>
      <c r="AU567" t="inlineStr">
        <is>
          <t>892263532:eng</t>
        </is>
      </c>
      <c r="AV567" t="inlineStr">
        <is>
          <t>62875463</t>
        </is>
      </c>
      <c r="AW567" t="inlineStr">
        <is>
          <t>991004713779702656</t>
        </is>
      </c>
      <c r="AX567" t="inlineStr">
        <is>
          <t>991004713779702656</t>
        </is>
      </c>
      <c r="AY567" t="inlineStr">
        <is>
          <t>2261418140002656</t>
        </is>
      </c>
      <c r="AZ567" t="inlineStr">
        <is>
          <t>BOOK</t>
        </is>
      </c>
      <c r="BC567" t="inlineStr">
        <is>
          <t>32285005155592</t>
        </is>
      </c>
      <c r="BD567" t="inlineStr">
        <is>
          <t>893618988</t>
        </is>
      </c>
    </row>
    <row r="568">
      <c r="A568" t="inlineStr">
        <is>
          <t>No</t>
        </is>
      </c>
      <c r="B568" t="inlineStr">
        <is>
          <t>LB1103 .S6 v. 72 no. 1</t>
        </is>
      </c>
      <c r="C568" t="inlineStr">
        <is>
          <t>0                      LB 1103000S  6                                                       v. 72 no. 1</t>
        </is>
      </c>
      <c r="D568" t="inlineStr">
        <is>
          <t>Children's questions : a mechanism for cognitive development / Michelle M. Chouinard ; with commentary by P.L. Harris, Michael P. Maratsos.</t>
        </is>
      </c>
      <c r="E568" t="inlineStr">
        <is>
          <t>V. 72 NO. 1</t>
        </is>
      </c>
      <c r="F568" t="inlineStr">
        <is>
          <t>No</t>
        </is>
      </c>
      <c r="G568" t="inlineStr">
        <is>
          <t>1</t>
        </is>
      </c>
      <c r="H568" t="inlineStr">
        <is>
          <t>No</t>
        </is>
      </c>
      <c r="I568" t="inlineStr">
        <is>
          <t>No</t>
        </is>
      </c>
      <c r="J568" t="inlineStr">
        <is>
          <t>0</t>
        </is>
      </c>
      <c r="K568" t="inlineStr">
        <is>
          <t>Chouinard, Michelle M. (Michelle Marie)</t>
        </is>
      </c>
      <c r="L568" t="inlineStr">
        <is>
          <t>Boston, Mass. : Blackwell Pub., 2007.</t>
        </is>
      </c>
      <c r="M568" t="inlineStr">
        <is>
          <t>2007</t>
        </is>
      </c>
      <c r="O568" t="inlineStr">
        <is>
          <t>eng</t>
        </is>
      </c>
      <c r="P568" t="inlineStr">
        <is>
          <t>mau</t>
        </is>
      </c>
      <c r="Q568" t="inlineStr">
        <is>
          <t>Monographs of the Society for Research in Child Development, 0037-976X ; serial no. 286, vol. 72, no. 1, 2007</t>
        </is>
      </c>
      <c r="R568" t="inlineStr">
        <is>
          <t xml:space="preserve">LB </t>
        </is>
      </c>
      <c r="S568" t="n">
        <v>1</v>
      </c>
      <c r="T568" t="n">
        <v>1</v>
      </c>
      <c r="U568" t="inlineStr">
        <is>
          <t>2007-06-14</t>
        </is>
      </c>
      <c r="V568" t="inlineStr">
        <is>
          <t>2007-06-14</t>
        </is>
      </c>
      <c r="W568" t="inlineStr">
        <is>
          <t>2007-06-14</t>
        </is>
      </c>
      <c r="X568" t="inlineStr">
        <is>
          <t>2007-06-14</t>
        </is>
      </c>
      <c r="Y568" t="n">
        <v>681</v>
      </c>
      <c r="Z568" t="n">
        <v>569</v>
      </c>
      <c r="AA568" t="n">
        <v>587</v>
      </c>
      <c r="AB568" t="n">
        <v>9</v>
      </c>
      <c r="AC568" t="n">
        <v>9</v>
      </c>
      <c r="AD568" t="n">
        <v>28</v>
      </c>
      <c r="AE568" t="n">
        <v>28</v>
      </c>
      <c r="AF568" t="n">
        <v>11</v>
      </c>
      <c r="AG568" t="n">
        <v>11</v>
      </c>
      <c r="AH568" t="n">
        <v>5</v>
      </c>
      <c r="AI568" t="n">
        <v>5</v>
      </c>
      <c r="AJ568" t="n">
        <v>11</v>
      </c>
      <c r="AK568" t="n">
        <v>11</v>
      </c>
      <c r="AL568" t="n">
        <v>8</v>
      </c>
      <c r="AM568" t="n">
        <v>8</v>
      </c>
      <c r="AN568" t="n">
        <v>0</v>
      </c>
      <c r="AO568" t="n">
        <v>0</v>
      </c>
      <c r="AP568" t="inlineStr">
        <is>
          <t>No</t>
        </is>
      </c>
      <c r="AQ568" t="inlineStr">
        <is>
          <t>No</t>
        </is>
      </c>
      <c r="AS568">
        <f>HYPERLINK("https://creighton-primo.hosted.exlibrisgroup.com/primo-explore/search?tab=default_tab&amp;search_scope=EVERYTHING&amp;vid=01CRU&amp;lang=en_US&amp;offset=0&amp;query=any,contains,991005093899702656","Catalog Record")</f>
        <v/>
      </c>
      <c r="AT568">
        <f>HYPERLINK("http://www.worldcat.org/oclc/123416551","WorldCat Record")</f>
        <v/>
      </c>
      <c r="AU568" t="inlineStr">
        <is>
          <t>205387506:eng</t>
        </is>
      </c>
      <c r="AV568" t="inlineStr">
        <is>
          <t>123416551</t>
        </is>
      </c>
      <c r="AW568" t="inlineStr">
        <is>
          <t>991005093899702656</t>
        </is>
      </c>
      <c r="AX568" t="inlineStr">
        <is>
          <t>991005093899702656</t>
        </is>
      </c>
      <c r="AY568" t="inlineStr">
        <is>
          <t>2266701560002656</t>
        </is>
      </c>
      <c r="AZ568" t="inlineStr">
        <is>
          <t>BOOK</t>
        </is>
      </c>
      <c r="BC568" t="inlineStr">
        <is>
          <t>32285005317572</t>
        </is>
      </c>
      <c r="BD568" t="inlineStr">
        <is>
          <t>893437140</t>
        </is>
      </c>
    </row>
    <row r="569">
      <c r="A569" t="inlineStr">
        <is>
          <t>No</t>
        </is>
      </c>
      <c r="B569" t="inlineStr">
        <is>
          <t>LB1103 .S6 v. 72 no. 2</t>
        </is>
      </c>
      <c r="C569" t="inlineStr">
        <is>
          <t>0                      LB 1103000S  6                                                       v. 72 no. 2</t>
        </is>
      </c>
      <c r="D569" t="inlineStr">
        <is>
          <t>The preservation of two infant temperaments into adolescence / Jerome Kagan, Nancy Snidman, Vali Kahn and Sara Towsley ; with commentary by Laurence Steinberg and Nathan A. Fox.</t>
        </is>
      </c>
      <c r="E569" t="inlineStr">
        <is>
          <t>V. 72 NO. 2</t>
        </is>
      </c>
      <c r="F569" t="inlineStr">
        <is>
          <t>No</t>
        </is>
      </c>
      <c r="G569" t="inlineStr">
        <is>
          <t>1</t>
        </is>
      </c>
      <c r="H569" t="inlineStr">
        <is>
          <t>No</t>
        </is>
      </c>
      <c r="I569" t="inlineStr">
        <is>
          <t>No</t>
        </is>
      </c>
      <c r="J569" t="inlineStr">
        <is>
          <t>0</t>
        </is>
      </c>
      <c r="K569" t="inlineStr">
        <is>
          <t>Kagan, Jerome.</t>
        </is>
      </c>
      <c r="L569" t="inlineStr">
        <is>
          <t>Boston, Mass. : Blackwell, 2007.</t>
        </is>
      </c>
      <c r="M569" t="inlineStr">
        <is>
          <t>2007</t>
        </is>
      </c>
      <c r="O569" t="inlineStr">
        <is>
          <t>eng</t>
        </is>
      </c>
      <c r="P569" t="inlineStr">
        <is>
          <t>mau</t>
        </is>
      </c>
      <c r="Q569" t="inlineStr">
        <is>
          <t>Monographs of the Society for Research in Child Development, 0037-976X ; serial no. 287, vol. 72, no. 2, 2007</t>
        </is>
      </c>
      <c r="R569" t="inlineStr">
        <is>
          <t xml:space="preserve">LB </t>
        </is>
      </c>
      <c r="S569" t="n">
        <v>1</v>
      </c>
      <c r="T569" t="n">
        <v>1</v>
      </c>
      <c r="U569" t="inlineStr">
        <is>
          <t>2007-09-06</t>
        </is>
      </c>
      <c r="V569" t="inlineStr">
        <is>
          <t>2007-09-06</t>
        </is>
      </c>
      <c r="W569" t="inlineStr">
        <is>
          <t>2007-09-06</t>
        </is>
      </c>
      <c r="X569" t="inlineStr">
        <is>
          <t>2007-09-06</t>
        </is>
      </c>
      <c r="Y569" t="n">
        <v>654</v>
      </c>
      <c r="Z569" t="n">
        <v>533</v>
      </c>
      <c r="AA569" t="n">
        <v>554</v>
      </c>
      <c r="AB569" t="n">
        <v>9</v>
      </c>
      <c r="AC569" t="n">
        <v>9</v>
      </c>
      <c r="AD569" t="n">
        <v>27</v>
      </c>
      <c r="AE569" t="n">
        <v>27</v>
      </c>
      <c r="AF569" t="n">
        <v>11</v>
      </c>
      <c r="AG569" t="n">
        <v>11</v>
      </c>
      <c r="AH569" t="n">
        <v>5</v>
      </c>
      <c r="AI569" t="n">
        <v>5</v>
      </c>
      <c r="AJ569" t="n">
        <v>10</v>
      </c>
      <c r="AK569" t="n">
        <v>10</v>
      </c>
      <c r="AL569" t="n">
        <v>8</v>
      </c>
      <c r="AM569" t="n">
        <v>8</v>
      </c>
      <c r="AN569" t="n">
        <v>0</v>
      </c>
      <c r="AO569" t="n">
        <v>0</v>
      </c>
      <c r="AP569" t="inlineStr">
        <is>
          <t>No</t>
        </is>
      </c>
      <c r="AQ569" t="inlineStr">
        <is>
          <t>No</t>
        </is>
      </c>
      <c r="AS569">
        <f>HYPERLINK("https://creighton-primo.hosted.exlibrisgroup.com/primo-explore/search?tab=default_tab&amp;search_scope=EVERYTHING&amp;vid=01CRU&amp;lang=en_US&amp;offset=0&amp;query=any,contains,991005114569702656","Catalog Record")</f>
        <v/>
      </c>
      <c r="AT569">
        <f>HYPERLINK("http://www.worldcat.org/oclc/164588292","WorldCat Record")</f>
        <v/>
      </c>
      <c r="AU569" t="inlineStr">
        <is>
          <t>149450150:eng</t>
        </is>
      </c>
      <c r="AV569" t="inlineStr">
        <is>
          <t>164588292</t>
        </is>
      </c>
      <c r="AW569" t="inlineStr">
        <is>
          <t>991005114569702656</t>
        </is>
      </c>
      <c r="AX569" t="inlineStr">
        <is>
          <t>991005114569702656</t>
        </is>
      </c>
      <c r="AY569" t="inlineStr">
        <is>
          <t>2265648230002656</t>
        </is>
      </c>
      <c r="AZ569" t="inlineStr">
        <is>
          <t>BOOK</t>
        </is>
      </c>
      <c r="BC569" t="inlineStr">
        <is>
          <t>32285005324016</t>
        </is>
      </c>
      <c r="BD569" t="inlineStr">
        <is>
          <t>893870540</t>
        </is>
      </c>
    </row>
    <row r="570">
      <c r="A570" t="inlineStr">
        <is>
          <t>No</t>
        </is>
      </c>
      <c r="B570" t="inlineStr">
        <is>
          <t>LB1103 .S6 v. 72 no. 3</t>
        </is>
      </c>
      <c r="C570" t="inlineStr">
        <is>
          <t>0                      LB 1103000S  6                                                       v. 72 no. 3</t>
        </is>
      </c>
      <c r="D570" t="inlineStr">
        <is>
          <t>The genetic and environmental origins of learning abilities and disabilities in the early school years / Yulia Kovas ... [et al.]</t>
        </is>
      </c>
      <c r="E570" t="inlineStr">
        <is>
          <t>V. 72 NO. 3</t>
        </is>
      </c>
      <c r="F570" t="inlineStr">
        <is>
          <t>No</t>
        </is>
      </c>
      <c r="G570" t="inlineStr">
        <is>
          <t>1</t>
        </is>
      </c>
      <c r="H570" t="inlineStr">
        <is>
          <t>No</t>
        </is>
      </c>
      <c r="I570" t="inlineStr">
        <is>
          <t>No</t>
        </is>
      </c>
      <c r="J570" t="inlineStr">
        <is>
          <t>0</t>
        </is>
      </c>
      <c r="L570" t="inlineStr">
        <is>
          <t>Boston, Mass. : Blackwell, 2007.</t>
        </is>
      </c>
      <c r="M570" t="inlineStr">
        <is>
          <t>2007</t>
        </is>
      </c>
      <c r="O570" t="inlineStr">
        <is>
          <t>eng</t>
        </is>
      </c>
      <c r="P570" t="inlineStr">
        <is>
          <t>mau</t>
        </is>
      </c>
      <c r="Q570" t="inlineStr">
        <is>
          <t>Monographs of the Society for Research in Child Development, 0037-976X ; serial no. 288, vol. 72, no. 3, 2007</t>
        </is>
      </c>
      <c r="R570" t="inlineStr">
        <is>
          <t xml:space="preserve">LB </t>
        </is>
      </c>
      <c r="S570" t="n">
        <v>1</v>
      </c>
      <c r="T570" t="n">
        <v>1</v>
      </c>
      <c r="U570" t="inlineStr">
        <is>
          <t>2008-01-09</t>
        </is>
      </c>
      <c r="V570" t="inlineStr">
        <is>
          <t>2008-01-09</t>
        </is>
      </c>
      <c r="W570" t="inlineStr">
        <is>
          <t>2008-01-09</t>
        </is>
      </c>
      <c r="X570" t="inlineStr">
        <is>
          <t>2008-01-09</t>
        </is>
      </c>
      <c r="Y570" t="n">
        <v>662</v>
      </c>
      <c r="Z570" t="n">
        <v>553</v>
      </c>
      <c r="AA570" t="n">
        <v>570</v>
      </c>
      <c r="AB570" t="n">
        <v>9</v>
      </c>
      <c r="AC570" t="n">
        <v>9</v>
      </c>
      <c r="AD570" t="n">
        <v>30</v>
      </c>
      <c r="AE570" t="n">
        <v>30</v>
      </c>
      <c r="AF570" t="n">
        <v>13</v>
      </c>
      <c r="AG570" t="n">
        <v>13</v>
      </c>
      <c r="AH570" t="n">
        <v>5</v>
      </c>
      <c r="AI570" t="n">
        <v>5</v>
      </c>
      <c r="AJ570" t="n">
        <v>11</v>
      </c>
      <c r="AK570" t="n">
        <v>11</v>
      </c>
      <c r="AL570" t="n">
        <v>8</v>
      </c>
      <c r="AM570" t="n">
        <v>8</v>
      </c>
      <c r="AN570" t="n">
        <v>0</v>
      </c>
      <c r="AO570" t="n">
        <v>0</v>
      </c>
      <c r="AP570" t="inlineStr">
        <is>
          <t>No</t>
        </is>
      </c>
      <c r="AQ570" t="inlineStr">
        <is>
          <t>No</t>
        </is>
      </c>
      <c r="AS570">
        <f>HYPERLINK("https://creighton-primo.hosted.exlibrisgroup.com/primo-explore/search?tab=default_tab&amp;search_scope=EVERYTHING&amp;vid=01CRU&amp;lang=en_US&amp;offset=0&amp;query=any,contains,991005169329702656","Catalog Record")</f>
        <v/>
      </c>
      <c r="AT570">
        <f>HYPERLINK("http://www.worldcat.org/oclc/182538168","WorldCat Record")</f>
        <v/>
      </c>
      <c r="AU570" t="inlineStr">
        <is>
          <t>378639707:eng</t>
        </is>
      </c>
      <c r="AV570" t="inlineStr">
        <is>
          <t>182538168</t>
        </is>
      </c>
      <c r="AW570" t="inlineStr">
        <is>
          <t>991005169329702656</t>
        </is>
      </c>
      <c r="AX570" t="inlineStr">
        <is>
          <t>991005169329702656</t>
        </is>
      </c>
      <c r="AY570" t="inlineStr">
        <is>
          <t>2270758060002656</t>
        </is>
      </c>
      <c r="AZ570" t="inlineStr">
        <is>
          <t>BOOK</t>
        </is>
      </c>
      <c r="BC570" t="inlineStr">
        <is>
          <t>32285005375893</t>
        </is>
      </c>
      <c r="BD570" t="inlineStr">
        <is>
          <t>893353741</t>
        </is>
      </c>
    </row>
    <row r="571">
      <c r="A571" t="inlineStr">
        <is>
          <t>No</t>
        </is>
      </c>
      <c r="B571" t="inlineStr">
        <is>
          <t>LB1103 .S6 v.45, no.1</t>
        </is>
      </c>
      <c r="C571" t="inlineStr">
        <is>
          <t>0                      LB 1103000S  6                                                       v.45, no.1</t>
        </is>
      </c>
      <c r="D571" t="inlineStr">
        <is>
          <t>Understanding visual metaphor : developmental and individual differences / Nathan Kogan ... [et al.].</t>
        </is>
      </c>
      <c r="E571" t="inlineStr">
        <is>
          <t>V. 45 NO. 1</t>
        </is>
      </c>
      <c r="F571" t="inlineStr">
        <is>
          <t>No</t>
        </is>
      </c>
      <c r="G571" t="inlineStr">
        <is>
          <t>1</t>
        </is>
      </c>
      <c r="H571" t="inlineStr">
        <is>
          <t>No</t>
        </is>
      </c>
      <c r="I571" t="inlineStr">
        <is>
          <t>No</t>
        </is>
      </c>
      <c r="J571" t="inlineStr">
        <is>
          <t>0</t>
        </is>
      </c>
      <c r="L571" t="inlineStr">
        <is>
          <t>[Chicago] : published by the University of Chicago Press for the Society for Research in Child Development, 1980.</t>
        </is>
      </c>
      <c r="M571" t="inlineStr">
        <is>
          <t>1980</t>
        </is>
      </c>
      <c r="O571" t="inlineStr">
        <is>
          <t>eng</t>
        </is>
      </c>
      <c r="P571" t="inlineStr">
        <is>
          <t>ilu</t>
        </is>
      </c>
      <c r="Q571" t="inlineStr">
        <is>
          <t>Monographs of the Society for Research in Child Development ; serial no. 183, v. 45, no. 1 0037-976X</t>
        </is>
      </c>
      <c r="R571" t="inlineStr">
        <is>
          <t xml:space="preserve">LB </t>
        </is>
      </c>
      <c r="S571" t="n">
        <v>1</v>
      </c>
      <c r="T571" t="n">
        <v>1</v>
      </c>
      <c r="U571" t="inlineStr">
        <is>
          <t>2007-02-09</t>
        </is>
      </c>
      <c r="V571" t="inlineStr">
        <is>
          <t>2007-02-09</t>
        </is>
      </c>
      <c r="W571" t="inlineStr">
        <is>
          <t>1992-11-19</t>
        </is>
      </c>
      <c r="X571" t="inlineStr">
        <is>
          <t>1992-11-19</t>
        </is>
      </c>
      <c r="Y571" t="n">
        <v>262</v>
      </c>
      <c r="Z571" t="n">
        <v>216</v>
      </c>
      <c r="AA571" t="n">
        <v>232</v>
      </c>
      <c r="AB571" t="n">
        <v>1</v>
      </c>
      <c r="AC571" t="n">
        <v>1</v>
      </c>
      <c r="AD571" t="n">
        <v>6</v>
      </c>
      <c r="AE571" t="n">
        <v>6</v>
      </c>
      <c r="AF571" t="n">
        <v>2</v>
      </c>
      <c r="AG571" t="n">
        <v>2</v>
      </c>
      <c r="AH571" t="n">
        <v>3</v>
      </c>
      <c r="AI571" t="n">
        <v>3</v>
      </c>
      <c r="AJ571" t="n">
        <v>4</v>
      </c>
      <c r="AK571" t="n">
        <v>4</v>
      </c>
      <c r="AL571" t="n">
        <v>0</v>
      </c>
      <c r="AM571" t="n">
        <v>0</v>
      </c>
      <c r="AN571" t="n">
        <v>0</v>
      </c>
      <c r="AO571" t="n">
        <v>0</v>
      </c>
      <c r="AP571" t="inlineStr">
        <is>
          <t>No</t>
        </is>
      </c>
      <c r="AQ571" t="inlineStr">
        <is>
          <t>Yes</t>
        </is>
      </c>
      <c r="AR571">
        <f>HYPERLINK("http://catalog.hathitrust.org/Record/000737261","HathiTrust Record")</f>
        <v/>
      </c>
      <c r="AS571">
        <f>HYPERLINK("https://creighton-primo.hosted.exlibrisgroup.com/primo-explore/search?tab=default_tab&amp;search_scope=EVERYTHING&amp;vid=01CRU&amp;lang=en_US&amp;offset=0&amp;query=any,contains,991005000789702656","Catalog Record")</f>
        <v/>
      </c>
      <c r="AT571">
        <f>HYPERLINK("http://www.worldcat.org/oclc/6542213","WorldCat Record")</f>
        <v/>
      </c>
      <c r="AU571" t="inlineStr">
        <is>
          <t>889921286:eng</t>
        </is>
      </c>
      <c r="AV571" t="inlineStr">
        <is>
          <t>6542213</t>
        </is>
      </c>
      <c r="AW571" t="inlineStr">
        <is>
          <t>991005000789702656</t>
        </is>
      </c>
      <c r="AX571" t="inlineStr">
        <is>
          <t>991005000789702656</t>
        </is>
      </c>
      <c r="AY571" t="inlineStr">
        <is>
          <t>2256725100002656</t>
        </is>
      </c>
      <c r="AZ571" t="inlineStr">
        <is>
          <t>BOOK</t>
        </is>
      </c>
      <c r="BC571" t="inlineStr">
        <is>
          <t>32285001407849</t>
        </is>
      </c>
      <c r="BD571" t="inlineStr">
        <is>
          <t>893889530</t>
        </is>
      </c>
    </row>
    <row r="572">
      <c r="A572" t="inlineStr">
        <is>
          <t>No</t>
        </is>
      </c>
      <c r="B572" t="inlineStr">
        <is>
          <t>LB1103 .S6 v.45, no.2</t>
        </is>
      </c>
      <c r="C572" t="inlineStr">
        <is>
          <t>0                      LB 1103000S  6                                                       v.45, no.2</t>
        </is>
      </c>
      <c r="D572" t="inlineStr">
        <is>
          <t>Early patterns of cognitive development / Vernon C. Hall, Daniel B. Kaye ; project staff Marc Baron ... [et al.] ; with commentary by Sandra W. Scarr.</t>
        </is>
      </c>
      <c r="E572" t="inlineStr">
        <is>
          <t>V. 45  NO. 2</t>
        </is>
      </c>
      <c r="F572" t="inlineStr">
        <is>
          <t>No</t>
        </is>
      </c>
      <c r="G572" t="inlineStr">
        <is>
          <t>1</t>
        </is>
      </c>
      <c r="H572" t="inlineStr">
        <is>
          <t>No</t>
        </is>
      </c>
      <c r="I572" t="inlineStr">
        <is>
          <t>No</t>
        </is>
      </c>
      <c r="J572" t="inlineStr">
        <is>
          <t>0</t>
        </is>
      </c>
      <c r="K572" t="inlineStr">
        <is>
          <t>Hall, Vernon C.</t>
        </is>
      </c>
      <c r="L572" t="inlineStr">
        <is>
          <t>[Chicago] : Published by the University of Chicago Press for the Society for Research in Child Development, 1980.</t>
        </is>
      </c>
      <c r="M572" t="inlineStr">
        <is>
          <t>1980</t>
        </is>
      </c>
      <c r="O572" t="inlineStr">
        <is>
          <t>eng</t>
        </is>
      </c>
      <c r="P572" t="inlineStr">
        <is>
          <t>ilu</t>
        </is>
      </c>
      <c r="Q572" t="inlineStr">
        <is>
          <t>Monographs of the Society for Research in Child Development ; v. 45, no. 2, serial no. 184</t>
        </is>
      </c>
      <c r="R572" t="inlineStr">
        <is>
          <t xml:space="preserve">LB </t>
        </is>
      </c>
      <c r="S572" t="n">
        <v>3</v>
      </c>
      <c r="T572" t="n">
        <v>3</v>
      </c>
      <c r="U572" t="inlineStr">
        <is>
          <t>1997-03-07</t>
        </is>
      </c>
      <c r="V572" t="inlineStr">
        <is>
          <t>1997-03-07</t>
        </is>
      </c>
      <c r="W572" t="inlineStr">
        <is>
          <t>1992-11-19</t>
        </is>
      </c>
      <c r="X572" t="inlineStr">
        <is>
          <t>1992-11-19</t>
        </is>
      </c>
      <c r="Y572" t="n">
        <v>245</v>
      </c>
      <c r="Z572" t="n">
        <v>216</v>
      </c>
      <c r="AA572" t="n">
        <v>241</v>
      </c>
      <c r="AB572" t="n">
        <v>1</v>
      </c>
      <c r="AC572" t="n">
        <v>1</v>
      </c>
      <c r="AD572" t="n">
        <v>8</v>
      </c>
      <c r="AE572" t="n">
        <v>8</v>
      </c>
      <c r="AF572" t="n">
        <v>2</v>
      </c>
      <c r="AG572" t="n">
        <v>2</v>
      </c>
      <c r="AH572" t="n">
        <v>4</v>
      </c>
      <c r="AI572" t="n">
        <v>4</v>
      </c>
      <c r="AJ572" t="n">
        <v>6</v>
      </c>
      <c r="AK572" t="n">
        <v>6</v>
      </c>
      <c r="AL572" t="n">
        <v>0</v>
      </c>
      <c r="AM572" t="n">
        <v>0</v>
      </c>
      <c r="AN572" t="n">
        <v>0</v>
      </c>
      <c r="AO572" t="n">
        <v>0</v>
      </c>
      <c r="AP572" t="inlineStr">
        <is>
          <t>No</t>
        </is>
      </c>
      <c r="AQ572" t="inlineStr">
        <is>
          <t>No</t>
        </is>
      </c>
      <c r="AS572">
        <f>HYPERLINK("https://creighton-primo.hosted.exlibrisgroup.com/primo-explore/search?tab=default_tab&amp;search_scope=EVERYTHING&amp;vid=01CRU&amp;lang=en_US&amp;offset=0&amp;query=any,contains,991005074849702656","Catalog Record")</f>
        <v/>
      </c>
      <c r="AT572">
        <f>HYPERLINK("http://www.worldcat.org/oclc/7925750","WorldCat Record")</f>
        <v/>
      </c>
      <c r="AU572" t="inlineStr">
        <is>
          <t>12878888:eng</t>
        </is>
      </c>
      <c r="AV572" t="inlineStr">
        <is>
          <t>7925750</t>
        </is>
      </c>
      <c r="AW572" t="inlineStr">
        <is>
          <t>991005074849702656</t>
        </is>
      </c>
      <c r="AX572" t="inlineStr">
        <is>
          <t>991005074849702656</t>
        </is>
      </c>
      <c r="AY572" t="inlineStr">
        <is>
          <t>2259128640002656</t>
        </is>
      </c>
      <c r="AZ572" t="inlineStr">
        <is>
          <t>BOOK</t>
        </is>
      </c>
      <c r="BC572" t="inlineStr">
        <is>
          <t>32285001407856</t>
        </is>
      </c>
      <c r="BD572" t="inlineStr">
        <is>
          <t>893501275</t>
        </is>
      </c>
    </row>
    <row r="573">
      <c r="A573" t="inlineStr">
        <is>
          <t>No</t>
        </is>
      </c>
      <c r="B573" t="inlineStr">
        <is>
          <t>LB1103 .S6 v.60, no.2-3</t>
        </is>
      </c>
      <c r="C573" t="inlineStr">
        <is>
          <t>0                      LB 1103000S  6                                                       v.60, no.2-3</t>
        </is>
      </c>
      <c r="D573" t="inlineStr">
        <is>
          <t>Caregiving, cultural, and cognitive perspectives on secure-base behavior and working models : new growing points of attachment theory and research / edited by Everett Waters ... [and others]; with commentary by Christoph M. Heinicke, Inge Bretherton.</t>
        </is>
      </c>
      <c r="E573" t="inlineStr">
        <is>
          <t>V. 60  NO. 2-3</t>
        </is>
      </c>
      <c r="F573" t="inlineStr">
        <is>
          <t>No</t>
        </is>
      </c>
      <c r="G573" t="inlineStr">
        <is>
          <t>1</t>
        </is>
      </c>
      <c r="H573" t="inlineStr">
        <is>
          <t>No</t>
        </is>
      </c>
      <c r="I573" t="inlineStr">
        <is>
          <t>No</t>
        </is>
      </c>
      <c r="J573" t="inlineStr">
        <is>
          <t>0</t>
        </is>
      </c>
      <c r="L573" t="inlineStr">
        <is>
          <t>Chicago, Ill. : Society for Research in Child Development, c1995.</t>
        </is>
      </c>
      <c r="M573" t="inlineStr">
        <is>
          <t>1995</t>
        </is>
      </c>
      <c r="O573" t="inlineStr">
        <is>
          <t>eng</t>
        </is>
      </c>
      <c r="P573" t="inlineStr">
        <is>
          <t>ilu</t>
        </is>
      </c>
      <c r="Q573" t="inlineStr">
        <is>
          <t>Monographs of the Society for Research in Child Development, 0037-976X ; serial no. 244, v. 60, no. 2-3, 1995</t>
        </is>
      </c>
      <c r="R573" t="inlineStr">
        <is>
          <t xml:space="preserve">LB </t>
        </is>
      </c>
      <c r="S573" t="n">
        <v>9</v>
      </c>
      <c r="T573" t="n">
        <v>9</v>
      </c>
      <c r="U573" t="inlineStr">
        <is>
          <t>2003-03-28</t>
        </is>
      </c>
      <c r="V573" t="inlineStr">
        <is>
          <t>2003-03-28</t>
        </is>
      </c>
      <c r="W573" t="inlineStr">
        <is>
          <t>1996-09-12</t>
        </is>
      </c>
      <c r="X573" t="inlineStr">
        <is>
          <t>1996-09-12</t>
        </is>
      </c>
      <c r="Y573" t="n">
        <v>340</v>
      </c>
      <c r="Z573" t="n">
        <v>287</v>
      </c>
      <c r="AA573" t="n">
        <v>305</v>
      </c>
      <c r="AB573" t="n">
        <v>2</v>
      </c>
      <c r="AC573" t="n">
        <v>2</v>
      </c>
      <c r="AD573" t="n">
        <v>13</v>
      </c>
      <c r="AE573" t="n">
        <v>13</v>
      </c>
      <c r="AF573" t="n">
        <v>2</v>
      </c>
      <c r="AG573" t="n">
        <v>2</v>
      </c>
      <c r="AH573" t="n">
        <v>4</v>
      </c>
      <c r="AI573" t="n">
        <v>4</v>
      </c>
      <c r="AJ573" t="n">
        <v>9</v>
      </c>
      <c r="AK573" t="n">
        <v>9</v>
      </c>
      <c r="AL573" t="n">
        <v>1</v>
      </c>
      <c r="AM573" t="n">
        <v>1</v>
      </c>
      <c r="AN573" t="n">
        <v>0</v>
      </c>
      <c r="AO573" t="n">
        <v>0</v>
      </c>
      <c r="AP573" t="inlineStr">
        <is>
          <t>No</t>
        </is>
      </c>
      <c r="AQ573" t="inlineStr">
        <is>
          <t>Yes</t>
        </is>
      </c>
      <c r="AR573">
        <f>HYPERLINK("http://catalog.hathitrust.org/Record/003049738","HathiTrust Record")</f>
        <v/>
      </c>
      <c r="AS573">
        <f>HYPERLINK("https://creighton-primo.hosted.exlibrisgroup.com/primo-explore/search?tab=default_tab&amp;search_scope=EVERYTHING&amp;vid=01CRU&amp;lang=en_US&amp;offset=0&amp;query=any,contains,991002591989702656","Catalog Record")</f>
        <v/>
      </c>
      <c r="AT573">
        <f>HYPERLINK("http://www.worldcat.org/oclc/33965746","WorldCat Record")</f>
        <v/>
      </c>
      <c r="AU573" t="inlineStr">
        <is>
          <t>890479255:eng</t>
        </is>
      </c>
      <c r="AV573" t="inlineStr">
        <is>
          <t>33965746</t>
        </is>
      </c>
      <c r="AW573" t="inlineStr">
        <is>
          <t>991002591989702656</t>
        </is>
      </c>
      <c r="AX573" t="inlineStr">
        <is>
          <t>991002591989702656</t>
        </is>
      </c>
      <c r="AY573" t="inlineStr">
        <is>
          <t>2268812370002656</t>
        </is>
      </c>
      <c r="AZ573" t="inlineStr">
        <is>
          <t>BOOK</t>
        </is>
      </c>
      <c r="BB573" t="inlineStr">
        <is>
          <t>9780226874739</t>
        </is>
      </c>
      <c r="BC573" t="inlineStr">
        <is>
          <t>32285002317229</t>
        </is>
      </c>
      <c r="BD573" t="inlineStr">
        <is>
          <t>893892746</t>
        </is>
      </c>
    </row>
    <row r="574">
      <c r="A574" t="inlineStr">
        <is>
          <t>No</t>
        </is>
      </c>
      <c r="B574" t="inlineStr">
        <is>
          <t>LB1103 .S6 v.60, no.4</t>
        </is>
      </c>
      <c r="C574" t="inlineStr">
        <is>
          <t>0                      LB 1103000S  6                                                       v.60, no.4</t>
        </is>
      </c>
      <c r="D574" t="inlineStr">
        <is>
          <t>Strategies of knowledge acquisition / Deanna Kuhn ... [et al.] ; with commentary by Sheldon H. White, David Klahr and Sharon M. Carver, and a reply by the authors.</t>
        </is>
      </c>
      <c r="E574" t="inlineStr">
        <is>
          <t>V. 60  NO. 4</t>
        </is>
      </c>
      <c r="F574" t="inlineStr">
        <is>
          <t>No</t>
        </is>
      </c>
      <c r="G574" t="inlineStr">
        <is>
          <t>1</t>
        </is>
      </c>
      <c r="H574" t="inlineStr">
        <is>
          <t>No</t>
        </is>
      </c>
      <c r="I574" t="inlineStr">
        <is>
          <t>No</t>
        </is>
      </c>
      <c r="J574" t="inlineStr">
        <is>
          <t>0</t>
        </is>
      </c>
      <c r="L574" t="inlineStr">
        <is>
          <t>Chicago, Ill. : Society for Research in Child Development, c1995.</t>
        </is>
      </c>
      <c r="M574" t="inlineStr">
        <is>
          <t>1995</t>
        </is>
      </c>
      <c r="O574" t="inlineStr">
        <is>
          <t>eng</t>
        </is>
      </c>
      <c r="P574" t="inlineStr">
        <is>
          <t>ilu</t>
        </is>
      </c>
      <c r="Q574" t="inlineStr">
        <is>
          <t>Monographs of the Society for Research in Child Development, 0037-976X ; serial no. 245, vol. 60, no. 4, 1995</t>
        </is>
      </c>
      <c r="R574" t="inlineStr">
        <is>
          <t xml:space="preserve">LB </t>
        </is>
      </c>
      <c r="S574" t="n">
        <v>4</v>
      </c>
      <c r="T574" t="n">
        <v>4</v>
      </c>
      <c r="U574" t="inlineStr">
        <is>
          <t>1998-01-31</t>
        </is>
      </c>
      <c r="V574" t="inlineStr">
        <is>
          <t>1998-01-31</t>
        </is>
      </c>
      <c r="W574" t="inlineStr">
        <is>
          <t>1996-09-12</t>
        </is>
      </c>
      <c r="X574" t="inlineStr">
        <is>
          <t>1996-09-12</t>
        </is>
      </c>
      <c r="Y574" t="n">
        <v>298</v>
      </c>
      <c r="Z574" t="n">
        <v>258</v>
      </c>
      <c r="AA574" t="n">
        <v>269</v>
      </c>
      <c r="AB574" t="n">
        <v>2</v>
      </c>
      <c r="AC574" t="n">
        <v>2</v>
      </c>
      <c r="AD574" t="n">
        <v>12</v>
      </c>
      <c r="AE574" t="n">
        <v>12</v>
      </c>
      <c r="AF574" t="n">
        <v>2</v>
      </c>
      <c r="AG574" t="n">
        <v>2</v>
      </c>
      <c r="AH574" t="n">
        <v>4</v>
      </c>
      <c r="AI574" t="n">
        <v>4</v>
      </c>
      <c r="AJ574" t="n">
        <v>8</v>
      </c>
      <c r="AK574" t="n">
        <v>8</v>
      </c>
      <c r="AL574" t="n">
        <v>1</v>
      </c>
      <c r="AM574" t="n">
        <v>1</v>
      </c>
      <c r="AN574" t="n">
        <v>0</v>
      </c>
      <c r="AO574" t="n">
        <v>0</v>
      </c>
      <c r="AP574" t="inlineStr">
        <is>
          <t>No</t>
        </is>
      </c>
      <c r="AQ574" t="inlineStr">
        <is>
          <t>No</t>
        </is>
      </c>
      <c r="AS574">
        <f>HYPERLINK("https://creighton-primo.hosted.exlibrisgroup.com/primo-explore/search?tab=default_tab&amp;search_scope=EVERYTHING&amp;vid=01CRU&amp;lang=en_US&amp;offset=0&amp;query=any,contains,991002594319702656","Catalog Record")</f>
        <v/>
      </c>
      <c r="AT574">
        <f>HYPERLINK("http://www.worldcat.org/oclc/33980859","WorldCat Record")</f>
        <v/>
      </c>
      <c r="AU574" t="inlineStr">
        <is>
          <t>10596766974:eng</t>
        </is>
      </c>
      <c r="AV574" t="inlineStr">
        <is>
          <t>33980859</t>
        </is>
      </c>
      <c r="AW574" t="inlineStr">
        <is>
          <t>991002594319702656</t>
        </is>
      </c>
      <c r="AX574" t="inlineStr">
        <is>
          <t>991002594319702656</t>
        </is>
      </c>
      <c r="AY574" t="inlineStr">
        <is>
          <t>2260158960002656</t>
        </is>
      </c>
      <c r="AZ574" t="inlineStr">
        <is>
          <t>BOOK</t>
        </is>
      </c>
      <c r="BB574" t="inlineStr">
        <is>
          <t>9780226458090</t>
        </is>
      </c>
      <c r="BC574" t="inlineStr">
        <is>
          <t>32285002317237</t>
        </is>
      </c>
      <c r="BD574" t="inlineStr">
        <is>
          <t>893233148</t>
        </is>
      </c>
    </row>
    <row r="575">
      <c r="A575" t="inlineStr">
        <is>
          <t>No</t>
        </is>
      </c>
      <c r="B575" t="inlineStr">
        <is>
          <t>LB1103 .S6 v.61, no.1-2</t>
        </is>
      </c>
      <c r="C575" t="inlineStr">
        <is>
          <t>0                      LB 1103000S  6                                                       v.61, no.1-2</t>
        </is>
      </c>
      <c r="D575" t="inlineStr">
        <is>
          <t>The Role of central conceptual structures in the development of children's thought / Robbie Case, Yukari Okamoto ; in collaboration with Sharon Griffin ... [et al.] ; with commentary by Robert S. Siegler, Daniel P. Keating, and a reply by the authors.</t>
        </is>
      </c>
      <c r="E575" t="inlineStr">
        <is>
          <t>V. 61  NO. 1-2</t>
        </is>
      </c>
      <c r="F575" t="inlineStr">
        <is>
          <t>No</t>
        </is>
      </c>
      <c r="G575" t="inlineStr">
        <is>
          <t>1</t>
        </is>
      </c>
      <c r="H575" t="inlineStr">
        <is>
          <t>No</t>
        </is>
      </c>
      <c r="I575" t="inlineStr">
        <is>
          <t>No</t>
        </is>
      </c>
      <c r="J575" t="inlineStr">
        <is>
          <t>0</t>
        </is>
      </c>
      <c r="L575" t="inlineStr">
        <is>
          <t>Chicago, Ill. : Society for Research in Child Development, c1996.</t>
        </is>
      </c>
      <c r="M575" t="inlineStr">
        <is>
          <t>1996</t>
        </is>
      </c>
      <c r="O575" t="inlineStr">
        <is>
          <t>eng</t>
        </is>
      </c>
      <c r="P575" t="inlineStr">
        <is>
          <t>ilu</t>
        </is>
      </c>
      <c r="Q575" t="inlineStr">
        <is>
          <t>Monographs of the Society for Research in Child Development, 0037-976X ; serial no. 246, vol. 61, no. 1-2, 1996</t>
        </is>
      </c>
      <c r="R575" t="inlineStr">
        <is>
          <t xml:space="preserve">LB </t>
        </is>
      </c>
      <c r="S575" t="n">
        <v>2</v>
      </c>
      <c r="T575" t="n">
        <v>2</v>
      </c>
      <c r="U575" t="inlineStr">
        <is>
          <t>2001-02-27</t>
        </is>
      </c>
      <c r="V575" t="inlineStr">
        <is>
          <t>2001-02-27</t>
        </is>
      </c>
      <c r="W575" t="inlineStr">
        <is>
          <t>1996-09-12</t>
        </is>
      </c>
      <c r="X575" t="inlineStr">
        <is>
          <t>1996-09-12</t>
        </is>
      </c>
      <c r="Y575" t="n">
        <v>318</v>
      </c>
      <c r="Z575" t="n">
        <v>272</v>
      </c>
      <c r="AA575" t="n">
        <v>291</v>
      </c>
      <c r="AB575" t="n">
        <v>1</v>
      </c>
      <c r="AC575" t="n">
        <v>1</v>
      </c>
      <c r="AD575" t="n">
        <v>9</v>
      </c>
      <c r="AE575" t="n">
        <v>9</v>
      </c>
      <c r="AF575" t="n">
        <v>2</v>
      </c>
      <c r="AG575" t="n">
        <v>2</v>
      </c>
      <c r="AH575" t="n">
        <v>3</v>
      </c>
      <c r="AI575" t="n">
        <v>3</v>
      </c>
      <c r="AJ575" t="n">
        <v>6</v>
      </c>
      <c r="AK575" t="n">
        <v>6</v>
      </c>
      <c r="AL575" t="n">
        <v>0</v>
      </c>
      <c r="AM575" t="n">
        <v>0</v>
      </c>
      <c r="AN575" t="n">
        <v>0</v>
      </c>
      <c r="AO575" t="n">
        <v>0</v>
      </c>
      <c r="AP575" t="inlineStr">
        <is>
          <t>No</t>
        </is>
      </c>
      <c r="AQ575" t="inlineStr">
        <is>
          <t>Yes</t>
        </is>
      </c>
      <c r="AR575">
        <f>HYPERLINK("http://catalog.hathitrust.org/Record/003073790","HathiTrust Record")</f>
        <v/>
      </c>
      <c r="AS575">
        <f>HYPERLINK("https://creighton-primo.hosted.exlibrisgroup.com/primo-explore/search?tab=default_tab&amp;search_scope=EVERYTHING&amp;vid=01CRU&amp;lang=en_US&amp;offset=0&amp;query=any,contains,991002663109702656","Catalog Record")</f>
        <v/>
      </c>
      <c r="AT575">
        <f>HYPERLINK("http://www.worldcat.org/oclc/34798834","WorldCat Record")</f>
        <v/>
      </c>
      <c r="AU575" t="inlineStr">
        <is>
          <t>180705:eng</t>
        </is>
      </c>
      <c r="AV575" t="inlineStr">
        <is>
          <t>34798834</t>
        </is>
      </c>
      <c r="AW575" t="inlineStr">
        <is>
          <t>991002663109702656</t>
        </is>
      </c>
      <c r="AX575" t="inlineStr">
        <is>
          <t>991002663109702656</t>
        </is>
      </c>
      <c r="AY575" t="inlineStr">
        <is>
          <t>2259763230002656</t>
        </is>
      </c>
      <c r="AZ575" t="inlineStr">
        <is>
          <t>BOOK</t>
        </is>
      </c>
      <c r="BB575" t="inlineStr">
        <is>
          <t>9780226095400</t>
        </is>
      </c>
      <c r="BC575" t="inlineStr">
        <is>
          <t>32285002317385</t>
        </is>
      </c>
      <c r="BD575" t="inlineStr">
        <is>
          <t>893591621</t>
        </is>
      </c>
    </row>
    <row r="576">
      <c r="A576" t="inlineStr">
        <is>
          <t>No</t>
        </is>
      </c>
      <c r="B576" t="inlineStr">
        <is>
          <t>LB1103 .S6 v.62, no.3</t>
        </is>
      </c>
      <c r="C576" t="inlineStr">
        <is>
          <t>0                      LB 1103000S  6                                                       v.62, no.3</t>
        </is>
      </c>
      <c r="D576" t="inlineStr">
        <is>
          <t>Learning in the development of infant locomotion / Karen E. Adolph ; with commentary by Bennett I. Bertenthal ... [et al.].</t>
        </is>
      </c>
      <c r="E576" t="inlineStr">
        <is>
          <t>V. 62  NO. 3</t>
        </is>
      </c>
      <c r="F576" t="inlineStr">
        <is>
          <t>No</t>
        </is>
      </c>
      <c r="G576" t="inlineStr">
        <is>
          <t>1</t>
        </is>
      </c>
      <c r="H576" t="inlineStr">
        <is>
          <t>No</t>
        </is>
      </c>
      <c r="I576" t="inlineStr">
        <is>
          <t>No</t>
        </is>
      </c>
      <c r="J576" t="inlineStr">
        <is>
          <t>0</t>
        </is>
      </c>
      <c r="K576" t="inlineStr">
        <is>
          <t>Adolph, Karen E. (Karen Elizabeth)</t>
        </is>
      </c>
      <c r="L576" t="inlineStr">
        <is>
          <t>Chicago : University of Chicago Press, 1997.</t>
        </is>
      </c>
      <c r="M576" t="inlineStr">
        <is>
          <t>1997</t>
        </is>
      </c>
      <c r="O576" t="inlineStr">
        <is>
          <t>eng</t>
        </is>
      </c>
      <c r="P576" t="inlineStr">
        <is>
          <t>ilu</t>
        </is>
      </c>
      <c r="Q576" t="inlineStr">
        <is>
          <t>Monographs of the Society for Research in Child Development ; vol. 62, no. 3, serial no. 251</t>
        </is>
      </c>
      <c r="R576" t="inlineStr">
        <is>
          <t xml:space="preserve">LB </t>
        </is>
      </c>
      <c r="S576" t="n">
        <v>2</v>
      </c>
      <c r="T576" t="n">
        <v>2</v>
      </c>
      <c r="U576" t="inlineStr">
        <is>
          <t>2000-10-11</t>
        </is>
      </c>
      <c r="V576" t="inlineStr">
        <is>
          <t>2000-10-11</t>
        </is>
      </c>
      <c r="W576" t="inlineStr">
        <is>
          <t>1997-11-19</t>
        </is>
      </c>
      <c r="X576" t="inlineStr">
        <is>
          <t>1997-11-19</t>
        </is>
      </c>
      <c r="Y576" t="n">
        <v>327</v>
      </c>
      <c r="Z576" t="n">
        <v>250</v>
      </c>
      <c r="AA576" t="n">
        <v>267</v>
      </c>
      <c r="AB576" t="n">
        <v>2</v>
      </c>
      <c r="AC576" t="n">
        <v>2</v>
      </c>
      <c r="AD576" t="n">
        <v>10</v>
      </c>
      <c r="AE576" t="n">
        <v>10</v>
      </c>
      <c r="AF576" t="n">
        <v>2</v>
      </c>
      <c r="AG576" t="n">
        <v>2</v>
      </c>
      <c r="AH576" t="n">
        <v>3</v>
      </c>
      <c r="AI576" t="n">
        <v>3</v>
      </c>
      <c r="AJ576" t="n">
        <v>7</v>
      </c>
      <c r="AK576" t="n">
        <v>7</v>
      </c>
      <c r="AL576" t="n">
        <v>1</v>
      </c>
      <c r="AM576" t="n">
        <v>1</v>
      </c>
      <c r="AN576" t="n">
        <v>0</v>
      </c>
      <c r="AO576" t="n">
        <v>0</v>
      </c>
      <c r="AP576" t="inlineStr">
        <is>
          <t>No</t>
        </is>
      </c>
      <c r="AQ576" t="inlineStr">
        <is>
          <t>No</t>
        </is>
      </c>
      <c r="AS576">
        <f>HYPERLINK("https://creighton-primo.hosted.exlibrisgroup.com/primo-explore/search?tab=default_tab&amp;search_scope=EVERYTHING&amp;vid=01CRU&amp;lang=en_US&amp;offset=0&amp;query=any,contains,991002880239702656","Catalog Record")</f>
        <v/>
      </c>
      <c r="AT576">
        <f>HYPERLINK("http://www.worldcat.org/oclc/37958817","WorldCat Record")</f>
        <v/>
      </c>
      <c r="AU576" t="inlineStr">
        <is>
          <t>3772432355:eng</t>
        </is>
      </c>
      <c r="AV576" t="inlineStr">
        <is>
          <t>37958817</t>
        </is>
      </c>
      <c r="AW576" t="inlineStr">
        <is>
          <t>991002880239702656</t>
        </is>
      </c>
      <c r="AX576" t="inlineStr">
        <is>
          <t>991002880239702656</t>
        </is>
      </c>
      <c r="AY576" t="inlineStr">
        <is>
          <t>2268824440002656</t>
        </is>
      </c>
      <c r="AZ576" t="inlineStr">
        <is>
          <t>BOOK</t>
        </is>
      </c>
      <c r="BB576" t="inlineStr">
        <is>
          <t>9780226007663</t>
        </is>
      </c>
      <c r="BC576" t="inlineStr">
        <is>
          <t>32285003272001</t>
        </is>
      </c>
      <c r="BD576" t="inlineStr">
        <is>
          <t>893799126</t>
        </is>
      </c>
    </row>
    <row r="577">
      <c r="A577" t="inlineStr">
        <is>
          <t>No</t>
        </is>
      </c>
      <c r="B577" t="inlineStr">
        <is>
          <t>LB1103 .S6 v.62, no.4</t>
        </is>
      </c>
      <c r="C577" t="inlineStr">
        <is>
          <t>0                      LB 1103000S  6                                                       v.62, no.4</t>
        </is>
      </c>
      <c r="D577" t="inlineStr">
        <is>
          <t>Prefrontal cortex cognitive deficits in children treated early and continuously for PKU / Adele Diamond ... [et al.]</t>
        </is>
      </c>
      <c r="E577" t="inlineStr">
        <is>
          <t>V. 62  NO. 4</t>
        </is>
      </c>
      <c r="F577" t="inlineStr">
        <is>
          <t>No</t>
        </is>
      </c>
      <c r="G577" t="inlineStr">
        <is>
          <t>1</t>
        </is>
      </c>
      <c r="H577" t="inlineStr">
        <is>
          <t>No</t>
        </is>
      </c>
      <c r="I577" t="inlineStr">
        <is>
          <t>No</t>
        </is>
      </c>
      <c r="J577" t="inlineStr">
        <is>
          <t>0</t>
        </is>
      </c>
      <c r="L577" t="inlineStr">
        <is>
          <t>Chicago : University of Chicago Press, 1997.</t>
        </is>
      </c>
      <c r="M577" t="inlineStr">
        <is>
          <t>1997</t>
        </is>
      </c>
      <c r="O577" t="inlineStr">
        <is>
          <t>eng</t>
        </is>
      </c>
      <c r="P577" t="inlineStr">
        <is>
          <t>ilu</t>
        </is>
      </c>
      <c r="Q577" t="inlineStr">
        <is>
          <t>Monographs of the Society for Reseach in Child Development, 0037-976X ; v. 62, no. 4, serial no. 252</t>
        </is>
      </c>
      <c r="R577" t="inlineStr">
        <is>
          <t xml:space="preserve">LB </t>
        </is>
      </c>
      <c r="S577" t="n">
        <v>2</v>
      </c>
      <c r="T577" t="n">
        <v>2</v>
      </c>
      <c r="U577" t="inlineStr">
        <is>
          <t>2004-09-26</t>
        </is>
      </c>
      <c r="V577" t="inlineStr">
        <is>
          <t>2004-09-26</t>
        </is>
      </c>
      <c r="W577" t="inlineStr">
        <is>
          <t>1997-12-18</t>
        </is>
      </c>
      <c r="X577" t="inlineStr">
        <is>
          <t>1997-12-18</t>
        </is>
      </c>
      <c r="Y577" t="n">
        <v>298</v>
      </c>
      <c r="Z577" t="n">
        <v>230</v>
      </c>
      <c r="AA577" t="n">
        <v>243</v>
      </c>
      <c r="AB577" t="n">
        <v>1</v>
      </c>
      <c r="AC577" t="n">
        <v>1</v>
      </c>
      <c r="AD577" t="n">
        <v>9</v>
      </c>
      <c r="AE577" t="n">
        <v>9</v>
      </c>
      <c r="AF577" t="n">
        <v>2</v>
      </c>
      <c r="AG577" t="n">
        <v>2</v>
      </c>
      <c r="AH577" t="n">
        <v>3</v>
      </c>
      <c r="AI577" t="n">
        <v>3</v>
      </c>
      <c r="AJ577" t="n">
        <v>7</v>
      </c>
      <c r="AK577" t="n">
        <v>7</v>
      </c>
      <c r="AL577" t="n">
        <v>0</v>
      </c>
      <c r="AM577" t="n">
        <v>0</v>
      </c>
      <c r="AN577" t="n">
        <v>0</v>
      </c>
      <c r="AO577" t="n">
        <v>0</v>
      </c>
      <c r="AP577" t="inlineStr">
        <is>
          <t>No</t>
        </is>
      </c>
      <c r="AQ577" t="inlineStr">
        <is>
          <t>Yes</t>
        </is>
      </c>
      <c r="AR577">
        <f>HYPERLINK("http://catalog.hathitrust.org/Record/007134785","HathiTrust Record")</f>
        <v/>
      </c>
      <c r="AS577">
        <f>HYPERLINK("https://creighton-primo.hosted.exlibrisgroup.com/primo-explore/search?tab=default_tab&amp;search_scope=EVERYTHING&amp;vid=01CRU&amp;lang=en_US&amp;offset=0&amp;query=any,contains,991002890789702656","Catalog Record")</f>
        <v/>
      </c>
      <c r="AT577">
        <f>HYPERLINK("http://www.worldcat.org/oclc/38088368","WorldCat Record")</f>
        <v/>
      </c>
      <c r="AU577" t="inlineStr">
        <is>
          <t>143748602:eng</t>
        </is>
      </c>
      <c r="AV577" t="inlineStr">
        <is>
          <t>38088368</t>
        </is>
      </c>
      <c r="AW577" t="inlineStr">
        <is>
          <t>991002890789702656</t>
        </is>
      </c>
      <c r="AX577" t="inlineStr">
        <is>
          <t>991002890789702656</t>
        </is>
      </c>
      <c r="AY577" t="inlineStr">
        <is>
          <t>2265120070002656</t>
        </is>
      </c>
      <c r="AZ577" t="inlineStr">
        <is>
          <t>BOOK</t>
        </is>
      </c>
      <c r="BB577" t="inlineStr">
        <is>
          <t>9780226144771</t>
        </is>
      </c>
      <c r="BC577" t="inlineStr">
        <is>
          <t>32285003284071</t>
        </is>
      </c>
      <c r="BD577" t="inlineStr">
        <is>
          <t>893434415</t>
        </is>
      </c>
    </row>
    <row r="578">
      <c r="A578" t="inlineStr">
        <is>
          <t>No</t>
        </is>
      </c>
      <c r="B578" t="inlineStr">
        <is>
          <t>LB1103 .S6 v.63 no.4</t>
        </is>
      </c>
      <c r="C578" t="inlineStr">
        <is>
          <t>0                      LB 1103000S  6                                                       v.63 no.4</t>
        </is>
      </c>
      <c r="D578" t="inlineStr">
        <is>
          <t>Social cognition, joint attention, and communicative competence from 9 to 15 months of age / Malinda Carpenter, Katherine Nagell, Michael Tomasello ; with commentary by George Butterworth, Chris Moore.</t>
        </is>
      </c>
      <c r="E578" t="inlineStr">
        <is>
          <t>V. 63 NO.4</t>
        </is>
      </c>
      <c r="F578" t="inlineStr">
        <is>
          <t>No</t>
        </is>
      </c>
      <c r="G578" t="inlineStr">
        <is>
          <t>1</t>
        </is>
      </c>
      <c r="H578" t="inlineStr">
        <is>
          <t>No</t>
        </is>
      </c>
      <c r="I578" t="inlineStr">
        <is>
          <t>No</t>
        </is>
      </c>
      <c r="J578" t="inlineStr">
        <is>
          <t>0</t>
        </is>
      </c>
      <c r="K578" t="inlineStr">
        <is>
          <t>Carpenter, Malinda.</t>
        </is>
      </c>
      <c r="L578" t="inlineStr">
        <is>
          <t>Chicago, IL : University of Chicago Press, c1998.</t>
        </is>
      </c>
      <c r="M578" t="inlineStr">
        <is>
          <t>1998</t>
        </is>
      </c>
      <c r="O578" t="inlineStr">
        <is>
          <t>eng</t>
        </is>
      </c>
      <c r="P578" t="inlineStr">
        <is>
          <t>ilu</t>
        </is>
      </c>
      <c r="Q578" t="inlineStr">
        <is>
          <t>Monographs of the Society for Research in Child Development ; serial no. 255, vol. 63, no. 4</t>
        </is>
      </c>
      <c r="R578" t="inlineStr">
        <is>
          <t xml:space="preserve">LB </t>
        </is>
      </c>
      <c r="S578" t="n">
        <v>2</v>
      </c>
      <c r="T578" t="n">
        <v>2</v>
      </c>
      <c r="U578" t="inlineStr">
        <is>
          <t>2000-09-13</t>
        </is>
      </c>
      <c r="V578" t="inlineStr">
        <is>
          <t>2000-09-13</t>
        </is>
      </c>
      <c r="W578" t="inlineStr">
        <is>
          <t>2000-08-29</t>
        </is>
      </c>
      <c r="X578" t="inlineStr">
        <is>
          <t>2000-08-29</t>
        </is>
      </c>
      <c r="Y578" t="n">
        <v>298</v>
      </c>
      <c r="Z578" t="n">
        <v>234</v>
      </c>
      <c r="AA578" t="n">
        <v>247</v>
      </c>
      <c r="AB578" t="n">
        <v>1</v>
      </c>
      <c r="AC578" t="n">
        <v>1</v>
      </c>
      <c r="AD578" t="n">
        <v>7</v>
      </c>
      <c r="AE578" t="n">
        <v>7</v>
      </c>
      <c r="AF578" t="n">
        <v>2</v>
      </c>
      <c r="AG578" t="n">
        <v>2</v>
      </c>
      <c r="AH578" t="n">
        <v>3</v>
      </c>
      <c r="AI578" t="n">
        <v>3</v>
      </c>
      <c r="AJ578" t="n">
        <v>5</v>
      </c>
      <c r="AK578" t="n">
        <v>5</v>
      </c>
      <c r="AL578" t="n">
        <v>0</v>
      </c>
      <c r="AM578" t="n">
        <v>0</v>
      </c>
      <c r="AN578" t="n">
        <v>0</v>
      </c>
      <c r="AO578" t="n">
        <v>0</v>
      </c>
      <c r="AP578" t="inlineStr">
        <is>
          <t>No</t>
        </is>
      </c>
      <c r="AQ578" t="inlineStr">
        <is>
          <t>No</t>
        </is>
      </c>
      <c r="AS578">
        <f>HYPERLINK("https://creighton-primo.hosted.exlibrisgroup.com/primo-explore/search?tab=default_tab&amp;search_scope=EVERYTHING&amp;vid=01CRU&amp;lang=en_US&amp;offset=0&amp;query=any,contains,991003278109702656","Catalog Record")</f>
        <v/>
      </c>
      <c r="AT578">
        <f>HYPERLINK("http://www.worldcat.org/oclc/40391983","WorldCat Record")</f>
        <v/>
      </c>
      <c r="AU578" t="inlineStr">
        <is>
          <t>24133861:eng</t>
        </is>
      </c>
      <c r="AV578" t="inlineStr">
        <is>
          <t>40391983</t>
        </is>
      </c>
      <c r="AW578" t="inlineStr">
        <is>
          <t>991003278109702656</t>
        </is>
      </c>
      <c r="AX578" t="inlineStr">
        <is>
          <t>991003278109702656</t>
        </is>
      </c>
      <c r="AY578" t="inlineStr">
        <is>
          <t>2257210560002656</t>
        </is>
      </c>
      <c r="AZ578" t="inlineStr">
        <is>
          <t>BOOK</t>
        </is>
      </c>
      <c r="BB578" t="inlineStr">
        <is>
          <t>9780226094618</t>
        </is>
      </c>
      <c r="BC578" t="inlineStr">
        <is>
          <t>32285003749115</t>
        </is>
      </c>
      <c r="BD578" t="inlineStr">
        <is>
          <t>893227895</t>
        </is>
      </c>
    </row>
    <row r="579">
      <c r="A579" t="inlineStr">
        <is>
          <t>No</t>
        </is>
      </c>
      <c r="B579" t="inlineStr">
        <is>
          <t>LB1103 .S6 v.64, no.1</t>
        </is>
      </c>
      <c r="C579" t="inlineStr">
        <is>
          <t>0                      LB 1103000S  6                                                       v.64, no.1</t>
        </is>
      </c>
      <c r="D579" t="inlineStr">
        <is>
          <t>Continuity and change in the social competence of children with autism, Down syndrome, and developmental delays / Marian Sigman and Ellen Ruskin, in collaboration with Shoshana Arbelle ... [et al.] ; with commentary by Carolyn B. Mervis, Byron F. Robinson.</t>
        </is>
      </c>
      <c r="E579" t="inlineStr">
        <is>
          <t>V. 64  NO. 1</t>
        </is>
      </c>
      <c r="F579" t="inlineStr">
        <is>
          <t>No</t>
        </is>
      </c>
      <c r="G579" t="inlineStr">
        <is>
          <t>1</t>
        </is>
      </c>
      <c r="H579" t="inlineStr">
        <is>
          <t>No</t>
        </is>
      </c>
      <c r="I579" t="inlineStr">
        <is>
          <t>No</t>
        </is>
      </c>
      <c r="J579" t="inlineStr">
        <is>
          <t>0</t>
        </is>
      </c>
      <c r="K579" t="inlineStr">
        <is>
          <t>Sigman, Marian.</t>
        </is>
      </c>
      <c r="L579" t="inlineStr">
        <is>
          <t>Maldon, MA : Blackwell Publishers, c1999.</t>
        </is>
      </c>
      <c r="M579" t="inlineStr">
        <is>
          <t>1999</t>
        </is>
      </c>
      <c r="O579" t="inlineStr">
        <is>
          <t>eng</t>
        </is>
      </c>
      <c r="P579" t="inlineStr">
        <is>
          <t>mau</t>
        </is>
      </c>
      <c r="Q579" t="inlineStr">
        <is>
          <t>Monographs of the Society for Research in Child Development ; v. 64, no. 1</t>
        </is>
      </c>
      <c r="R579" t="inlineStr">
        <is>
          <t xml:space="preserve">LB </t>
        </is>
      </c>
      <c r="S579" t="n">
        <v>3</v>
      </c>
      <c r="T579" t="n">
        <v>3</v>
      </c>
      <c r="U579" t="inlineStr">
        <is>
          <t>2000-10-29</t>
        </is>
      </c>
      <c r="V579" t="inlineStr">
        <is>
          <t>2000-10-29</t>
        </is>
      </c>
      <c r="W579" t="inlineStr">
        <is>
          <t>1999-04-28</t>
        </is>
      </c>
      <c r="X579" t="inlineStr">
        <is>
          <t>1999-04-28</t>
        </is>
      </c>
      <c r="Y579" t="n">
        <v>870</v>
      </c>
      <c r="Z579" t="n">
        <v>719</v>
      </c>
      <c r="AA579" t="n">
        <v>739</v>
      </c>
      <c r="AB579" t="n">
        <v>10</v>
      </c>
      <c r="AC579" t="n">
        <v>10</v>
      </c>
      <c r="AD579" t="n">
        <v>34</v>
      </c>
      <c r="AE579" t="n">
        <v>34</v>
      </c>
      <c r="AF579" t="n">
        <v>15</v>
      </c>
      <c r="AG579" t="n">
        <v>15</v>
      </c>
      <c r="AH579" t="n">
        <v>5</v>
      </c>
      <c r="AI579" t="n">
        <v>5</v>
      </c>
      <c r="AJ579" t="n">
        <v>15</v>
      </c>
      <c r="AK579" t="n">
        <v>15</v>
      </c>
      <c r="AL579" t="n">
        <v>9</v>
      </c>
      <c r="AM579" t="n">
        <v>9</v>
      </c>
      <c r="AN579" t="n">
        <v>0</v>
      </c>
      <c r="AO579" t="n">
        <v>0</v>
      </c>
      <c r="AP579" t="inlineStr">
        <is>
          <t>No</t>
        </is>
      </c>
      <c r="AQ579" t="inlineStr">
        <is>
          <t>No</t>
        </is>
      </c>
      <c r="AS579">
        <f>HYPERLINK("https://creighton-primo.hosted.exlibrisgroup.com/primo-explore/search?tab=default_tab&amp;search_scope=EVERYTHING&amp;vid=01CRU&amp;lang=en_US&amp;offset=0&amp;query=any,contains,991003022829702656","Catalog Record")</f>
        <v/>
      </c>
      <c r="AT579">
        <f>HYPERLINK("http://www.worldcat.org/oclc/41232316","WorldCat Record")</f>
        <v/>
      </c>
      <c r="AU579" t="inlineStr">
        <is>
          <t>10428894:eng</t>
        </is>
      </c>
      <c r="AV579" t="inlineStr">
        <is>
          <t>41232316</t>
        </is>
      </c>
      <c r="AW579" t="inlineStr">
        <is>
          <t>991003022829702656</t>
        </is>
      </c>
      <c r="AX579" t="inlineStr">
        <is>
          <t>991003022829702656</t>
        </is>
      </c>
      <c r="AY579" t="inlineStr">
        <is>
          <t>2256142230002656</t>
        </is>
      </c>
      <c r="AZ579" t="inlineStr">
        <is>
          <t>BOOK</t>
        </is>
      </c>
      <c r="BC579" t="inlineStr">
        <is>
          <t>32285003557021</t>
        </is>
      </c>
      <c r="BD579" t="inlineStr">
        <is>
          <t>893698592</t>
        </is>
      </c>
    </row>
    <row r="580">
      <c r="A580" t="inlineStr">
        <is>
          <t>No</t>
        </is>
      </c>
      <c r="B580" t="inlineStr">
        <is>
          <t>LB1103 .S6 v.64, no.3</t>
        </is>
      </c>
      <c r="C580" t="inlineStr">
        <is>
          <t>0                      LB 1103000S  6                                                       v.64, no.3</t>
        </is>
      </c>
      <c r="D580" t="inlineStr">
        <is>
          <t>Atypical attachment in infancy and early childhood among children at developmental risk / edited by Joan I. Vondra and Douglas Barnett; with commentary Everett Waters, Judith A. Crowell.</t>
        </is>
      </c>
      <c r="E580" t="inlineStr">
        <is>
          <t>V. 64  NO. 3</t>
        </is>
      </c>
      <c r="F580" t="inlineStr">
        <is>
          <t>No</t>
        </is>
      </c>
      <c r="G580" t="inlineStr">
        <is>
          <t>1</t>
        </is>
      </c>
      <c r="H580" t="inlineStr">
        <is>
          <t>No</t>
        </is>
      </c>
      <c r="I580" t="inlineStr">
        <is>
          <t>No</t>
        </is>
      </c>
      <c r="J580" t="inlineStr">
        <is>
          <t>0</t>
        </is>
      </c>
      <c r="L580" t="inlineStr">
        <is>
          <t>Chicago, Ill. : University of Chicago Press, 1999.</t>
        </is>
      </c>
      <c r="M580" t="inlineStr">
        <is>
          <t>1999</t>
        </is>
      </c>
      <c r="O580" t="inlineStr">
        <is>
          <t>eng</t>
        </is>
      </c>
      <c r="P580" t="inlineStr">
        <is>
          <t>ilu</t>
        </is>
      </c>
      <c r="Q580" t="inlineStr">
        <is>
          <t>Monographs of the Society for Research in Child Development, 0037-976X ; serial no. 258, vol. 64, no. 3, 1999</t>
        </is>
      </c>
      <c r="R580" t="inlineStr">
        <is>
          <t xml:space="preserve">LB </t>
        </is>
      </c>
      <c r="S580" t="n">
        <v>3</v>
      </c>
      <c r="T580" t="n">
        <v>3</v>
      </c>
      <c r="U580" t="inlineStr">
        <is>
          <t>2000-02-01</t>
        </is>
      </c>
      <c r="V580" t="inlineStr">
        <is>
          <t>2000-02-01</t>
        </is>
      </c>
      <c r="W580" t="inlineStr">
        <is>
          <t>1999-11-01</t>
        </is>
      </c>
      <c r="X580" t="inlineStr">
        <is>
          <t>1999-11-01</t>
        </is>
      </c>
      <c r="Y580" t="n">
        <v>263</v>
      </c>
      <c r="Z580" t="n">
        <v>254</v>
      </c>
      <c r="AA580" t="n">
        <v>781</v>
      </c>
      <c r="AB580" t="n">
        <v>3</v>
      </c>
      <c r="AC580" t="n">
        <v>9</v>
      </c>
      <c r="AD580" t="n">
        <v>12</v>
      </c>
      <c r="AE580" t="n">
        <v>40</v>
      </c>
      <c r="AF580" t="n">
        <v>6</v>
      </c>
      <c r="AG580" t="n">
        <v>19</v>
      </c>
      <c r="AH580" t="n">
        <v>2</v>
      </c>
      <c r="AI580" t="n">
        <v>6</v>
      </c>
      <c r="AJ580" t="n">
        <v>4</v>
      </c>
      <c r="AK580" t="n">
        <v>18</v>
      </c>
      <c r="AL580" t="n">
        <v>2</v>
      </c>
      <c r="AM580" t="n">
        <v>8</v>
      </c>
      <c r="AN580" t="n">
        <v>0</v>
      </c>
      <c r="AO580" t="n">
        <v>0</v>
      </c>
      <c r="AP580" t="inlineStr">
        <is>
          <t>No</t>
        </is>
      </c>
      <c r="AQ580" t="inlineStr">
        <is>
          <t>No</t>
        </is>
      </c>
      <c r="AS580">
        <f>HYPERLINK("https://creighton-primo.hosted.exlibrisgroup.com/primo-explore/search?tab=default_tab&amp;search_scope=EVERYTHING&amp;vid=01CRU&amp;lang=en_US&amp;offset=0&amp;query=any,contains,991003047549702656","Catalog Record")</f>
        <v/>
      </c>
      <c r="AT580">
        <f>HYPERLINK("http://www.worldcat.org/oclc/42702892","WorldCat Record")</f>
        <v/>
      </c>
      <c r="AU580" t="inlineStr">
        <is>
          <t>352716227:eng</t>
        </is>
      </c>
      <c r="AV580" t="inlineStr">
        <is>
          <t>42702892</t>
        </is>
      </c>
      <c r="AW580" t="inlineStr">
        <is>
          <t>991003047549702656</t>
        </is>
      </c>
      <c r="AX580" t="inlineStr">
        <is>
          <t>991003047549702656</t>
        </is>
      </c>
      <c r="AY580" t="inlineStr">
        <is>
          <t>2262931200002656</t>
        </is>
      </c>
      <c r="AZ580" t="inlineStr">
        <is>
          <t>BOOK</t>
        </is>
      </c>
      <c r="BC580" t="inlineStr">
        <is>
          <t>32285003616678</t>
        </is>
      </c>
      <c r="BD580" t="inlineStr">
        <is>
          <t>893704860</t>
        </is>
      </c>
    </row>
    <row r="581">
      <c r="A581" t="inlineStr">
        <is>
          <t>No</t>
        </is>
      </c>
      <c r="B581" t="inlineStr">
        <is>
          <t>LB1103 .S6 v.64, no.4</t>
        </is>
      </c>
      <c r="C581" t="inlineStr">
        <is>
          <t>0                      LB 1103000S  6                                                       v.64, no.4</t>
        </is>
      </c>
      <c r="D581" t="inlineStr">
        <is>
          <t>Adolescent siblings in stepfamilies : family functioning and adolescent adjustment / E. Mavis Hetherington, Sandra H. Henderson, and David Reiss ; in collaboration with Edward R. Anderson ... [et al.].</t>
        </is>
      </c>
      <c r="E581" t="inlineStr">
        <is>
          <t>V. 64  NO. 4</t>
        </is>
      </c>
      <c r="F581" t="inlineStr">
        <is>
          <t>No</t>
        </is>
      </c>
      <c r="G581" t="inlineStr">
        <is>
          <t>1</t>
        </is>
      </c>
      <c r="H581" t="inlineStr">
        <is>
          <t>No</t>
        </is>
      </c>
      <c r="I581" t="inlineStr">
        <is>
          <t>No</t>
        </is>
      </c>
      <c r="J581" t="inlineStr">
        <is>
          <t>0</t>
        </is>
      </c>
      <c r="K581" t="inlineStr">
        <is>
          <t>Hetherington, E. Mavis (Eileen Mavis), 1926-</t>
        </is>
      </c>
      <c r="L581" t="inlineStr">
        <is>
          <t>Malden, MA : Blackwell Publishers, Inc., 1999.</t>
        </is>
      </c>
      <c r="M581" t="inlineStr">
        <is>
          <t>1999</t>
        </is>
      </c>
      <c r="O581" t="inlineStr">
        <is>
          <t>eng</t>
        </is>
      </c>
      <c r="P581" t="inlineStr">
        <is>
          <t>mau</t>
        </is>
      </c>
      <c r="Q581" t="inlineStr">
        <is>
          <t>Monographs of the Society for Research in Child Development ; v. 64, no. 4</t>
        </is>
      </c>
      <c r="R581" t="inlineStr">
        <is>
          <t xml:space="preserve">LB </t>
        </is>
      </c>
      <c r="S581" t="n">
        <v>1</v>
      </c>
      <c r="T581" t="n">
        <v>1</v>
      </c>
      <c r="U581" t="inlineStr">
        <is>
          <t>2001-11-27</t>
        </is>
      </c>
      <c r="V581" t="inlineStr">
        <is>
          <t>2001-11-27</t>
        </is>
      </c>
      <c r="W581" t="inlineStr">
        <is>
          <t>2000-01-27</t>
        </is>
      </c>
      <c r="X581" t="inlineStr">
        <is>
          <t>2000-01-27</t>
        </is>
      </c>
      <c r="Y581" t="n">
        <v>838</v>
      </c>
      <c r="Z581" t="n">
        <v>703</v>
      </c>
      <c r="AA581" t="n">
        <v>813</v>
      </c>
      <c r="AB581" t="n">
        <v>10</v>
      </c>
      <c r="AC581" t="n">
        <v>11</v>
      </c>
      <c r="AD581" t="n">
        <v>40</v>
      </c>
      <c r="AE581" t="n">
        <v>44</v>
      </c>
      <c r="AF581" t="n">
        <v>20</v>
      </c>
      <c r="AG581" t="n">
        <v>20</v>
      </c>
      <c r="AH581" t="n">
        <v>4</v>
      </c>
      <c r="AI581" t="n">
        <v>7</v>
      </c>
      <c r="AJ581" t="n">
        <v>15</v>
      </c>
      <c r="AK581" t="n">
        <v>18</v>
      </c>
      <c r="AL581" t="n">
        <v>9</v>
      </c>
      <c r="AM581" t="n">
        <v>10</v>
      </c>
      <c r="AN581" t="n">
        <v>0</v>
      </c>
      <c r="AO581" t="n">
        <v>0</v>
      </c>
      <c r="AP581" t="inlineStr">
        <is>
          <t>No</t>
        </is>
      </c>
      <c r="AQ581" t="inlineStr">
        <is>
          <t>Yes</t>
        </is>
      </c>
      <c r="AR581">
        <f>HYPERLINK("http://catalog.hathitrust.org/Record/003574837","HathiTrust Record")</f>
        <v/>
      </c>
      <c r="AS581">
        <f>HYPERLINK("https://creighton-primo.hosted.exlibrisgroup.com/primo-explore/search?tab=default_tab&amp;search_scope=EVERYTHING&amp;vid=01CRU&amp;lang=en_US&amp;offset=0&amp;query=any,contains,991003052129702656","Catalog Record")</f>
        <v/>
      </c>
      <c r="AT581">
        <f>HYPERLINK("http://www.worldcat.org/oclc/43310583","WorldCat Record")</f>
        <v/>
      </c>
      <c r="AU581" t="inlineStr">
        <is>
          <t>793877103:eng</t>
        </is>
      </c>
      <c r="AV581" t="inlineStr">
        <is>
          <t>43310583</t>
        </is>
      </c>
      <c r="AW581" t="inlineStr">
        <is>
          <t>991003052129702656</t>
        </is>
      </c>
      <c r="AX581" t="inlineStr">
        <is>
          <t>991003052129702656</t>
        </is>
      </c>
      <c r="AY581" t="inlineStr">
        <is>
          <t>2267186560002656</t>
        </is>
      </c>
      <c r="AZ581" t="inlineStr">
        <is>
          <t>BOOK</t>
        </is>
      </c>
      <c r="BC581" t="inlineStr">
        <is>
          <t>32285003643748</t>
        </is>
      </c>
      <c r="BD581" t="inlineStr">
        <is>
          <t>893686146</t>
        </is>
      </c>
    </row>
    <row r="582">
      <c r="A582" t="inlineStr">
        <is>
          <t>No</t>
        </is>
      </c>
      <c r="B582" t="inlineStr">
        <is>
          <t>LB1103 .S6 v.65 no.4</t>
        </is>
      </c>
      <c r="C582" t="inlineStr">
        <is>
          <t>0                      LB 1103000S  6                                                       v.65 no.4</t>
        </is>
      </c>
      <c r="D582" t="inlineStr">
        <is>
          <t>Parameters of remembering and forgetting in the transition from infancy to early childhood / Patricia J. Bauer ... [et al.] ; with commentary by Mark L. Howe.</t>
        </is>
      </c>
      <c r="E582" t="inlineStr">
        <is>
          <t>V. 65 NO. 4</t>
        </is>
      </c>
      <c r="F582" t="inlineStr">
        <is>
          <t>No</t>
        </is>
      </c>
      <c r="G582" t="inlineStr">
        <is>
          <t>1</t>
        </is>
      </c>
      <c r="H582" t="inlineStr">
        <is>
          <t>No</t>
        </is>
      </c>
      <c r="I582" t="inlineStr">
        <is>
          <t>No</t>
        </is>
      </c>
      <c r="J582" t="inlineStr">
        <is>
          <t>0</t>
        </is>
      </c>
      <c r="L582" t="inlineStr">
        <is>
          <t>Malden, MA : Blackwell Publishers, 2000.</t>
        </is>
      </c>
      <c r="M582" t="inlineStr">
        <is>
          <t>2000</t>
        </is>
      </c>
      <c r="O582" t="inlineStr">
        <is>
          <t>eng</t>
        </is>
      </c>
      <c r="P582" t="inlineStr">
        <is>
          <t>mau</t>
        </is>
      </c>
      <c r="Q582" t="inlineStr">
        <is>
          <t>Monographs of the Society for Research in Child Development, 0037-976X ; v. 65, no. 4 (2000)</t>
        </is>
      </c>
      <c r="R582" t="inlineStr">
        <is>
          <t xml:space="preserve">LB </t>
        </is>
      </c>
      <c r="S582" t="n">
        <v>1</v>
      </c>
      <c r="T582" t="n">
        <v>1</v>
      </c>
      <c r="U582" t="inlineStr">
        <is>
          <t>2001-01-23</t>
        </is>
      </c>
      <c r="V582" t="inlineStr">
        <is>
          <t>2001-01-23</t>
        </is>
      </c>
      <c r="W582" t="inlineStr">
        <is>
          <t>2001-01-23</t>
        </is>
      </c>
      <c r="X582" t="inlineStr">
        <is>
          <t>2001-01-23</t>
        </is>
      </c>
      <c r="Y582" t="n">
        <v>903</v>
      </c>
      <c r="Z582" t="n">
        <v>774</v>
      </c>
      <c r="AA582" t="n">
        <v>788</v>
      </c>
      <c r="AB582" t="n">
        <v>13</v>
      </c>
      <c r="AC582" t="n">
        <v>13</v>
      </c>
      <c r="AD582" t="n">
        <v>45</v>
      </c>
      <c r="AE582" t="n">
        <v>45</v>
      </c>
      <c r="AF582" t="n">
        <v>20</v>
      </c>
      <c r="AG582" t="n">
        <v>20</v>
      </c>
      <c r="AH582" t="n">
        <v>6</v>
      </c>
      <c r="AI582" t="n">
        <v>6</v>
      </c>
      <c r="AJ582" t="n">
        <v>19</v>
      </c>
      <c r="AK582" t="n">
        <v>19</v>
      </c>
      <c r="AL582" t="n">
        <v>11</v>
      </c>
      <c r="AM582" t="n">
        <v>11</v>
      </c>
      <c r="AN582" t="n">
        <v>0</v>
      </c>
      <c r="AO582" t="n">
        <v>0</v>
      </c>
      <c r="AP582" t="inlineStr">
        <is>
          <t>No</t>
        </is>
      </c>
      <c r="AQ582" t="inlineStr">
        <is>
          <t>No</t>
        </is>
      </c>
      <c r="AS582">
        <f>HYPERLINK("https://creighton-primo.hosted.exlibrisgroup.com/primo-explore/search?tab=default_tab&amp;search_scope=EVERYTHING&amp;vid=01CRU&amp;lang=en_US&amp;offset=0&amp;query=any,contains,991003474919702656","Catalog Record")</f>
        <v/>
      </c>
      <c r="AT582">
        <f>HYPERLINK("http://www.worldcat.org/oclc/45768027","WorldCat Record")</f>
        <v/>
      </c>
      <c r="AU582" t="inlineStr">
        <is>
          <t>5613535587:eng</t>
        </is>
      </c>
      <c r="AV582" t="inlineStr">
        <is>
          <t>45768027</t>
        </is>
      </c>
      <c r="AW582" t="inlineStr">
        <is>
          <t>991003474919702656</t>
        </is>
      </c>
      <c r="AX582" t="inlineStr">
        <is>
          <t>991003474919702656</t>
        </is>
      </c>
      <c r="AY582" t="inlineStr">
        <is>
          <t>2265198830002656</t>
        </is>
      </c>
      <c r="AZ582" t="inlineStr">
        <is>
          <t>BOOK</t>
        </is>
      </c>
      <c r="BC582" t="inlineStr">
        <is>
          <t>32285004291158</t>
        </is>
      </c>
      <c r="BD582" t="inlineStr">
        <is>
          <t>893246380</t>
        </is>
      </c>
    </row>
    <row r="583">
      <c r="A583" t="inlineStr">
        <is>
          <t>No</t>
        </is>
      </c>
      <c r="B583" t="inlineStr">
        <is>
          <t>LB1103 .S6 v.65, no.2</t>
        </is>
      </c>
      <c r="C583" t="inlineStr">
        <is>
          <t>0                      LB 1103000S  6                                                       v.65, no.2</t>
        </is>
      </c>
      <c r="D583" t="inlineStr">
        <is>
          <t>Across the great divide : bridging the gap between understanding of toddlers' and older children's thinking / Zhe Chen, Robert S. Siegler; with commentary by Marvin W. Daehler.</t>
        </is>
      </c>
      <c r="E583" t="inlineStr">
        <is>
          <t>V. 65 NO. 2</t>
        </is>
      </c>
      <c r="F583" t="inlineStr">
        <is>
          <t>No</t>
        </is>
      </c>
      <c r="G583" t="inlineStr">
        <is>
          <t>1</t>
        </is>
      </c>
      <c r="H583" t="inlineStr">
        <is>
          <t>No</t>
        </is>
      </c>
      <c r="I583" t="inlineStr">
        <is>
          <t>No</t>
        </is>
      </c>
      <c r="J583" t="inlineStr">
        <is>
          <t>0</t>
        </is>
      </c>
      <c r="K583" t="inlineStr">
        <is>
          <t>Chen, Zhe, 1964-</t>
        </is>
      </c>
      <c r="L583" t="inlineStr">
        <is>
          <t>Oxford : Blackwell, 2000.</t>
        </is>
      </c>
      <c r="M583" t="inlineStr">
        <is>
          <t>2000</t>
        </is>
      </c>
      <c r="O583" t="inlineStr">
        <is>
          <t>eng</t>
        </is>
      </c>
      <c r="P583" t="inlineStr">
        <is>
          <t>enk</t>
        </is>
      </c>
      <c r="Q583" t="inlineStr">
        <is>
          <t>Monographs of the Society for Research in Child Development ; serial no. 261, vol. 65, no. 2</t>
        </is>
      </c>
      <c r="R583" t="inlineStr">
        <is>
          <t xml:space="preserve">LB </t>
        </is>
      </c>
      <c r="S583" t="n">
        <v>2</v>
      </c>
      <c r="T583" t="n">
        <v>2</v>
      </c>
      <c r="U583" t="inlineStr">
        <is>
          <t>2000-09-13</t>
        </is>
      </c>
      <c r="V583" t="inlineStr">
        <is>
          <t>2000-09-13</t>
        </is>
      </c>
      <c r="W583" t="inlineStr">
        <is>
          <t>2000-08-24</t>
        </is>
      </c>
      <c r="X583" t="inlineStr">
        <is>
          <t>2000-08-24</t>
        </is>
      </c>
      <c r="Y583" t="n">
        <v>814</v>
      </c>
      <c r="Z583" t="n">
        <v>707</v>
      </c>
      <c r="AA583" t="n">
        <v>834</v>
      </c>
      <c r="AB583" t="n">
        <v>11</v>
      </c>
      <c r="AC583" t="n">
        <v>11</v>
      </c>
      <c r="AD583" t="n">
        <v>40</v>
      </c>
      <c r="AE583" t="n">
        <v>47</v>
      </c>
      <c r="AF583" t="n">
        <v>16</v>
      </c>
      <c r="AG583" t="n">
        <v>21</v>
      </c>
      <c r="AH583" t="n">
        <v>4</v>
      </c>
      <c r="AI583" t="n">
        <v>6</v>
      </c>
      <c r="AJ583" t="n">
        <v>20</v>
      </c>
      <c r="AK583" t="n">
        <v>22</v>
      </c>
      <c r="AL583" t="n">
        <v>10</v>
      </c>
      <c r="AM583" t="n">
        <v>10</v>
      </c>
      <c r="AN583" t="n">
        <v>0</v>
      </c>
      <c r="AO583" t="n">
        <v>0</v>
      </c>
      <c r="AP583" t="inlineStr">
        <is>
          <t>No</t>
        </is>
      </c>
      <c r="AQ583" t="inlineStr">
        <is>
          <t>No</t>
        </is>
      </c>
      <c r="AS583">
        <f>HYPERLINK("https://creighton-primo.hosted.exlibrisgroup.com/primo-explore/search?tab=default_tab&amp;search_scope=EVERYTHING&amp;vid=01CRU&amp;lang=en_US&amp;offset=0&amp;query=any,contains,991003272519702656","Catalog Record")</f>
        <v/>
      </c>
      <c r="AT583">
        <f>HYPERLINK("http://www.worldcat.org/oclc/44427618","WorldCat Record")</f>
        <v/>
      </c>
      <c r="AU583" t="inlineStr">
        <is>
          <t>866238138:eng</t>
        </is>
      </c>
      <c r="AV583" t="inlineStr">
        <is>
          <t>44427618</t>
        </is>
      </c>
      <c r="AW583" t="inlineStr">
        <is>
          <t>991003272519702656</t>
        </is>
      </c>
      <c r="AX583" t="inlineStr">
        <is>
          <t>991003272519702656</t>
        </is>
      </c>
      <c r="AY583" t="inlineStr">
        <is>
          <t>2257817570002656</t>
        </is>
      </c>
      <c r="AZ583" t="inlineStr">
        <is>
          <t>BOOK</t>
        </is>
      </c>
      <c r="BB583" t="inlineStr">
        <is>
          <t>9780631221531</t>
        </is>
      </c>
      <c r="BC583" t="inlineStr">
        <is>
          <t>32285003759387</t>
        </is>
      </c>
      <c r="BD583" t="inlineStr">
        <is>
          <t>893686384</t>
        </is>
      </c>
    </row>
    <row r="584">
      <c r="A584" t="inlineStr">
        <is>
          <t>No</t>
        </is>
      </c>
      <c r="B584" t="inlineStr">
        <is>
          <t>LB1103 .S6 v.65, no.3</t>
        </is>
      </c>
      <c r="C584" t="inlineStr">
        <is>
          <t>0                      LB 1103000S  6                                                       v.65, no.3</t>
        </is>
      </c>
      <c r="D584" t="inlineStr">
        <is>
          <t>Breaking the language barrier : an emergentist coalition model for the origins of word learning / George J. Hollich, Kathy Hirsh-Pasek, Roberta Michnick Golinkoff ; in collaboration with Rebecca J. Brand ... [et al.] ; with commentary by Lois Bloom.</t>
        </is>
      </c>
      <c r="E584" t="inlineStr">
        <is>
          <t>V. 65 NO. 3</t>
        </is>
      </c>
      <c r="F584" t="inlineStr">
        <is>
          <t>No</t>
        </is>
      </c>
      <c r="G584" t="inlineStr">
        <is>
          <t>1</t>
        </is>
      </c>
      <c r="H584" t="inlineStr">
        <is>
          <t>No</t>
        </is>
      </c>
      <c r="I584" t="inlineStr">
        <is>
          <t>No</t>
        </is>
      </c>
      <c r="J584" t="inlineStr">
        <is>
          <t>0</t>
        </is>
      </c>
      <c r="K584" t="inlineStr">
        <is>
          <t>Hollich, George J.</t>
        </is>
      </c>
      <c r="L584" t="inlineStr">
        <is>
          <t>Malden, MA : Blackwell Publishers, 2000.</t>
        </is>
      </c>
      <c r="M584" t="inlineStr">
        <is>
          <t>2000</t>
        </is>
      </c>
      <c r="O584" t="inlineStr">
        <is>
          <t>eng</t>
        </is>
      </c>
      <c r="P584" t="inlineStr">
        <is>
          <t>mau</t>
        </is>
      </c>
      <c r="Q584" t="inlineStr">
        <is>
          <t>Monographs of the Society for Research in Child Development, 0037-976X ; serial no. 262, vol. 65, no. 3, 2000</t>
        </is>
      </c>
      <c r="R584" t="inlineStr">
        <is>
          <t xml:space="preserve">LB </t>
        </is>
      </c>
      <c r="S584" t="n">
        <v>2</v>
      </c>
      <c r="T584" t="n">
        <v>2</v>
      </c>
      <c r="U584" t="inlineStr">
        <is>
          <t>2004-06-29</t>
        </is>
      </c>
      <c r="V584" t="inlineStr">
        <is>
          <t>2004-06-29</t>
        </is>
      </c>
      <c r="W584" t="inlineStr">
        <is>
          <t>2000-10-12</t>
        </is>
      </c>
      <c r="X584" t="inlineStr">
        <is>
          <t>2000-10-12</t>
        </is>
      </c>
      <c r="Y584" t="n">
        <v>943</v>
      </c>
      <c r="Z584" t="n">
        <v>793</v>
      </c>
      <c r="AA584" t="n">
        <v>807</v>
      </c>
      <c r="AB584" t="n">
        <v>10</v>
      </c>
      <c r="AC584" t="n">
        <v>10</v>
      </c>
      <c r="AD584" t="n">
        <v>42</v>
      </c>
      <c r="AE584" t="n">
        <v>42</v>
      </c>
      <c r="AF584" t="n">
        <v>20</v>
      </c>
      <c r="AG584" t="n">
        <v>20</v>
      </c>
      <c r="AH584" t="n">
        <v>6</v>
      </c>
      <c r="AI584" t="n">
        <v>6</v>
      </c>
      <c r="AJ584" t="n">
        <v>19</v>
      </c>
      <c r="AK584" t="n">
        <v>19</v>
      </c>
      <c r="AL584" t="n">
        <v>9</v>
      </c>
      <c r="AM584" t="n">
        <v>9</v>
      </c>
      <c r="AN584" t="n">
        <v>0</v>
      </c>
      <c r="AO584" t="n">
        <v>0</v>
      </c>
      <c r="AP584" t="inlineStr">
        <is>
          <t>No</t>
        </is>
      </c>
      <c r="AQ584" t="inlineStr">
        <is>
          <t>No</t>
        </is>
      </c>
      <c r="AS584">
        <f>HYPERLINK("https://creighton-primo.hosted.exlibrisgroup.com/primo-explore/search?tab=default_tab&amp;search_scope=EVERYTHING&amp;vid=01CRU&amp;lang=en_US&amp;offset=0&amp;query=any,contains,991003316849702656","Catalog Record")</f>
        <v/>
      </c>
      <c r="AT584">
        <f>HYPERLINK("http://www.worldcat.org/oclc/45096454","WorldCat Record")</f>
        <v/>
      </c>
      <c r="AU584" t="inlineStr">
        <is>
          <t>3858043027:eng</t>
        </is>
      </c>
      <c r="AV584" t="inlineStr">
        <is>
          <t>45096454</t>
        </is>
      </c>
      <c r="AW584" t="inlineStr">
        <is>
          <t>991003316849702656</t>
        </is>
      </c>
      <c r="AX584" t="inlineStr">
        <is>
          <t>991003316849702656</t>
        </is>
      </c>
      <c r="AY584" t="inlineStr">
        <is>
          <t>2266409210002656</t>
        </is>
      </c>
      <c r="AZ584" t="inlineStr">
        <is>
          <t>BOOK</t>
        </is>
      </c>
      <c r="BC584" t="inlineStr">
        <is>
          <t>32285003767729</t>
        </is>
      </c>
      <c r="BD584" t="inlineStr">
        <is>
          <t>893330202</t>
        </is>
      </c>
    </row>
    <row r="585">
      <c r="A585" t="inlineStr">
        <is>
          <t>No</t>
        </is>
      </c>
      <c r="B585" t="inlineStr">
        <is>
          <t>LB1103 .S6 v.66 no.1</t>
        </is>
      </c>
      <c r="C585" t="inlineStr">
        <is>
          <t>0                      LB 1103000S  6                                                       v.66 no.1</t>
        </is>
      </c>
      <c r="D585" t="inlineStr">
        <is>
          <t>Early childhood television viewing and adolescent behavior : the recontact study / Daniel R. Anderson ... [et al.] ; with commentary by Reed Larson.</t>
        </is>
      </c>
      <c r="E585" t="inlineStr">
        <is>
          <t>V. 66 NO. 1</t>
        </is>
      </c>
      <c r="F585" t="inlineStr">
        <is>
          <t>No</t>
        </is>
      </c>
      <c r="G585" t="inlineStr">
        <is>
          <t>1</t>
        </is>
      </c>
      <c r="H585" t="inlineStr">
        <is>
          <t>No</t>
        </is>
      </c>
      <c r="I585" t="inlineStr">
        <is>
          <t>No</t>
        </is>
      </c>
      <c r="J585" t="inlineStr">
        <is>
          <t>0</t>
        </is>
      </c>
      <c r="K585" t="inlineStr">
        <is>
          <t>Anderson, Daniel R., 1944-</t>
        </is>
      </c>
      <c r="L585" t="inlineStr">
        <is>
          <t>Boston : Blackwell Publishers, 2001.</t>
        </is>
      </c>
      <c r="M585" t="inlineStr">
        <is>
          <t>2001</t>
        </is>
      </c>
      <c r="O585" t="inlineStr">
        <is>
          <t>eng</t>
        </is>
      </c>
      <c r="P585" t="inlineStr">
        <is>
          <t>mau</t>
        </is>
      </c>
      <c r="Q585" t="inlineStr">
        <is>
          <t>Monographs of the Society for Research in Child Development ; serial no. 264, vol. 66, no. 1</t>
        </is>
      </c>
      <c r="R585" t="inlineStr">
        <is>
          <t xml:space="preserve">LB </t>
        </is>
      </c>
      <c r="S585" t="n">
        <v>3</v>
      </c>
      <c r="T585" t="n">
        <v>3</v>
      </c>
      <c r="U585" t="inlineStr">
        <is>
          <t>2003-06-11</t>
        </is>
      </c>
      <c r="V585" t="inlineStr">
        <is>
          <t>2003-06-11</t>
        </is>
      </c>
      <c r="W585" t="inlineStr">
        <is>
          <t>2001-04-24</t>
        </is>
      </c>
      <c r="X585" t="inlineStr">
        <is>
          <t>2001-04-24</t>
        </is>
      </c>
      <c r="Y585" t="n">
        <v>1065</v>
      </c>
      <c r="Z585" t="n">
        <v>902</v>
      </c>
      <c r="AA585" t="n">
        <v>922</v>
      </c>
      <c r="AB585" t="n">
        <v>12</v>
      </c>
      <c r="AC585" t="n">
        <v>12</v>
      </c>
      <c r="AD585" t="n">
        <v>50</v>
      </c>
      <c r="AE585" t="n">
        <v>50</v>
      </c>
      <c r="AF585" t="n">
        <v>22</v>
      </c>
      <c r="AG585" t="n">
        <v>22</v>
      </c>
      <c r="AH585" t="n">
        <v>8</v>
      </c>
      <c r="AI585" t="n">
        <v>8</v>
      </c>
      <c r="AJ585" t="n">
        <v>20</v>
      </c>
      <c r="AK585" t="n">
        <v>20</v>
      </c>
      <c r="AL585" t="n">
        <v>11</v>
      </c>
      <c r="AM585" t="n">
        <v>11</v>
      </c>
      <c r="AN585" t="n">
        <v>0</v>
      </c>
      <c r="AO585" t="n">
        <v>0</v>
      </c>
      <c r="AP585" t="inlineStr">
        <is>
          <t>No</t>
        </is>
      </c>
      <c r="AQ585" t="inlineStr">
        <is>
          <t>Yes</t>
        </is>
      </c>
      <c r="AR585">
        <f>HYPERLINK("http://catalog.hathitrust.org/Record/003830417","HathiTrust Record")</f>
        <v/>
      </c>
      <c r="AS585">
        <f>HYPERLINK("https://creighton-primo.hosted.exlibrisgroup.com/primo-explore/search?tab=default_tab&amp;search_scope=EVERYTHING&amp;vid=01CRU&amp;lang=en_US&amp;offset=0&amp;query=any,contains,991003530019702656","Catalog Record")</f>
        <v/>
      </c>
      <c r="AT585">
        <f>HYPERLINK("http://www.worldcat.org/oclc/46786834","WorldCat Record")</f>
        <v/>
      </c>
      <c r="AU585" t="inlineStr">
        <is>
          <t>837078541:eng</t>
        </is>
      </c>
      <c r="AV585" t="inlineStr">
        <is>
          <t>46786834</t>
        </is>
      </c>
      <c r="AW585" t="inlineStr">
        <is>
          <t>991003530019702656</t>
        </is>
      </c>
      <c r="AX585" t="inlineStr">
        <is>
          <t>991003530019702656</t>
        </is>
      </c>
      <c r="AY585" t="inlineStr">
        <is>
          <t>2270152160002656</t>
        </is>
      </c>
      <c r="AZ585" t="inlineStr">
        <is>
          <t>BOOK</t>
        </is>
      </c>
      <c r="BC585" t="inlineStr">
        <is>
          <t>32285004314703</t>
        </is>
      </c>
      <c r="BD585" t="inlineStr">
        <is>
          <t>893623584</t>
        </is>
      </c>
    </row>
    <row r="586">
      <c r="A586" t="inlineStr">
        <is>
          <t>No</t>
        </is>
      </c>
      <c r="B586" t="inlineStr">
        <is>
          <t>LB1103 .S6 v.66 no.2</t>
        </is>
      </c>
      <c r="C586" t="inlineStr">
        <is>
          <t>0                      LB 1103000S  6                                                       v.66 no.2</t>
        </is>
      </c>
      <c r="D586" t="inlineStr">
        <is>
          <t>Rhythms of dialogue in infancy : coordinated timing in development / Joseph Jaffe ... [et al.] ; with commentary by Philippe Rochat, Daniel N. Stern.</t>
        </is>
      </c>
      <c r="E586" t="inlineStr">
        <is>
          <t>V. 66 NO. 2</t>
        </is>
      </c>
      <c r="F586" t="inlineStr">
        <is>
          <t>No</t>
        </is>
      </c>
      <c r="G586" t="inlineStr">
        <is>
          <t>1</t>
        </is>
      </c>
      <c r="H586" t="inlineStr">
        <is>
          <t>No</t>
        </is>
      </c>
      <c r="I586" t="inlineStr">
        <is>
          <t>No</t>
        </is>
      </c>
      <c r="J586" t="inlineStr">
        <is>
          <t>0</t>
        </is>
      </c>
      <c r="L586" t="inlineStr">
        <is>
          <t>Boston, Mass. : Blackwell Publishers, 2001.</t>
        </is>
      </c>
      <c r="M586" t="inlineStr">
        <is>
          <t>2001</t>
        </is>
      </c>
      <c r="O586" t="inlineStr">
        <is>
          <t>eng</t>
        </is>
      </c>
      <c r="P586" t="inlineStr">
        <is>
          <t>mau</t>
        </is>
      </c>
      <c r="Q586" t="inlineStr">
        <is>
          <t>Monographs of the Society for Research in Child Development, 0037-976X ; serial no. 264, vol. 66, no. 2</t>
        </is>
      </c>
      <c r="R586" t="inlineStr">
        <is>
          <t xml:space="preserve">LB </t>
        </is>
      </c>
      <c r="S586" t="n">
        <v>1</v>
      </c>
      <c r="T586" t="n">
        <v>1</v>
      </c>
      <c r="U586" t="inlineStr">
        <is>
          <t>2001-06-21</t>
        </is>
      </c>
      <c r="V586" t="inlineStr">
        <is>
          <t>2001-06-21</t>
        </is>
      </c>
      <c r="W586" t="inlineStr">
        <is>
          <t>2001-06-21</t>
        </is>
      </c>
      <c r="X586" t="inlineStr">
        <is>
          <t>2001-06-21</t>
        </is>
      </c>
      <c r="Y586" t="n">
        <v>930</v>
      </c>
      <c r="Z586" t="n">
        <v>775</v>
      </c>
      <c r="AA586" t="n">
        <v>789</v>
      </c>
      <c r="AB586" t="n">
        <v>11</v>
      </c>
      <c r="AC586" t="n">
        <v>11</v>
      </c>
      <c r="AD586" t="n">
        <v>41</v>
      </c>
      <c r="AE586" t="n">
        <v>41</v>
      </c>
      <c r="AF586" t="n">
        <v>17</v>
      </c>
      <c r="AG586" t="n">
        <v>17</v>
      </c>
      <c r="AH586" t="n">
        <v>7</v>
      </c>
      <c r="AI586" t="n">
        <v>7</v>
      </c>
      <c r="AJ586" t="n">
        <v>17</v>
      </c>
      <c r="AK586" t="n">
        <v>17</v>
      </c>
      <c r="AL586" t="n">
        <v>10</v>
      </c>
      <c r="AM586" t="n">
        <v>10</v>
      </c>
      <c r="AN586" t="n">
        <v>0</v>
      </c>
      <c r="AO586" t="n">
        <v>0</v>
      </c>
      <c r="AP586" t="inlineStr">
        <is>
          <t>No</t>
        </is>
      </c>
      <c r="AQ586" t="inlineStr">
        <is>
          <t>Yes</t>
        </is>
      </c>
      <c r="AR586">
        <f>HYPERLINK("http://catalog.hathitrust.org/Record/003565608","HathiTrust Record")</f>
        <v/>
      </c>
      <c r="AS586">
        <f>HYPERLINK("https://creighton-primo.hosted.exlibrisgroup.com/primo-explore/search?tab=default_tab&amp;search_scope=EVERYTHING&amp;vid=01CRU&amp;lang=en_US&amp;offset=0&amp;query=any,contains,991003561089702656","Catalog Record")</f>
        <v/>
      </c>
      <c r="AT586">
        <f>HYPERLINK("http://www.worldcat.org/oclc/47139048","WorldCat Record")</f>
        <v/>
      </c>
      <c r="AU586" t="inlineStr">
        <is>
          <t>145130961:eng</t>
        </is>
      </c>
      <c r="AV586" t="inlineStr">
        <is>
          <t>47139048</t>
        </is>
      </c>
      <c r="AW586" t="inlineStr">
        <is>
          <t>991003561089702656</t>
        </is>
      </c>
      <c r="AX586" t="inlineStr">
        <is>
          <t>991003561089702656</t>
        </is>
      </c>
      <c r="AY586" t="inlineStr">
        <is>
          <t>2272359300002656</t>
        </is>
      </c>
      <c r="AZ586" t="inlineStr">
        <is>
          <t>BOOK</t>
        </is>
      </c>
      <c r="BC586" t="inlineStr">
        <is>
          <t>32285004328919</t>
        </is>
      </c>
      <c r="BD586" t="inlineStr">
        <is>
          <t>893692843</t>
        </is>
      </c>
    </row>
    <row r="587">
      <c r="A587" t="inlineStr">
        <is>
          <t>No</t>
        </is>
      </c>
      <c r="B587" t="inlineStr">
        <is>
          <t>LB1103 .S6 v.67 no.2</t>
        </is>
      </c>
      <c r="C587" t="inlineStr">
        <is>
          <t>0                      LB 1103000S  6                                                       v.67 no.2</t>
        </is>
      </c>
      <c r="D587" t="inlineStr">
        <is>
          <t>The developmental course of gender differentiation : conceptualizing, measuring, and evaluating constructs and pathways / Lynn S. Liben, Rebecca S. Bigler.</t>
        </is>
      </c>
      <c r="E587" t="inlineStr">
        <is>
          <t>V. 67 NO. 2</t>
        </is>
      </c>
      <c r="F587" t="inlineStr">
        <is>
          <t>No</t>
        </is>
      </c>
      <c r="G587" t="inlineStr">
        <is>
          <t>1</t>
        </is>
      </c>
      <c r="H587" t="inlineStr">
        <is>
          <t>No</t>
        </is>
      </c>
      <c r="I587" t="inlineStr">
        <is>
          <t>No</t>
        </is>
      </c>
      <c r="J587" t="inlineStr">
        <is>
          <t>0</t>
        </is>
      </c>
      <c r="K587" t="inlineStr">
        <is>
          <t>Liben, Lynn S.</t>
        </is>
      </c>
      <c r="L587" t="inlineStr">
        <is>
          <t>Boston, Mass. : Blackwell, 2002.</t>
        </is>
      </c>
      <c r="M587" t="inlineStr">
        <is>
          <t>2002</t>
        </is>
      </c>
      <c r="O587" t="inlineStr">
        <is>
          <t>eng</t>
        </is>
      </c>
      <c r="P587" t="inlineStr">
        <is>
          <t>mau</t>
        </is>
      </c>
      <c r="Q587" t="inlineStr">
        <is>
          <t>Monographs of the Society for Research in Child Development ; vol. 67, no. 2</t>
        </is>
      </c>
      <c r="R587" t="inlineStr">
        <is>
          <t xml:space="preserve">LB </t>
        </is>
      </c>
      <c r="S587" t="n">
        <v>1</v>
      </c>
      <c r="T587" t="n">
        <v>1</v>
      </c>
      <c r="U587" t="inlineStr">
        <is>
          <t>2002-11-21</t>
        </is>
      </c>
      <c r="V587" t="inlineStr">
        <is>
          <t>2002-11-21</t>
        </is>
      </c>
      <c r="W587" t="inlineStr">
        <is>
          <t>2002-11-21</t>
        </is>
      </c>
      <c r="X587" t="inlineStr">
        <is>
          <t>2002-11-21</t>
        </is>
      </c>
      <c r="Y587" t="n">
        <v>957</v>
      </c>
      <c r="Z587" t="n">
        <v>799</v>
      </c>
      <c r="AA587" t="n">
        <v>817</v>
      </c>
      <c r="AB587" t="n">
        <v>10</v>
      </c>
      <c r="AC587" t="n">
        <v>10</v>
      </c>
      <c r="AD587" t="n">
        <v>42</v>
      </c>
      <c r="AE587" t="n">
        <v>42</v>
      </c>
      <c r="AF587" t="n">
        <v>18</v>
      </c>
      <c r="AG587" t="n">
        <v>18</v>
      </c>
      <c r="AH587" t="n">
        <v>7</v>
      </c>
      <c r="AI587" t="n">
        <v>7</v>
      </c>
      <c r="AJ587" t="n">
        <v>19</v>
      </c>
      <c r="AK587" t="n">
        <v>19</v>
      </c>
      <c r="AL587" t="n">
        <v>9</v>
      </c>
      <c r="AM587" t="n">
        <v>9</v>
      </c>
      <c r="AN587" t="n">
        <v>0</v>
      </c>
      <c r="AO587" t="n">
        <v>0</v>
      </c>
      <c r="AP587" t="inlineStr">
        <is>
          <t>No</t>
        </is>
      </c>
      <c r="AQ587" t="inlineStr">
        <is>
          <t>No</t>
        </is>
      </c>
      <c r="AS587">
        <f>HYPERLINK("https://creighton-primo.hosted.exlibrisgroup.com/primo-explore/search?tab=default_tab&amp;search_scope=EVERYTHING&amp;vid=01CRU&amp;lang=en_US&amp;offset=0&amp;query=any,contains,991003948989702656","Catalog Record")</f>
        <v/>
      </c>
      <c r="AT587">
        <f>HYPERLINK("http://www.worldcat.org/oclc/51032431","WorldCat Record")</f>
        <v/>
      </c>
      <c r="AU587" t="inlineStr">
        <is>
          <t>839586418:eng</t>
        </is>
      </c>
      <c r="AV587" t="inlineStr">
        <is>
          <t>51032431</t>
        </is>
      </c>
      <c r="AW587" t="inlineStr">
        <is>
          <t>991003948989702656</t>
        </is>
      </c>
      <c r="AX587" t="inlineStr">
        <is>
          <t>991003948989702656</t>
        </is>
      </c>
      <c r="AY587" t="inlineStr">
        <is>
          <t>2267099770002656</t>
        </is>
      </c>
      <c r="AZ587" t="inlineStr">
        <is>
          <t>BOOK</t>
        </is>
      </c>
      <c r="BC587" t="inlineStr">
        <is>
          <t>32285004665955</t>
        </is>
      </c>
      <c r="BD587" t="inlineStr">
        <is>
          <t>893810280</t>
        </is>
      </c>
    </row>
    <row r="588">
      <c r="A588" t="inlineStr">
        <is>
          <t>No</t>
        </is>
      </c>
      <c r="B588" t="inlineStr">
        <is>
          <t>LB1105 .L3</t>
        </is>
      </c>
      <c r="C588" t="inlineStr">
        <is>
          <t>0                      LB 1105000L  3</t>
        </is>
      </c>
      <c r="D588" t="inlineStr">
        <is>
          <t>Child development through literature. Edited by Elliott D. Landau, Sherrie Landau Epstein [and] Ann Plaat Stone.</t>
        </is>
      </c>
      <c r="F588" t="inlineStr">
        <is>
          <t>No</t>
        </is>
      </c>
      <c r="G588" t="inlineStr">
        <is>
          <t>1</t>
        </is>
      </c>
      <c r="H588" t="inlineStr">
        <is>
          <t>No</t>
        </is>
      </c>
      <c r="I588" t="inlineStr">
        <is>
          <t>No</t>
        </is>
      </c>
      <c r="J588" t="inlineStr">
        <is>
          <t>0</t>
        </is>
      </c>
      <c r="K588" t="inlineStr">
        <is>
          <t>Landau, Elliott D. compiler.</t>
        </is>
      </c>
      <c r="L588" t="inlineStr">
        <is>
          <t>Englewood Cliffs, N.J., Prentice-Hall [1972]</t>
        </is>
      </c>
      <c r="M588" t="inlineStr">
        <is>
          <t>1972</t>
        </is>
      </c>
      <c r="O588" t="inlineStr">
        <is>
          <t>eng</t>
        </is>
      </c>
      <c r="P588" t="inlineStr">
        <is>
          <t>nju</t>
        </is>
      </c>
      <c r="R588" t="inlineStr">
        <is>
          <t xml:space="preserve">LB </t>
        </is>
      </c>
      <c r="S588" t="n">
        <v>3</v>
      </c>
      <c r="T588" t="n">
        <v>3</v>
      </c>
      <c r="U588" t="inlineStr">
        <is>
          <t>2006-11-19</t>
        </is>
      </c>
      <c r="V588" t="inlineStr">
        <is>
          <t>2006-11-19</t>
        </is>
      </c>
      <c r="W588" t="inlineStr">
        <is>
          <t>1997-05-07</t>
        </is>
      </c>
      <c r="X588" t="inlineStr">
        <is>
          <t>1997-05-07</t>
        </is>
      </c>
      <c r="Y588" t="n">
        <v>652</v>
      </c>
      <c r="Z588" t="n">
        <v>535</v>
      </c>
      <c r="AA588" t="n">
        <v>543</v>
      </c>
      <c r="AB588" t="n">
        <v>3</v>
      </c>
      <c r="AC588" t="n">
        <v>3</v>
      </c>
      <c r="AD588" t="n">
        <v>18</v>
      </c>
      <c r="AE588" t="n">
        <v>18</v>
      </c>
      <c r="AF588" t="n">
        <v>5</v>
      </c>
      <c r="AG588" t="n">
        <v>5</v>
      </c>
      <c r="AH588" t="n">
        <v>3</v>
      </c>
      <c r="AI588" t="n">
        <v>3</v>
      </c>
      <c r="AJ588" t="n">
        <v>12</v>
      </c>
      <c r="AK588" t="n">
        <v>12</v>
      </c>
      <c r="AL588" t="n">
        <v>2</v>
      </c>
      <c r="AM588" t="n">
        <v>2</v>
      </c>
      <c r="AN588" t="n">
        <v>0</v>
      </c>
      <c r="AO588" t="n">
        <v>0</v>
      </c>
      <c r="AP588" t="inlineStr">
        <is>
          <t>No</t>
        </is>
      </c>
      <c r="AQ588" t="inlineStr">
        <is>
          <t>Yes</t>
        </is>
      </c>
      <c r="AR588">
        <f>HYPERLINK("http://catalog.hathitrust.org/Record/001280573","HathiTrust Record")</f>
        <v/>
      </c>
      <c r="AS588">
        <f>HYPERLINK("https://creighton-primo.hosted.exlibrisgroup.com/primo-explore/search?tab=default_tab&amp;search_scope=EVERYTHING&amp;vid=01CRU&amp;lang=en_US&amp;offset=0&amp;query=any,contains,991002179729702656","Catalog Record")</f>
        <v/>
      </c>
      <c r="AT588">
        <f>HYPERLINK("http://www.worldcat.org/oclc/278705","WorldCat Record")</f>
        <v/>
      </c>
      <c r="AU588" t="inlineStr">
        <is>
          <t>1420948:eng</t>
        </is>
      </c>
      <c r="AV588" t="inlineStr">
        <is>
          <t>278705</t>
        </is>
      </c>
      <c r="AW588" t="inlineStr">
        <is>
          <t>991002179729702656</t>
        </is>
      </c>
      <c r="AX588" t="inlineStr">
        <is>
          <t>991002179729702656</t>
        </is>
      </c>
      <c r="AY588" t="inlineStr">
        <is>
          <t>2258254490002656</t>
        </is>
      </c>
      <c r="AZ588" t="inlineStr">
        <is>
          <t>BOOK</t>
        </is>
      </c>
      <c r="BB588" t="inlineStr">
        <is>
          <t>9780131306820</t>
        </is>
      </c>
      <c r="BC588" t="inlineStr">
        <is>
          <t>32285002633906</t>
        </is>
      </c>
      <c r="BD588" t="inlineStr">
        <is>
          <t>893529639</t>
        </is>
      </c>
    </row>
    <row r="589">
      <c r="A589" t="inlineStr">
        <is>
          <t>No</t>
        </is>
      </c>
      <c r="B589" t="inlineStr">
        <is>
          <t>LB1115 .C47</t>
        </is>
      </c>
      <c r="C589" t="inlineStr">
        <is>
          <t>0                      LB 1115000C  47</t>
        </is>
      </c>
      <c r="D589" t="inlineStr">
        <is>
          <t>Psychology of the child in the classroom.</t>
        </is>
      </c>
      <c r="F589" t="inlineStr">
        <is>
          <t>No</t>
        </is>
      </c>
      <c r="G589" t="inlineStr">
        <is>
          <t>1</t>
        </is>
      </c>
      <c r="H589" t="inlineStr">
        <is>
          <t>No</t>
        </is>
      </c>
      <c r="I589" t="inlineStr">
        <is>
          <t>No</t>
        </is>
      </c>
      <c r="J589" t="inlineStr">
        <is>
          <t>0</t>
        </is>
      </c>
      <c r="K589" t="inlineStr">
        <is>
          <t>Charles, Don C.</t>
        </is>
      </c>
      <c r="L589" t="inlineStr">
        <is>
          <t>New York, Macmillan, c1964.</t>
        </is>
      </c>
      <c r="M589" t="inlineStr">
        <is>
          <t>1964</t>
        </is>
      </c>
      <c r="O589" t="inlineStr">
        <is>
          <t>eng</t>
        </is>
      </c>
      <c r="P589" t="inlineStr">
        <is>
          <t>nyu</t>
        </is>
      </c>
      <c r="Q589" t="inlineStr">
        <is>
          <t>Psychological foundations of education series</t>
        </is>
      </c>
      <c r="R589" t="inlineStr">
        <is>
          <t xml:space="preserve">LB </t>
        </is>
      </c>
      <c r="S589" t="n">
        <v>1</v>
      </c>
      <c r="T589" t="n">
        <v>1</v>
      </c>
      <c r="U589" t="inlineStr">
        <is>
          <t>2006-11-19</t>
        </is>
      </c>
      <c r="V589" t="inlineStr">
        <is>
          <t>2006-11-19</t>
        </is>
      </c>
      <c r="W589" t="inlineStr">
        <is>
          <t>1997-05-07</t>
        </is>
      </c>
      <c r="X589" t="inlineStr">
        <is>
          <t>1997-05-07</t>
        </is>
      </c>
      <c r="Y589" t="n">
        <v>414</v>
      </c>
      <c r="Z589" t="n">
        <v>319</v>
      </c>
      <c r="AA589" t="n">
        <v>331</v>
      </c>
      <c r="AB589" t="n">
        <v>3</v>
      </c>
      <c r="AC589" t="n">
        <v>3</v>
      </c>
      <c r="AD589" t="n">
        <v>14</v>
      </c>
      <c r="AE589" t="n">
        <v>14</v>
      </c>
      <c r="AF589" t="n">
        <v>6</v>
      </c>
      <c r="AG589" t="n">
        <v>6</v>
      </c>
      <c r="AH589" t="n">
        <v>1</v>
      </c>
      <c r="AI589" t="n">
        <v>1</v>
      </c>
      <c r="AJ589" t="n">
        <v>9</v>
      </c>
      <c r="AK589" t="n">
        <v>9</v>
      </c>
      <c r="AL589" t="n">
        <v>2</v>
      </c>
      <c r="AM589" t="n">
        <v>2</v>
      </c>
      <c r="AN589" t="n">
        <v>0</v>
      </c>
      <c r="AO589" t="n">
        <v>0</v>
      </c>
      <c r="AP589" t="inlineStr">
        <is>
          <t>No</t>
        </is>
      </c>
      <c r="AQ589" t="inlineStr">
        <is>
          <t>Yes</t>
        </is>
      </c>
      <c r="AR589">
        <f>HYPERLINK("http://catalog.hathitrust.org/Record/004426139","HathiTrust Record")</f>
        <v/>
      </c>
      <c r="AS589">
        <f>HYPERLINK("https://creighton-primo.hosted.exlibrisgroup.com/primo-explore/search?tab=default_tab&amp;search_scope=EVERYTHING&amp;vid=01CRU&amp;lang=en_US&amp;offset=0&amp;query=any,contains,991001096119702656","Catalog Record")</f>
        <v/>
      </c>
      <c r="AT589">
        <f>HYPERLINK("http://www.worldcat.org/oclc/183335","WorldCat Record")</f>
        <v/>
      </c>
      <c r="AU589" t="inlineStr">
        <is>
          <t>1328740:eng</t>
        </is>
      </c>
      <c r="AV589" t="inlineStr">
        <is>
          <t>183335</t>
        </is>
      </c>
      <c r="AW589" t="inlineStr">
        <is>
          <t>991001096119702656</t>
        </is>
      </c>
      <c r="AX589" t="inlineStr">
        <is>
          <t>991001096119702656</t>
        </is>
      </c>
      <c r="AY589" t="inlineStr">
        <is>
          <t>2267665410002656</t>
        </is>
      </c>
      <c r="AZ589" t="inlineStr">
        <is>
          <t>BOOK</t>
        </is>
      </c>
      <c r="BC589" t="inlineStr">
        <is>
          <t>32285002633922</t>
        </is>
      </c>
      <c r="BD589" t="inlineStr">
        <is>
          <t>893432592</t>
        </is>
      </c>
    </row>
    <row r="590">
      <c r="A590" t="inlineStr">
        <is>
          <t>No</t>
        </is>
      </c>
      <c r="B590" t="inlineStr">
        <is>
          <t>LB1115 .E37 1986</t>
        </is>
      </c>
      <c r="C590" t="inlineStr">
        <is>
          <t>0                      LB 1115000E  37          1986</t>
        </is>
      </c>
      <c r="D590" t="inlineStr">
        <is>
          <t>Promoting social and moral development in young children : creative approaches for the classroom / Carolyn Pope Edwards with Patricia G. Ramsey ; foreword by Lawrence Kohlberg.</t>
        </is>
      </c>
      <c r="F590" t="inlineStr">
        <is>
          <t>No</t>
        </is>
      </c>
      <c r="G590" t="inlineStr">
        <is>
          <t>1</t>
        </is>
      </c>
      <c r="H590" t="inlineStr">
        <is>
          <t>No</t>
        </is>
      </c>
      <c r="I590" t="inlineStr">
        <is>
          <t>No</t>
        </is>
      </c>
      <c r="J590" t="inlineStr">
        <is>
          <t>0</t>
        </is>
      </c>
      <c r="K590" t="inlineStr">
        <is>
          <t>Edwards, Carolyn P.</t>
        </is>
      </c>
      <c r="L590" t="inlineStr">
        <is>
          <t>New York : Teachers College Press, c1986.</t>
        </is>
      </c>
      <c r="M590" t="inlineStr">
        <is>
          <t>1986</t>
        </is>
      </c>
      <c r="O590" t="inlineStr">
        <is>
          <t>eng</t>
        </is>
      </c>
      <c r="P590" t="inlineStr">
        <is>
          <t>nyu</t>
        </is>
      </c>
      <c r="Q590" t="inlineStr">
        <is>
          <t>Early childhood education series</t>
        </is>
      </c>
      <c r="R590" t="inlineStr">
        <is>
          <t xml:space="preserve">LB </t>
        </is>
      </c>
      <c r="S590" t="n">
        <v>3</v>
      </c>
      <c r="T590" t="n">
        <v>3</v>
      </c>
      <c r="U590" t="inlineStr">
        <is>
          <t>2001-02-08</t>
        </is>
      </c>
      <c r="V590" t="inlineStr">
        <is>
          <t>2001-02-08</t>
        </is>
      </c>
      <c r="W590" t="inlineStr">
        <is>
          <t>1990-04-26</t>
        </is>
      </c>
      <c r="X590" t="inlineStr">
        <is>
          <t>1990-04-26</t>
        </is>
      </c>
      <c r="Y590" t="n">
        <v>649</v>
      </c>
      <c r="Z590" t="n">
        <v>578</v>
      </c>
      <c r="AA590" t="n">
        <v>584</v>
      </c>
      <c r="AB590" t="n">
        <v>4</v>
      </c>
      <c r="AC590" t="n">
        <v>4</v>
      </c>
      <c r="AD590" t="n">
        <v>25</v>
      </c>
      <c r="AE590" t="n">
        <v>25</v>
      </c>
      <c r="AF590" t="n">
        <v>10</v>
      </c>
      <c r="AG590" t="n">
        <v>10</v>
      </c>
      <c r="AH590" t="n">
        <v>5</v>
      </c>
      <c r="AI590" t="n">
        <v>5</v>
      </c>
      <c r="AJ590" t="n">
        <v>15</v>
      </c>
      <c r="AK590" t="n">
        <v>15</v>
      </c>
      <c r="AL590" t="n">
        <v>3</v>
      </c>
      <c r="AM590" t="n">
        <v>3</v>
      </c>
      <c r="AN590" t="n">
        <v>0</v>
      </c>
      <c r="AO590" t="n">
        <v>0</v>
      </c>
      <c r="AP590" t="inlineStr">
        <is>
          <t>No</t>
        </is>
      </c>
      <c r="AQ590" t="inlineStr">
        <is>
          <t>No</t>
        </is>
      </c>
      <c r="AS590">
        <f>HYPERLINK("https://creighton-primo.hosted.exlibrisgroup.com/primo-explore/search?tab=default_tab&amp;search_scope=EVERYTHING&amp;vid=01CRU&amp;lang=en_US&amp;offset=0&amp;query=any,contains,991000892389702656","Catalog Record")</f>
        <v/>
      </c>
      <c r="AT590">
        <f>HYPERLINK("http://www.worldcat.org/oclc/13945773","WorldCat Record")</f>
        <v/>
      </c>
      <c r="AU590" t="inlineStr">
        <is>
          <t>180906330:eng</t>
        </is>
      </c>
      <c r="AV590" t="inlineStr">
        <is>
          <t>13945773</t>
        </is>
      </c>
      <c r="AW590" t="inlineStr">
        <is>
          <t>991000892389702656</t>
        </is>
      </c>
      <c r="AX590" t="inlineStr">
        <is>
          <t>991000892389702656</t>
        </is>
      </c>
      <c r="AY590" t="inlineStr">
        <is>
          <t>2258985230002656</t>
        </is>
      </c>
      <c r="AZ590" t="inlineStr">
        <is>
          <t>BOOK</t>
        </is>
      </c>
      <c r="BB590" t="inlineStr">
        <is>
          <t>9780807728314</t>
        </is>
      </c>
      <c r="BC590" t="inlineStr">
        <is>
          <t>32285000126663</t>
        </is>
      </c>
      <c r="BD590" t="inlineStr">
        <is>
          <t>893426132</t>
        </is>
      </c>
    </row>
    <row r="591">
      <c r="A591" t="inlineStr">
        <is>
          <t>No</t>
        </is>
      </c>
      <c r="B591" t="inlineStr">
        <is>
          <t>LB1115 .T24</t>
        </is>
      </c>
      <c r="C591" t="inlineStr">
        <is>
          <t>0                      LB 1115000T  24</t>
        </is>
      </c>
      <c r="D591" t="inlineStr">
        <is>
          <t>Dear mom and dad : parents and the preschooler / by Barbara J. Taylor.</t>
        </is>
      </c>
      <c r="F591" t="inlineStr">
        <is>
          <t>No</t>
        </is>
      </c>
      <c r="G591" t="inlineStr">
        <is>
          <t>1</t>
        </is>
      </c>
      <c r="H591" t="inlineStr">
        <is>
          <t>No</t>
        </is>
      </c>
      <c r="I591" t="inlineStr">
        <is>
          <t>No</t>
        </is>
      </c>
      <c r="J591" t="inlineStr">
        <is>
          <t>0</t>
        </is>
      </c>
      <c r="K591" t="inlineStr">
        <is>
          <t>Taylor, Barbara J.</t>
        </is>
      </c>
      <c r="L591" t="inlineStr">
        <is>
          <t>Provo, Utah : Brigham Young University Press, [1978]</t>
        </is>
      </c>
      <c r="M591" t="inlineStr">
        <is>
          <t>1978</t>
        </is>
      </c>
      <c r="O591" t="inlineStr">
        <is>
          <t>eng</t>
        </is>
      </c>
      <c r="P591" t="inlineStr">
        <is>
          <t>utu</t>
        </is>
      </c>
      <c r="R591" t="inlineStr">
        <is>
          <t xml:space="preserve">LB </t>
        </is>
      </c>
      <c r="S591" t="n">
        <v>1</v>
      </c>
      <c r="T591" t="n">
        <v>1</v>
      </c>
      <c r="U591" t="inlineStr">
        <is>
          <t>1993-03-29</t>
        </is>
      </c>
      <c r="V591" t="inlineStr">
        <is>
          <t>1993-03-29</t>
        </is>
      </c>
      <c r="W591" t="inlineStr">
        <is>
          <t>1992-11-19</t>
        </is>
      </c>
      <c r="X591" t="inlineStr">
        <is>
          <t>1992-11-19</t>
        </is>
      </c>
      <c r="Y591" t="n">
        <v>444</v>
      </c>
      <c r="Z591" t="n">
        <v>408</v>
      </c>
      <c r="AA591" t="n">
        <v>409</v>
      </c>
      <c r="AB591" t="n">
        <v>6</v>
      </c>
      <c r="AC591" t="n">
        <v>6</v>
      </c>
      <c r="AD591" t="n">
        <v>9</v>
      </c>
      <c r="AE591" t="n">
        <v>9</v>
      </c>
      <c r="AF591" t="n">
        <v>1</v>
      </c>
      <c r="AG591" t="n">
        <v>1</v>
      </c>
      <c r="AH591" t="n">
        <v>1</v>
      </c>
      <c r="AI591" t="n">
        <v>1</v>
      </c>
      <c r="AJ591" t="n">
        <v>3</v>
      </c>
      <c r="AK591" t="n">
        <v>3</v>
      </c>
      <c r="AL591" t="n">
        <v>4</v>
      </c>
      <c r="AM591" t="n">
        <v>4</v>
      </c>
      <c r="AN591" t="n">
        <v>0</v>
      </c>
      <c r="AO591" t="n">
        <v>0</v>
      </c>
      <c r="AP591" t="inlineStr">
        <is>
          <t>No</t>
        </is>
      </c>
      <c r="AQ591" t="inlineStr">
        <is>
          <t>Yes</t>
        </is>
      </c>
      <c r="AR591">
        <f>HYPERLINK("http://catalog.hathitrust.org/Record/000698893","HathiTrust Record")</f>
        <v/>
      </c>
      <c r="AS591">
        <f>HYPERLINK("https://creighton-primo.hosted.exlibrisgroup.com/primo-explore/search?tab=default_tab&amp;search_scope=EVERYTHING&amp;vid=01CRU&amp;lang=en_US&amp;offset=0&amp;query=any,contains,991004511979702656","Catalog Record")</f>
        <v/>
      </c>
      <c r="AT591">
        <f>HYPERLINK("http://www.worldcat.org/oclc/3770720","WorldCat Record")</f>
        <v/>
      </c>
      <c r="AU591" t="inlineStr">
        <is>
          <t>12217469:eng</t>
        </is>
      </c>
      <c r="AV591" t="inlineStr">
        <is>
          <t>3770720</t>
        </is>
      </c>
      <c r="AW591" t="inlineStr">
        <is>
          <t>991004511979702656</t>
        </is>
      </c>
      <c r="AX591" t="inlineStr">
        <is>
          <t>991004511979702656</t>
        </is>
      </c>
      <c r="AY591" t="inlineStr">
        <is>
          <t>2260742500002656</t>
        </is>
      </c>
      <c r="AZ591" t="inlineStr">
        <is>
          <t>BOOK</t>
        </is>
      </c>
      <c r="BB591" t="inlineStr">
        <is>
          <t>9780842512312</t>
        </is>
      </c>
      <c r="BC591" t="inlineStr">
        <is>
          <t>32285001407930</t>
        </is>
      </c>
      <c r="BD591" t="inlineStr">
        <is>
          <t>893430152</t>
        </is>
      </c>
    </row>
    <row r="592">
      <c r="A592" t="inlineStr">
        <is>
          <t>No</t>
        </is>
      </c>
      <c r="B592" t="inlineStr">
        <is>
          <t>LB1117 .B565 1986</t>
        </is>
      </c>
      <c r="C592" t="inlineStr">
        <is>
          <t>0                      LB 1117000B  565         1986</t>
        </is>
      </c>
      <c r="D592" t="inlineStr">
        <is>
          <t>Stress in childhood : an intervention model for teachers and other professionals / Gaston E. Blom, Bruce D. Cheney, James E. Snoddy.</t>
        </is>
      </c>
      <c r="F592" t="inlineStr">
        <is>
          <t>No</t>
        </is>
      </c>
      <c r="G592" t="inlineStr">
        <is>
          <t>1</t>
        </is>
      </c>
      <c r="H592" t="inlineStr">
        <is>
          <t>No</t>
        </is>
      </c>
      <c r="I592" t="inlineStr">
        <is>
          <t>No</t>
        </is>
      </c>
      <c r="J592" t="inlineStr">
        <is>
          <t>0</t>
        </is>
      </c>
      <c r="K592" t="inlineStr">
        <is>
          <t>Blom, Gaston E.</t>
        </is>
      </c>
      <c r="L592" t="inlineStr">
        <is>
          <t>New York : Teachers College, Columbia University, c1986.</t>
        </is>
      </c>
      <c r="M592" t="inlineStr">
        <is>
          <t>1985</t>
        </is>
      </c>
      <c r="O592" t="inlineStr">
        <is>
          <t>eng</t>
        </is>
      </c>
      <c r="P592" t="inlineStr">
        <is>
          <t>nyu</t>
        </is>
      </c>
      <c r="Q592" t="inlineStr">
        <is>
          <t>Special education series</t>
        </is>
      </c>
      <c r="R592" t="inlineStr">
        <is>
          <t xml:space="preserve">LB </t>
        </is>
      </c>
      <c r="S592" t="n">
        <v>3</v>
      </c>
      <c r="T592" t="n">
        <v>3</v>
      </c>
      <c r="U592" t="inlineStr">
        <is>
          <t>1996-09-13</t>
        </is>
      </c>
      <c r="V592" t="inlineStr">
        <is>
          <t>1996-09-13</t>
        </is>
      </c>
      <c r="W592" t="inlineStr">
        <is>
          <t>1990-03-01</t>
        </is>
      </c>
      <c r="X592" t="inlineStr">
        <is>
          <t>1990-03-01</t>
        </is>
      </c>
      <c r="Y592" t="n">
        <v>572</v>
      </c>
      <c r="Z592" t="n">
        <v>515</v>
      </c>
      <c r="AA592" t="n">
        <v>522</v>
      </c>
      <c r="AB592" t="n">
        <v>7</v>
      </c>
      <c r="AC592" t="n">
        <v>7</v>
      </c>
      <c r="AD592" t="n">
        <v>25</v>
      </c>
      <c r="AE592" t="n">
        <v>25</v>
      </c>
      <c r="AF592" t="n">
        <v>11</v>
      </c>
      <c r="AG592" t="n">
        <v>11</v>
      </c>
      <c r="AH592" t="n">
        <v>5</v>
      </c>
      <c r="AI592" t="n">
        <v>5</v>
      </c>
      <c r="AJ592" t="n">
        <v>11</v>
      </c>
      <c r="AK592" t="n">
        <v>11</v>
      </c>
      <c r="AL592" t="n">
        <v>5</v>
      </c>
      <c r="AM592" t="n">
        <v>5</v>
      </c>
      <c r="AN592" t="n">
        <v>0</v>
      </c>
      <c r="AO592" t="n">
        <v>0</v>
      </c>
      <c r="AP592" t="inlineStr">
        <is>
          <t>No</t>
        </is>
      </c>
      <c r="AQ592" t="inlineStr">
        <is>
          <t>No</t>
        </is>
      </c>
      <c r="AS592">
        <f>HYPERLINK("https://creighton-primo.hosted.exlibrisgroup.com/primo-explore/search?tab=default_tab&amp;search_scope=EVERYTHING&amp;vid=01CRU&amp;lang=en_US&amp;offset=0&amp;query=any,contains,991000663499702656","Catalog Record")</f>
        <v/>
      </c>
      <c r="AT592">
        <f>HYPERLINK("http://www.worldcat.org/oclc/12262393","WorldCat Record")</f>
        <v/>
      </c>
      <c r="AU592" t="inlineStr">
        <is>
          <t>4909087:eng</t>
        </is>
      </c>
      <c r="AV592" t="inlineStr">
        <is>
          <t>12262393</t>
        </is>
      </c>
      <c r="AW592" t="inlineStr">
        <is>
          <t>991000663499702656</t>
        </is>
      </c>
      <c r="AX592" t="inlineStr">
        <is>
          <t>991000663499702656</t>
        </is>
      </c>
      <c r="AY592" t="inlineStr">
        <is>
          <t>2270581660002656</t>
        </is>
      </c>
      <c r="AZ592" t="inlineStr">
        <is>
          <t>BOOK</t>
        </is>
      </c>
      <c r="BB592" t="inlineStr">
        <is>
          <t>9780807727805</t>
        </is>
      </c>
      <c r="BC592" t="inlineStr">
        <is>
          <t>32285000074780</t>
        </is>
      </c>
      <c r="BD592" t="inlineStr">
        <is>
          <t>893890915</t>
        </is>
      </c>
    </row>
    <row r="593">
      <c r="A593" t="inlineStr">
        <is>
          <t>No</t>
        </is>
      </c>
      <c r="B593" t="inlineStr">
        <is>
          <t>LB1117 .C65 1978</t>
        </is>
      </c>
      <c r="C593" t="inlineStr">
        <is>
          <t>0                      LB 1117000C  65          1978</t>
        </is>
      </c>
      <c r="D593" t="inlineStr">
        <is>
          <t>Observing and recording the behavior of young children / Dorothy H. Cohen, Virginia Stern.</t>
        </is>
      </c>
      <c r="F593" t="inlineStr">
        <is>
          <t>No</t>
        </is>
      </c>
      <c r="G593" t="inlineStr">
        <is>
          <t>1</t>
        </is>
      </c>
      <c r="H593" t="inlineStr">
        <is>
          <t>No</t>
        </is>
      </c>
      <c r="I593" t="inlineStr">
        <is>
          <t>No</t>
        </is>
      </c>
      <c r="J593" t="inlineStr">
        <is>
          <t>0</t>
        </is>
      </c>
      <c r="K593" t="inlineStr">
        <is>
          <t>Cohen, Dorothy H.</t>
        </is>
      </c>
      <c r="L593" t="inlineStr">
        <is>
          <t>New York : Teachers College Press, Teachers College, Columbia University, c1978.</t>
        </is>
      </c>
      <c r="M593" t="inlineStr">
        <is>
          <t>1978</t>
        </is>
      </c>
      <c r="N593" t="inlineStr">
        <is>
          <t>2d ed.</t>
        </is>
      </c>
      <c r="O593" t="inlineStr">
        <is>
          <t>eng</t>
        </is>
      </c>
      <c r="P593" t="inlineStr">
        <is>
          <t>nyu</t>
        </is>
      </c>
      <c r="R593" t="inlineStr">
        <is>
          <t xml:space="preserve">LB </t>
        </is>
      </c>
      <c r="S593" t="n">
        <v>2</v>
      </c>
      <c r="T593" t="n">
        <v>2</v>
      </c>
      <c r="U593" t="inlineStr">
        <is>
          <t>1996-10-26</t>
        </is>
      </c>
      <c r="V593" t="inlineStr">
        <is>
          <t>1996-10-26</t>
        </is>
      </c>
      <c r="W593" t="inlineStr">
        <is>
          <t>1992-03-01</t>
        </is>
      </c>
      <c r="X593" t="inlineStr">
        <is>
          <t>1992-03-01</t>
        </is>
      </c>
      <c r="Y593" t="n">
        <v>421</v>
      </c>
      <c r="Z593" t="n">
        <v>355</v>
      </c>
      <c r="AA593" t="n">
        <v>1415</v>
      </c>
      <c r="AB593" t="n">
        <v>1</v>
      </c>
      <c r="AC593" t="n">
        <v>6</v>
      </c>
      <c r="AD593" t="n">
        <v>11</v>
      </c>
      <c r="AE593" t="n">
        <v>44</v>
      </c>
      <c r="AF593" t="n">
        <v>4</v>
      </c>
      <c r="AG593" t="n">
        <v>19</v>
      </c>
      <c r="AH593" t="n">
        <v>3</v>
      </c>
      <c r="AI593" t="n">
        <v>10</v>
      </c>
      <c r="AJ593" t="n">
        <v>8</v>
      </c>
      <c r="AK593" t="n">
        <v>19</v>
      </c>
      <c r="AL593" t="n">
        <v>0</v>
      </c>
      <c r="AM593" t="n">
        <v>5</v>
      </c>
      <c r="AN593" t="n">
        <v>0</v>
      </c>
      <c r="AO593" t="n">
        <v>0</v>
      </c>
      <c r="AP593" t="inlineStr">
        <is>
          <t>No</t>
        </is>
      </c>
      <c r="AQ593" t="inlineStr">
        <is>
          <t>No</t>
        </is>
      </c>
      <c r="AS593">
        <f>HYPERLINK("https://creighton-primo.hosted.exlibrisgroup.com/primo-explore/search?tab=default_tab&amp;search_scope=EVERYTHING&amp;vid=01CRU&amp;lang=en_US&amp;offset=0&amp;query=any,contains,991004555299702656","Catalog Record")</f>
        <v/>
      </c>
      <c r="AT593">
        <f>HYPERLINK("http://www.worldcat.org/oclc/3966000","WorldCat Record")</f>
        <v/>
      </c>
      <c r="AU593" t="inlineStr">
        <is>
          <t>215755:eng</t>
        </is>
      </c>
      <c r="AV593" t="inlineStr">
        <is>
          <t>3966000</t>
        </is>
      </c>
      <c r="AW593" t="inlineStr">
        <is>
          <t>991004555299702656</t>
        </is>
      </c>
      <c r="AX593" t="inlineStr">
        <is>
          <t>991004555299702656</t>
        </is>
      </c>
      <c r="AY593" t="inlineStr">
        <is>
          <t>2263818850002656</t>
        </is>
      </c>
      <c r="AZ593" t="inlineStr">
        <is>
          <t>BOOK</t>
        </is>
      </c>
      <c r="BB593" t="inlineStr">
        <is>
          <t>9780807725238</t>
        </is>
      </c>
      <c r="BC593" t="inlineStr">
        <is>
          <t>32285000979319</t>
        </is>
      </c>
      <c r="BD593" t="inlineStr">
        <is>
          <t>893606177</t>
        </is>
      </c>
    </row>
    <row r="594">
      <c r="A594" t="inlineStr">
        <is>
          <t>No</t>
        </is>
      </c>
      <c r="B594" t="inlineStr">
        <is>
          <t>LB1117 .S42 1980</t>
        </is>
      </c>
      <c r="C594" t="inlineStr">
        <is>
          <t>0                      LB 1117000S  42          1980</t>
        </is>
      </c>
      <c r="D594" t="inlineStr">
        <is>
          <t>Sex role stereotyping in the schools / Elizabeth Hirzler Weiner, editor.</t>
        </is>
      </c>
      <c r="F594" t="inlineStr">
        <is>
          <t>No</t>
        </is>
      </c>
      <c r="G594" t="inlineStr">
        <is>
          <t>1</t>
        </is>
      </c>
      <c r="H594" t="inlineStr">
        <is>
          <t>No</t>
        </is>
      </c>
      <c r="I594" t="inlineStr">
        <is>
          <t>No</t>
        </is>
      </c>
      <c r="J594" t="inlineStr">
        <is>
          <t>0</t>
        </is>
      </c>
      <c r="L594" t="inlineStr">
        <is>
          <t>Washington, D.C. : National Education Association, c1980.</t>
        </is>
      </c>
      <c r="M594" t="inlineStr">
        <is>
          <t>1980</t>
        </is>
      </c>
      <c r="N594" t="inlineStr">
        <is>
          <t>2d rev. ed.</t>
        </is>
      </c>
      <c r="O594" t="inlineStr">
        <is>
          <t>eng</t>
        </is>
      </c>
      <c r="P594" t="inlineStr">
        <is>
          <t>dcu</t>
        </is>
      </c>
      <c r="Q594" t="inlineStr">
        <is>
          <t>Aspects of learning</t>
        </is>
      </c>
      <c r="R594" t="inlineStr">
        <is>
          <t xml:space="preserve">LB </t>
        </is>
      </c>
      <c r="S594" t="n">
        <v>2</v>
      </c>
      <c r="T594" t="n">
        <v>2</v>
      </c>
      <c r="U594" t="inlineStr">
        <is>
          <t>2000-10-23</t>
        </is>
      </c>
      <c r="V594" t="inlineStr">
        <is>
          <t>2000-10-23</t>
        </is>
      </c>
      <c r="W594" t="inlineStr">
        <is>
          <t>1993-01-15</t>
        </is>
      </c>
      <c r="X594" t="inlineStr">
        <is>
          <t>1993-01-15</t>
        </is>
      </c>
      <c r="Y594" t="n">
        <v>348</v>
      </c>
      <c r="Z594" t="n">
        <v>337</v>
      </c>
      <c r="AA594" t="n">
        <v>343</v>
      </c>
      <c r="AB594" t="n">
        <v>6</v>
      </c>
      <c r="AC594" t="n">
        <v>6</v>
      </c>
      <c r="AD594" t="n">
        <v>16</v>
      </c>
      <c r="AE594" t="n">
        <v>16</v>
      </c>
      <c r="AF594" t="n">
        <v>6</v>
      </c>
      <c r="AG594" t="n">
        <v>6</v>
      </c>
      <c r="AH594" t="n">
        <v>5</v>
      </c>
      <c r="AI594" t="n">
        <v>5</v>
      </c>
      <c r="AJ594" t="n">
        <v>6</v>
      </c>
      <c r="AK594" t="n">
        <v>6</v>
      </c>
      <c r="AL594" t="n">
        <v>5</v>
      </c>
      <c r="AM594" t="n">
        <v>5</v>
      </c>
      <c r="AN594" t="n">
        <v>0</v>
      </c>
      <c r="AO594" t="n">
        <v>0</v>
      </c>
      <c r="AP594" t="inlineStr">
        <is>
          <t>No</t>
        </is>
      </c>
      <c r="AQ594" t="inlineStr">
        <is>
          <t>Yes</t>
        </is>
      </c>
      <c r="AR594">
        <f>HYPERLINK("http://catalog.hathitrust.org/Record/000684730","HathiTrust Record")</f>
        <v/>
      </c>
      <c r="AS594">
        <f>HYPERLINK("https://creighton-primo.hosted.exlibrisgroup.com/primo-explore/search?tab=default_tab&amp;search_scope=EVERYTHING&amp;vid=01CRU&amp;lang=en_US&amp;offset=0&amp;query=any,contains,991004884899702656","Catalog Record")</f>
        <v/>
      </c>
      <c r="AT594">
        <f>HYPERLINK("http://www.worldcat.org/oclc/5831308","WorldCat Record")</f>
        <v/>
      </c>
      <c r="AU594" t="inlineStr">
        <is>
          <t>3944068615:eng</t>
        </is>
      </c>
      <c r="AV594" t="inlineStr">
        <is>
          <t>5831308</t>
        </is>
      </c>
      <c r="AW594" t="inlineStr">
        <is>
          <t>991004884899702656</t>
        </is>
      </c>
      <c r="AX594" t="inlineStr">
        <is>
          <t>991004884899702656</t>
        </is>
      </c>
      <c r="AY594" t="inlineStr">
        <is>
          <t>2263227830002656</t>
        </is>
      </c>
      <c r="AZ594" t="inlineStr">
        <is>
          <t>BOOK</t>
        </is>
      </c>
      <c r="BB594" t="inlineStr">
        <is>
          <t>9780810614901</t>
        </is>
      </c>
      <c r="BC594" t="inlineStr">
        <is>
          <t>32285001475341</t>
        </is>
      </c>
      <c r="BD594" t="inlineStr">
        <is>
          <t>893236021</t>
        </is>
      </c>
    </row>
    <row r="595">
      <c r="A595" t="inlineStr">
        <is>
          <t>No</t>
        </is>
      </c>
      <c r="B595" t="inlineStr">
        <is>
          <t>LB1117 .S83 2000</t>
        </is>
      </c>
      <c r="C595" t="inlineStr">
        <is>
          <t>0                      LB 1117000S  83          2000</t>
        </is>
      </c>
      <c r="D595" t="inlineStr">
        <is>
          <t>The feel-good curriculum : the dumbing-down of America's kids in the name of self-esteem / Maureen Stout.</t>
        </is>
      </c>
      <c r="F595" t="inlineStr">
        <is>
          <t>No</t>
        </is>
      </c>
      <c r="G595" t="inlineStr">
        <is>
          <t>1</t>
        </is>
      </c>
      <c r="H595" t="inlineStr">
        <is>
          <t>No</t>
        </is>
      </c>
      <c r="I595" t="inlineStr">
        <is>
          <t>No</t>
        </is>
      </c>
      <c r="J595" t="inlineStr">
        <is>
          <t>0</t>
        </is>
      </c>
      <c r="K595" t="inlineStr">
        <is>
          <t>Stout, Maureen.</t>
        </is>
      </c>
      <c r="L595" t="inlineStr">
        <is>
          <t>Cambridge, Mass. : Perseus Books, c2000.</t>
        </is>
      </c>
      <c r="M595" t="inlineStr">
        <is>
          <t>2000</t>
        </is>
      </c>
      <c r="O595" t="inlineStr">
        <is>
          <t>eng</t>
        </is>
      </c>
      <c r="P595" t="inlineStr">
        <is>
          <t>mau</t>
        </is>
      </c>
      <c r="R595" t="inlineStr">
        <is>
          <t xml:space="preserve">LB </t>
        </is>
      </c>
      <c r="S595" t="n">
        <v>1</v>
      </c>
      <c r="T595" t="n">
        <v>1</v>
      </c>
      <c r="U595" t="inlineStr">
        <is>
          <t>2001-04-26</t>
        </is>
      </c>
      <c r="V595" t="inlineStr">
        <is>
          <t>2001-04-26</t>
        </is>
      </c>
      <c r="W595" t="inlineStr">
        <is>
          <t>2000-07-05</t>
        </is>
      </c>
      <c r="X595" t="inlineStr">
        <is>
          <t>2000-07-05</t>
        </is>
      </c>
      <c r="Y595" t="n">
        <v>1116</v>
      </c>
      <c r="Z595" t="n">
        <v>1052</v>
      </c>
      <c r="AA595" t="n">
        <v>1435</v>
      </c>
      <c r="AB595" t="n">
        <v>9</v>
      </c>
      <c r="AC595" t="n">
        <v>13</v>
      </c>
      <c r="AD595" t="n">
        <v>40</v>
      </c>
      <c r="AE595" t="n">
        <v>46</v>
      </c>
      <c r="AF595" t="n">
        <v>17</v>
      </c>
      <c r="AG595" t="n">
        <v>18</v>
      </c>
      <c r="AH595" t="n">
        <v>7</v>
      </c>
      <c r="AI595" t="n">
        <v>7</v>
      </c>
      <c r="AJ595" t="n">
        <v>16</v>
      </c>
      <c r="AK595" t="n">
        <v>17</v>
      </c>
      <c r="AL595" t="n">
        <v>7</v>
      </c>
      <c r="AM595" t="n">
        <v>11</v>
      </c>
      <c r="AN595" t="n">
        <v>1</v>
      </c>
      <c r="AO595" t="n">
        <v>1</v>
      </c>
      <c r="AP595" t="inlineStr">
        <is>
          <t>No</t>
        </is>
      </c>
      <c r="AQ595" t="inlineStr">
        <is>
          <t>Yes</t>
        </is>
      </c>
      <c r="AR595">
        <f>HYPERLINK("http://catalog.hathitrust.org/Record/004073982","HathiTrust Record")</f>
        <v/>
      </c>
      <c r="AS595">
        <f>HYPERLINK("https://creighton-primo.hosted.exlibrisgroup.com/primo-explore/search?tab=default_tab&amp;search_scope=EVERYTHING&amp;vid=01CRU&amp;lang=en_US&amp;offset=0&amp;query=any,contains,991003197939702656","Catalog Record")</f>
        <v/>
      </c>
      <c r="AT595">
        <f>HYPERLINK("http://www.worldcat.org/oclc/43398620","WorldCat Record")</f>
        <v/>
      </c>
      <c r="AU595" t="inlineStr">
        <is>
          <t>20576637:eng</t>
        </is>
      </c>
      <c r="AV595" t="inlineStr">
        <is>
          <t>43398620</t>
        </is>
      </c>
      <c r="AW595" t="inlineStr">
        <is>
          <t>991003197939702656</t>
        </is>
      </c>
      <c r="AX595" t="inlineStr">
        <is>
          <t>991003197939702656</t>
        </is>
      </c>
      <c r="AY595" t="inlineStr">
        <is>
          <t>2262736870002656</t>
        </is>
      </c>
      <c r="AZ595" t="inlineStr">
        <is>
          <t>BOOK</t>
        </is>
      </c>
      <c r="BB595" t="inlineStr">
        <is>
          <t>9780738202570</t>
        </is>
      </c>
      <c r="BC595" t="inlineStr">
        <is>
          <t>32285003713509</t>
        </is>
      </c>
      <c r="BD595" t="inlineStr">
        <is>
          <t>893352723</t>
        </is>
      </c>
    </row>
    <row r="596">
      <c r="A596" t="inlineStr">
        <is>
          <t>No</t>
        </is>
      </c>
      <c r="B596" t="inlineStr">
        <is>
          <t>LB1131 .B3219 1982</t>
        </is>
      </c>
      <c r="C596" t="inlineStr">
        <is>
          <t>0                      LB 1131000B  3219        1982</t>
        </is>
      </c>
      <c r="D596" t="inlineStr">
        <is>
          <t>Preschool screening : the measurement and prediction of children at-risk / by Keith E. Barnes.</t>
        </is>
      </c>
      <c r="F596" t="inlineStr">
        <is>
          <t>No</t>
        </is>
      </c>
      <c r="G596" t="inlineStr">
        <is>
          <t>1</t>
        </is>
      </c>
      <c r="H596" t="inlineStr">
        <is>
          <t>No</t>
        </is>
      </c>
      <c r="I596" t="inlineStr">
        <is>
          <t>No</t>
        </is>
      </c>
      <c r="J596" t="inlineStr">
        <is>
          <t>0</t>
        </is>
      </c>
      <c r="K596" t="inlineStr">
        <is>
          <t>Barnes, Keith E.</t>
        </is>
      </c>
      <c r="L596" t="inlineStr">
        <is>
          <t>Springfield, Ill. : Thomas, c1982.</t>
        </is>
      </c>
      <c r="M596" t="inlineStr">
        <is>
          <t>1982</t>
        </is>
      </c>
      <c r="O596" t="inlineStr">
        <is>
          <t>eng</t>
        </is>
      </c>
      <c r="P596" t="inlineStr">
        <is>
          <t>ilu</t>
        </is>
      </c>
      <c r="R596" t="inlineStr">
        <is>
          <t xml:space="preserve">LB </t>
        </is>
      </c>
      <c r="S596" t="n">
        <v>3</v>
      </c>
      <c r="T596" t="n">
        <v>3</v>
      </c>
      <c r="U596" t="inlineStr">
        <is>
          <t>2001-04-09</t>
        </is>
      </c>
      <c r="V596" t="inlineStr">
        <is>
          <t>2001-04-09</t>
        </is>
      </c>
      <c r="W596" t="inlineStr">
        <is>
          <t>1993-01-15</t>
        </is>
      </c>
      <c r="X596" t="inlineStr">
        <is>
          <t>1993-01-15</t>
        </is>
      </c>
      <c r="Y596" t="n">
        <v>282</v>
      </c>
      <c r="Z596" t="n">
        <v>245</v>
      </c>
      <c r="AA596" t="n">
        <v>247</v>
      </c>
      <c r="AB596" t="n">
        <v>2</v>
      </c>
      <c r="AC596" t="n">
        <v>2</v>
      </c>
      <c r="AD596" t="n">
        <v>5</v>
      </c>
      <c r="AE596" t="n">
        <v>5</v>
      </c>
      <c r="AF596" t="n">
        <v>3</v>
      </c>
      <c r="AG596" t="n">
        <v>3</v>
      </c>
      <c r="AH596" t="n">
        <v>0</v>
      </c>
      <c r="AI596" t="n">
        <v>0</v>
      </c>
      <c r="AJ596" t="n">
        <v>3</v>
      </c>
      <c r="AK596" t="n">
        <v>3</v>
      </c>
      <c r="AL596" t="n">
        <v>1</v>
      </c>
      <c r="AM596" t="n">
        <v>1</v>
      </c>
      <c r="AN596" t="n">
        <v>0</v>
      </c>
      <c r="AO596" t="n">
        <v>0</v>
      </c>
      <c r="AP596" t="inlineStr">
        <is>
          <t>No</t>
        </is>
      </c>
      <c r="AQ596" t="inlineStr">
        <is>
          <t>Yes</t>
        </is>
      </c>
      <c r="AR596">
        <f>HYPERLINK("http://catalog.hathitrust.org/Record/000271888","HathiTrust Record")</f>
        <v/>
      </c>
      <c r="AS596">
        <f>HYPERLINK("https://creighton-primo.hosted.exlibrisgroup.com/primo-explore/search?tab=default_tab&amp;search_scope=EVERYTHING&amp;vid=01CRU&amp;lang=en_US&amp;offset=0&amp;query=any,contains,991005195079702656","Catalog Record")</f>
        <v/>
      </c>
      <c r="AT596">
        <f>HYPERLINK("http://www.worldcat.org/oclc/8034591","WorldCat Record")</f>
        <v/>
      </c>
      <c r="AU596" t="inlineStr">
        <is>
          <t>252131536:eng</t>
        </is>
      </c>
      <c r="AV596" t="inlineStr">
        <is>
          <t>8034591</t>
        </is>
      </c>
      <c r="AW596" t="inlineStr">
        <is>
          <t>991005195079702656</t>
        </is>
      </c>
      <c r="AX596" t="inlineStr">
        <is>
          <t>991005195079702656</t>
        </is>
      </c>
      <c r="AY596" t="inlineStr">
        <is>
          <t>2267059820002656</t>
        </is>
      </c>
      <c r="AZ596" t="inlineStr">
        <is>
          <t>BOOK</t>
        </is>
      </c>
      <c r="BB596" t="inlineStr">
        <is>
          <t>9780398046682</t>
        </is>
      </c>
      <c r="BC596" t="inlineStr">
        <is>
          <t>32285001475382</t>
        </is>
      </c>
      <c r="BD596" t="inlineStr">
        <is>
          <t>893514214</t>
        </is>
      </c>
    </row>
    <row r="597">
      <c r="A597" t="inlineStr">
        <is>
          <t>No</t>
        </is>
      </c>
      <c r="B597" t="inlineStr">
        <is>
          <t>LB1131 .B4 1980</t>
        </is>
      </c>
      <c r="C597" t="inlineStr">
        <is>
          <t>0                      LB 1131000B  4           1980</t>
        </is>
      </c>
      <c r="D597" t="inlineStr">
        <is>
          <t>The development of intelligence in children / by Alfred Binet and Theodore Simon ; with marginal notes by Lewis M. Terman ; new preface by Lloyd M. Dunn.</t>
        </is>
      </c>
      <c r="F597" t="inlineStr">
        <is>
          <t>No</t>
        </is>
      </c>
      <c r="G597" t="inlineStr">
        <is>
          <t>1</t>
        </is>
      </c>
      <c r="H597" t="inlineStr">
        <is>
          <t>No</t>
        </is>
      </c>
      <c r="I597" t="inlineStr">
        <is>
          <t>No</t>
        </is>
      </c>
      <c r="J597" t="inlineStr">
        <is>
          <t>0</t>
        </is>
      </c>
      <c r="K597" t="inlineStr">
        <is>
          <t>Binet, Alfred, 1857-1911.</t>
        </is>
      </c>
      <c r="L597" t="inlineStr">
        <is>
          <t>Nashville, Tenn. : Williams Printing Co., c1980.</t>
        </is>
      </c>
      <c r="M597" t="inlineStr">
        <is>
          <t>1980</t>
        </is>
      </c>
      <c r="N597" t="inlineStr">
        <is>
          <t>Limited ed.</t>
        </is>
      </c>
      <c r="O597" t="inlineStr">
        <is>
          <t>eng</t>
        </is>
      </c>
      <c r="P597" t="inlineStr">
        <is>
          <t>tnu</t>
        </is>
      </c>
      <c r="R597" t="inlineStr">
        <is>
          <t xml:space="preserve">LB </t>
        </is>
      </c>
      <c r="S597" t="n">
        <v>2</v>
      </c>
      <c r="T597" t="n">
        <v>2</v>
      </c>
      <c r="U597" t="inlineStr">
        <is>
          <t>1997-02-23</t>
        </is>
      </c>
      <c r="V597" t="inlineStr">
        <is>
          <t>1997-02-23</t>
        </is>
      </c>
      <c r="W597" t="inlineStr">
        <is>
          <t>1990-06-12</t>
        </is>
      </c>
      <c r="X597" t="inlineStr">
        <is>
          <t>1990-06-12</t>
        </is>
      </c>
      <c r="Y597" t="n">
        <v>917</v>
      </c>
      <c r="Z597" t="n">
        <v>889</v>
      </c>
      <c r="AA597" t="n">
        <v>956</v>
      </c>
      <c r="AB597" t="n">
        <v>4</v>
      </c>
      <c r="AC597" t="n">
        <v>5</v>
      </c>
      <c r="AD597" t="n">
        <v>33</v>
      </c>
      <c r="AE597" t="n">
        <v>35</v>
      </c>
      <c r="AF597" t="n">
        <v>17</v>
      </c>
      <c r="AG597" t="n">
        <v>18</v>
      </c>
      <c r="AH597" t="n">
        <v>5</v>
      </c>
      <c r="AI597" t="n">
        <v>5</v>
      </c>
      <c r="AJ597" t="n">
        <v>16</v>
      </c>
      <c r="AK597" t="n">
        <v>17</v>
      </c>
      <c r="AL597" t="n">
        <v>2</v>
      </c>
      <c r="AM597" t="n">
        <v>3</v>
      </c>
      <c r="AN597" t="n">
        <v>0</v>
      </c>
      <c r="AO597" t="n">
        <v>0</v>
      </c>
      <c r="AP597" t="inlineStr">
        <is>
          <t>No</t>
        </is>
      </c>
      <c r="AQ597" t="inlineStr">
        <is>
          <t>Yes</t>
        </is>
      </c>
      <c r="AR597">
        <f>HYPERLINK("http://catalog.hathitrust.org/Record/000593597","HathiTrust Record")</f>
        <v/>
      </c>
      <c r="AS597">
        <f>HYPERLINK("https://creighton-primo.hosted.exlibrisgroup.com/primo-explore/search?tab=default_tab&amp;search_scope=EVERYTHING&amp;vid=01CRU&amp;lang=en_US&amp;offset=0&amp;query=any,contains,991000169279702656","Catalog Record")</f>
        <v/>
      </c>
      <c r="AT597">
        <f>HYPERLINK("http://www.worldcat.org/oclc/9322523","WorldCat Record")</f>
        <v/>
      </c>
      <c r="AU597" t="inlineStr">
        <is>
          <t>5090388770:eng</t>
        </is>
      </c>
      <c r="AV597" t="inlineStr">
        <is>
          <t>9322523</t>
        </is>
      </c>
      <c r="AW597" t="inlineStr">
        <is>
          <t>991000169279702656</t>
        </is>
      </c>
      <c r="AX597" t="inlineStr">
        <is>
          <t>991000169279702656</t>
        </is>
      </c>
      <c r="AY597" t="inlineStr">
        <is>
          <t>2258048890002656</t>
        </is>
      </c>
      <c r="AZ597" t="inlineStr">
        <is>
          <t>BOOK</t>
        </is>
      </c>
      <c r="BC597" t="inlineStr">
        <is>
          <t>32285000190180</t>
        </is>
      </c>
      <c r="BD597" t="inlineStr">
        <is>
          <t>893884195</t>
        </is>
      </c>
    </row>
    <row r="598">
      <c r="A598" t="inlineStr">
        <is>
          <t>No</t>
        </is>
      </c>
      <c r="B598" t="inlineStr">
        <is>
          <t>LB1131 .M59</t>
        </is>
      </c>
      <c r="C598" t="inlineStr">
        <is>
          <t>0                      LB 1131000M  59</t>
        </is>
      </c>
      <c r="D598" t="inlineStr">
        <is>
          <t>Beyond facts : objective ways to measure thinking / Harry G. Miller, Reed G. Williams, Thomas M. Haladyna.</t>
        </is>
      </c>
      <c r="F598" t="inlineStr">
        <is>
          <t>No</t>
        </is>
      </c>
      <c r="G598" t="inlineStr">
        <is>
          <t>1</t>
        </is>
      </c>
      <c r="H598" t="inlineStr">
        <is>
          <t>No</t>
        </is>
      </c>
      <c r="I598" t="inlineStr">
        <is>
          <t>No</t>
        </is>
      </c>
      <c r="J598" t="inlineStr">
        <is>
          <t>0</t>
        </is>
      </c>
      <c r="K598" t="inlineStr">
        <is>
          <t>Miller, Harry G., 1941-</t>
        </is>
      </c>
      <c r="L598" t="inlineStr">
        <is>
          <t>Englewood Cliffs, N.J. : Educational Technology Publications, [1978]</t>
        </is>
      </c>
      <c r="M598" t="inlineStr">
        <is>
          <t>1978</t>
        </is>
      </c>
      <c r="O598" t="inlineStr">
        <is>
          <t>eng</t>
        </is>
      </c>
      <c r="P598" t="inlineStr">
        <is>
          <t>nju</t>
        </is>
      </c>
      <c r="R598" t="inlineStr">
        <is>
          <t xml:space="preserve">LB </t>
        </is>
      </c>
      <c r="S598" t="n">
        <v>8</v>
      </c>
      <c r="T598" t="n">
        <v>8</v>
      </c>
      <c r="U598" t="inlineStr">
        <is>
          <t>2000-02-18</t>
        </is>
      </c>
      <c r="V598" t="inlineStr">
        <is>
          <t>2000-02-18</t>
        </is>
      </c>
      <c r="W598" t="inlineStr">
        <is>
          <t>1993-01-15</t>
        </is>
      </c>
      <c r="X598" t="inlineStr">
        <is>
          <t>1993-01-15</t>
        </is>
      </c>
      <c r="Y598" t="n">
        <v>244</v>
      </c>
      <c r="Z598" t="n">
        <v>187</v>
      </c>
      <c r="AA598" t="n">
        <v>187</v>
      </c>
      <c r="AB598" t="n">
        <v>2</v>
      </c>
      <c r="AC598" t="n">
        <v>2</v>
      </c>
      <c r="AD598" t="n">
        <v>6</v>
      </c>
      <c r="AE598" t="n">
        <v>6</v>
      </c>
      <c r="AF598" t="n">
        <v>1</v>
      </c>
      <c r="AG598" t="n">
        <v>1</v>
      </c>
      <c r="AH598" t="n">
        <v>2</v>
      </c>
      <c r="AI598" t="n">
        <v>2</v>
      </c>
      <c r="AJ598" t="n">
        <v>4</v>
      </c>
      <c r="AK598" t="n">
        <v>4</v>
      </c>
      <c r="AL598" t="n">
        <v>0</v>
      </c>
      <c r="AM598" t="n">
        <v>0</v>
      </c>
      <c r="AN598" t="n">
        <v>0</v>
      </c>
      <c r="AO598" t="n">
        <v>0</v>
      </c>
      <c r="AP598" t="inlineStr">
        <is>
          <t>No</t>
        </is>
      </c>
      <c r="AQ598" t="inlineStr">
        <is>
          <t>No</t>
        </is>
      </c>
      <c r="AS598">
        <f>HYPERLINK("https://creighton-primo.hosted.exlibrisgroup.com/primo-explore/search?tab=default_tab&amp;search_scope=EVERYTHING&amp;vid=01CRU&amp;lang=en_US&amp;offset=0&amp;query=any,contains,991005371929702656","Catalog Record")</f>
        <v/>
      </c>
      <c r="AT598">
        <f>HYPERLINK("http://www.worldcat.org/oclc/4003467","WorldCat Record")</f>
        <v/>
      </c>
      <c r="AU598" t="inlineStr">
        <is>
          <t>293385131:eng</t>
        </is>
      </c>
      <c r="AV598" t="inlineStr">
        <is>
          <t>4003467</t>
        </is>
      </c>
      <c r="AW598" t="inlineStr">
        <is>
          <t>991005371929702656</t>
        </is>
      </c>
      <c r="AX598" t="inlineStr">
        <is>
          <t>991005371929702656</t>
        </is>
      </c>
      <c r="AY598" t="inlineStr">
        <is>
          <t>2267650610002656</t>
        </is>
      </c>
      <c r="AZ598" t="inlineStr">
        <is>
          <t>BOOK</t>
        </is>
      </c>
      <c r="BB598" t="inlineStr">
        <is>
          <t>9780877781295</t>
        </is>
      </c>
      <c r="BC598" t="inlineStr">
        <is>
          <t>32285001475408</t>
        </is>
      </c>
      <c r="BD598" t="inlineStr">
        <is>
          <t>893594951</t>
        </is>
      </c>
    </row>
    <row r="599">
      <c r="A599" t="inlineStr">
        <is>
          <t>No</t>
        </is>
      </c>
      <c r="B599" t="inlineStr">
        <is>
          <t>LB1131 .N6 1991</t>
        </is>
      </c>
      <c r="C599" t="inlineStr">
        <is>
          <t>0                      LB 1131000N  6           1991</t>
        </is>
      </c>
      <c r="D599" t="inlineStr">
        <is>
          <t>Predicting college grades from ACT assessment scores and high school course work and grade information / Julie P. Noble.</t>
        </is>
      </c>
      <c r="F599" t="inlineStr">
        <is>
          <t>No</t>
        </is>
      </c>
      <c r="G599" t="inlineStr">
        <is>
          <t>1</t>
        </is>
      </c>
      <c r="H599" t="inlineStr">
        <is>
          <t>No</t>
        </is>
      </c>
      <c r="I599" t="inlineStr">
        <is>
          <t>No</t>
        </is>
      </c>
      <c r="J599" t="inlineStr">
        <is>
          <t>0</t>
        </is>
      </c>
      <c r="K599" t="inlineStr">
        <is>
          <t>Noble, Julie.</t>
        </is>
      </c>
      <c r="L599" t="inlineStr">
        <is>
          <t>Iowa City : American College Testing Program, 1991.</t>
        </is>
      </c>
      <c r="M599" t="inlineStr">
        <is>
          <t>1991</t>
        </is>
      </c>
      <c r="O599" t="inlineStr">
        <is>
          <t>eng</t>
        </is>
      </c>
      <c r="P599" t="inlineStr">
        <is>
          <t>iau</t>
        </is>
      </c>
      <c r="Q599" t="inlineStr">
        <is>
          <t>ACT research report ; no. 91-3</t>
        </is>
      </c>
      <c r="R599" t="inlineStr">
        <is>
          <t xml:space="preserve">LB </t>
        </is>
      </c>
      <c r="S599" t="n">
        <v>8</v>
      </c>
      <c r="T599" t="n">
        <v>8</v>
      </c>
      <c r="U599" t="inlineStr">
        <is>
          <t>2008-05-29</t>
        </is>
      </c>
      <c r="V599" t="inlineStr">
        <is>
          <t>2008-05-29</t>
        </is>
      </c>
      <c r="W599" t="inlineStr">
        <is>
          <t>1992-05-26</t>
        </is>
      </c>
      <c r="X599" t="inlineStr">
        <is>
          <t>1992-05-26</t>
        </is>
      </c>
      <c r="Y599" t="n">
        <v>60</v>
      </c>
      <c r="Z599" t="n">
        <v>56</v>
      </c>
      <c r="AA599" t="n">
        <v>59</v>
      </c>
      <c r="AB599" t="n">
        <v>1</v>
      </c>
      <c r="AC599" t="n">
        <v>1</v>
      </c>
      <c r="AD599" t="n">
        <v>1</v>
      </c>
      <c r="AE599" t="n">
        <v>1</v>
      </c>
      <c r="AF599" t="n">
        <v>0</v>
      </c>
      <c r="AG599" t="n">
        <v>0</v>
      </c>
      <c r="AH599" t="n">
        <v>0</v>
      </c>
      <c r="AI599" t="n">
        <v>0</v>
      </c>
      <c r="AJ599" t="n">
        <v>1</v>
      </c>
      <c r="AK599" t="n">
        <v>1</v>
      </c>
      <c r="AL599" t="n">
        <v>0</v>
      </c>
      <c r="AM599" t="n">
        <v>0</v>
      </c>
      <c r="AN599" t="n">
        <v>0</v>
      </c>
      <c r="AO599" t="n">
        <v>0</v>
      </c>
      <c r="AP599" t="inlineStr">
        <is>
          <t>No</t>
        </is>
      </c>
      <c r="AQ599" t="inlineStr">
        <is>
          <t>No</t>
        </is>
      </c>
      <c r="AS599">
        <f>HYPERLINK("https://creighton-primo.hosted.exlibrisgroup.com/primo-explore/search?tab=default_tab&amp;search_scope=EVERYTHING&amp;vid=01CRU&amp;lang=en_US&amp;offset=0&amp;query=any,contains,991002025409702656","Catalog Record")</f>
        <v/>
      </c>
      <c r="AT599">
        <f>HYPERLINK("http://www.worldcat.org/oclc/25778162","WorldCat Record")</f>
        <v/>
      </c>
      <c r="AU599" t="inlineStr">
        <is>
          <t>28707016:eng</t>
        </is>
      </c>
      <c r="AV599" t="inlineStr">
        <is>
          <t>25778162</t>
        </is>
      </c>
      <c r="AW599" t="inlineStr">
        <is>
          <t>991002025409702656</t>
        </is>
      </c>
      <c r="AX599" t="inlineStr">
        <is>
          <t>991002025409702656</t>
        </is>
      </c>
      <c r="AY599" t="inlineStr">
        <is>
          <t>2263703120002656</t>
        </is>
      </c>
      <c r="AZ599" t="inlineStr">
        <is>
          <t>BOOK</t>
        </is>
      </c>
      <c r="BC599" t="inlineStr">
        <is>
          <t>32285001122950</t>
        </is>
      </c>
      <c r="BD599" t="inlineStr">
        <is>
          <t>893534806</t>
        </is>
      </c>
    </row>
    <row r="600">
      <c r="A600" t="inlineStr">
        <is>
          <t>No</t>
        </is>
      </c>
      <c r="B600" t="inlineStr">
        <is>
          <t>LB1131 .N63 2000</t>
        </is>
      </c>
      <c r="C600" t="inlineStr">
        <is>
          <t>0                      LB 1131000N  63          2000</t>
        </is>
      </c>
      <c r="D600" t="inlineStr">
        <is>
          <t>Effects of differential prediction in college admissions for traditional- and nontraditional-aged students / Julie Noble.</t>
        </is>
      </c>
      <c r="F600" t="inlineStr">
        <is>
          <t>No</t>
        </is>
      </c>
      <c r="G600" t="inlineStr">
        <is>
          <t>1</t>
        </is>
      </c>
      <c r="H600" t="inlineStr">
        <is>
          <t>No</t>
        </is>
      </c>
      <c r="I600" t="inlineStr">
        <is>
          <t>No</t>
        </is>
      </c>
      <c r="J600" t="inlineStr">
        <is>
          <t>0</t>
        </is>
      </c>
      <c r="K600" t="inlineStr">
        <is>
          <t>Noble, Julie.</t>
        </is>
      </c>
      <c r="L600" t="inlineStr">
        <is>
          <t>Iowa City, Iowa : ACT, Inc., c2000.</t>
        </is>
      </c>
      <c r="M600" t="inlineStr">
        <is>
          <t>2000</t>
        </is>
      </c>
      <c r="O600" t="inlineStr">
        <is>
          <t>eng</t>
        </is>
      </c>
      <c r="P600" t="inlineStr">
        <is>
          <t>iau</t>
        </is>
      </c>
      <c r="Q600" t="inlineStr">
        <is>
          <t>ACT research report series ; 2000-9</t>
        </is>
      </c>
      <c r="R600" t="inlineStr">
        <is>
          <t xml:space="preserve">LB </t>
        </is>
      </c>
      <c r="S600" t="n">
        <v>2</v>
      </c>
      <c r="T600" t="n">
        <v>2</v>
      </c>
      <c r="U600" t="inlineStr">
        <is>
          <t>2001-05-16</t>
        </is>
      </c>
      <c r="V600" t="inlineStr">
        <is>
          <t>2001-05-16</t>
        </is>
      </c>
      <c r="W600" t="inlineStr">
        <is>
          <t>2001-04-04</t>
        </is>
      </c>
      <c r="X600" t="inlineStr">
        <is>
          <t>2001-04-04</t>
        </is>
      </c>
      <c r="Y600" t="n">
        <v>66</v>
      </c>
      <c r="Z600" t="n">
        <v>61</v>
      </c>
      <c r="AA600" t="n">
        <v>62</v>
      </c>
      <c r="AB600" t="n">
        <v>1</v>
      </c>
      <c r="AC600" t="n">
        <v>1</v>
      </c>
      <c r="AD600" t="n">
        <v>1</v>
      </c>
      <c r="AE600" t="n">
        <v>1</v>
      </c>
      <c r="AF600" t="n">
        <v>0</v>
      </c>
      <c r="AG600" t="n">
        <v>0</v>
      </c>
      <c r="AH600" t="n">
        <v>0</v>
      </c>
      <c r="AI600" t="n">
        <v>0</v>
      </c>
      <c r="AJ600" t="n">
        <v>1</v>
      </c>
      <c r="AK600" t="n">
        <v>1</v>
      </c>
      <c r="AL600" t="n">
        <v>0</v>
      </c>
      <c r="AM600" t="n">
        <v>0</v>
      </c>
      <c r="AN600" t="n">
        <v>0</v>
      </c>
      <c r="AO600" t="n">
        <v>0</v>
      </c>
      <c r="AP600" t="inlineStr">
        <is>
          <t>No</t>
        </is>
      </c>
      <c r="AQ600" t="inlineStr">
        <is>
          <t>No</t>
        </is>
      </c>
      <c r="AS600">
        <f>HYPERLINK("https://creighton-primo.hosted.exlibrisgroup.com/primo-explore/search?tab=default_tab&amp;search_scope=EVERYTHING&amp;vid=01CRU&amp;lang=en_US&amp;offset=0&amp;query=any,contains,991003518869702656","Catalog Record")</f>
        <v/>
      </c>
      <c r="AT600">
        <f>HYPERLINK("http://www.worldcat.org/oclc/46390987","WorldCat Record")</f>
        <v/>
      </c>
      <c r="AU600" t="inlineStr">
        <is>
          <t>35857340:eng</t>
        </is>
      </c>
      <c r="AV600" t="inlineStr">
        <is>
          <t>46390987</t>
        </is>
      </c>
      <c r="AW600" t="inlineStr">
        <is>
          <t>991003518869702656</t>
        </is>
      </c>
      <c r="AX600" t="inlineStr">
        <is>
          <t>991003518869702656</t>
        </is>
      </c>
      <c r="AY600" t="inlineStr">
        <is>
          <t>2266560510002656</t>
        </is>
      </c>
      <c r="AZ600" t="inlineStr">
        <is>
          <t>BOOK</t>
        </is>
      </c>
      <c r="BC600" t="inlineStr">
        <is>
          <t>32285004310016</t>
        </is>
      </c>
      <c r="BD600" t="inlineStr">
        <is>
          <t>893512038</t>
        </is>
      </c>
    </row>
    <row r="601">
      <c r="A601" t="inlineStr">
        <is>
          <t>No</t>
        </is>
      </c>
      <c r="B601" t="inlineStr">
        <is>
          <t>LB1131 .T274 1984</t>
        </is>
      </c>
      <c r="C601" t="inlineStr">
        <is>
          <t>0                      LB 1131000T  274         1984</t>
        </is>
      </c>
      <c r="D601" t="inlineStr">
        <is>
          <t>Assessment of exceptional students : educational and psychological procedures / Ronald L. Taylor.</t>
        </is>
      </c>
      <c r="F601" t="inlineStr">
        <is>
          <t>No</t>
        </is>
      </c>
      <c r="G601" t="inlineStr">
        <is>
          <t>1</t>
        </is>
      </c>
      <c r="H601" t="inlineStr">
        <is>
          <t>No</t>
        </is>
      </c>
      <c r="I601" t="inlineStr">
        <is>
          <t>No</t>
        </is>
      </c>
      <c r="J601" t="inlineStr">
        <is>
          <t>0</t>
        </is>
      </c>
      <c r="K601" t="inlineStr">
        <is>
          <t>Taylor, Ronald L., 1949-</t>
        </is>
      </c>
      <c r="L601" t="inlineStr">
        <is>
          <t>Englewood Cliffs, N.J. : Prentice-Hall, c1984.</t>
        </is>
      </c>
      <c r="M601" t="inlineStr">
        <is>
          <t>1984</t>
        </is>
      </c>
      <c r="O601" t="inlineStr">
        <is>
          <t>eng</t>
        </is>
      </c>
      <c r="P601" t="inlineStr">
        <is>
          <t>nju</t>
        </is>
      </c>
      <c r="R601" t="inlineStr">
        <is>
          <t xml:space="preserve">LB </t>
        </is>
      </c>
      <c r="S601" t="n">
        <v>9</v>
      </c>
      <c r="T601" t="n">
        <v>9</v>
      </c>
      <c r="U601" t="inlineStr">
        <is>
          <t>1996-11-16</t>
        </is>
      </c>
      <c r="V601" t="inlineStr">
        <is>
          <t>1996-11-16</t>
        </is>
      </c>
      <c r="W601" t="inlineStr">
        <is>
          <t>1993-01-15</t>
        </is>
      </c>
      <c r="X601" t="inlineStr">
        <is>
          <t>1993-01-15</t>
        </is>
      </c>
      <c r="Y601" t="n">
        <v>301</v>
      </c>
      <c r="Z601" t="n">
        <v>235</v>
      </c>
      <c r="AA601" t="n">
        <v>625</v>
      </c>
      <c r="AB601" t="n">
        <v>2</v>
      </c>
      <c r="AC601" t="n">
        <v>6</v>
      </c>
      <c r="AD601" t="n">
        <v>8</v>
      </c>
      <c r="AE601" t="n">
        <v>31</v>
      </c>
      <c r="AF601" t="n">
        <v>3</v>
      </c>
      <c r="AG601" t="n">
        <v>13</v>
      </c>
      <c r="AH601" t="n">
        <v>2</v>
      </c>
      <c r="AI601" t="n">
        <v>5</v>
      </c>
      <c r="AJ601" t="n">
        <v>5</v>
      </c>
      <c r="AK601" t="n">
        <v>14</v>
      </c>
      <c r="AL601" t="n">
        <v>1</v>
      </c>
      <c r="AM601" t="n">
        <v>5</v>
      </c>
      <c r="AN601" t="n">
        <v>0</v>
      </c>
      <c r="AO601" t="n">
        <v>0</v>
      </c>
      <c r="AP601" t="inlineStr">
        <is>
          <t>No</t>
        </is>
      </c>
      <c r="AQ601" t="inlineStr">
        <is>
          <t>Yes</t>
        </is>
      </c>
      <c r="AR601">
        <f>HYPERLINK("http://catalog.hathitrust.org/Record/000323379","HathiTrust Record")</f>
        <v/>
      </c>
      <c r="AS601">
        <f>HYPERLINK("https://creighton-primo.hosted.exlibrisgroup.com/primo-explore/search?tab=default_tab&amp;search_scope=EVERYTHING&amp;vid=01CRU&amp;lang=en_US&amp;offset=0&amp;query=any,contains,991000219749702656","Catalog Record")</f>
        <v/>
      </c>
      <c r="AT601">
        <f>HYPERLINK("http://www.worldcat.org/oclc/9575647","WorldCat Record")</f>
        <v/>
      </c>
      <c r="AU601" t="inlineStr">
        <is>
          <t>799648:eng</t>
        </is>
      </c>
      <c r="AV601" t="inlineStr">
        <is>
          <t>9575647</t>
        </is>
      </c>
      <c r="AW601" t="inlineStr">
        <is>
          <t>991000219749702656</t>
        </is>
      </c>
      <c r="AX601" t="inlineStr">
        <is>
          <t>991000219749702656</t>
        </is>
      </c>
      <c r="AY601" t="inlineStr">
        <is>
          <t>2266995060002656</t>
        </is>
      </c>
      <c r="AZ601" t="inlineStr">
        <is>
          <t>BOOK</t>
        </is>
      </c>
      <c r="BB601" t="inlineStr">
        <is>
          <t>9780130496843</t>
        </is>
      </c>
      <c r="BC601" t="inlineStr">
        <is>
          <t>32285001475457</t>
        </is>
      </c>
      <c r="BD601" t="inlineStr">
        <is>
          <t>893683252</t>
        </is>
      </c>
    </row>
    <row r="602">
      <c r="A602" t="inlineStr">
        <is>
          <t>No</t>
        </is>
      </c>
      <c r="B602" t="inlineStr">
        <is>
          <t>LB1131 .T59 1961</t>
        </is>
      </c>
      <c r="C602" t="inlineStr">
        <is>
          <t>0                      LB 1131000T  59          1961</t>
        </is>
      </c>
      <c r="D602" t="inlineStr">
        <is>
          <t>Measurement and evaluation in psychology and education / [by] Robert L. Thorndike [and] Elizabeth Hagen.</t>
        </is>
      </c>
      <c r="F602" t="inlineStr">
        <is>
          <t>No</t>
        </is>
      </c>
      <c r="G602" t="inlineStr">
        <is>
          <t>1</t>
        </is>
      </c>
      <c r="H602" t="inlineStr">
        <is>
          <t>No</t>
        </is>
      </c>
      <c r="I602" t="inlineStr">
        <is>
          <t>Yes</t>
        </is>
      </c>
      <c r="J602" t="inlineStr">
        <is>
          <t>0</t>
        </is>
      </c>
      <c r="K602" t="inlineStr">
        <is>
          <t>Thorndike, Robert L. (Robert Ladd), 1910-1990.</t>
        </is>
      </c>
      <c r="L602" t="inlineStr">
        <is>
          <t>New York : Wiley, [1961]</t>
        </is>
      </c>
      <c r="M602" t="inlineStr">
        <is>
          <t>1961</t>
        </is>
      </c>
      <c r="N602" t="inlineStr">
        <is>
          <t>2d ed.</t>
        </is>
      </c>
      <c r="O602" t="inlineStr">
        <is>
          <t>eng</t>
        </is>
      </c>
      <c r="P602" t="inlineStr">
        <is>
          <t>nyu</t>
        </is>
      </c>
      <c r="R602" t="inlineStr">
        <is>
          <t xml:space="preserve">LB </t>
        </is>
      </c>
      <c r="S602" t="n">
        <v>3</v>
      </c>
      <c r="T602" t="n">
        <v>3</v>
      </c>
      <c r="U602" t="inlineStr">
        <is>
          <t>1995-02-02</t>
        </is>
      </c>
      <c r="V602" t="inlineStr">
        <is>
          <t>1995-02-02</t>
        </is>
      </c>
      <c r="W602" t="inlineStr">
        <is>
          <t>1991-10-25</t>
        </is>
      </c>
      <c r="X602" t="inlineStr">
        <is>
          <t>1991-10-25</t>
        </is>
      </c>
      <c r="Y602" t="n">
        <v>497</v>
      </c>
      <c r="Z602" t="n">
        <v>398</v>
      </c>
      <c r="AA602" t="n">
        <v>901</v>
      </c>
      <c r="AB602" t="n">
        <v>4</v>
      </c>
      <c r="AC602" t="n">
        <v>9</v>
      </c>
      <c r="AD602" t="n">
        <v>12</v>
      </c>
      <c r="AE602" t="n">
        <v>31</v>
      </c>
      <c r="AF602" t="n">
        <v>2</v>
      </c>
      <c r="AG602" t="n">
        <v>9</v>
      </c>
      <c r="AH602" t="n">
        <v>4</v>
      </c>
      <c r="AI602" t="n">
        <v>7</v>
      </c>
      <c r="AJ602" t="n">
        <v>5</v>
      </c>
      <c r="AK602" t="n">
        <v>14</v>
      </c>
      <c r="AL602" t="n">
        <v>3</v>
      </c>
      <c r="AM602" t="n">
        <v>6</v>
      </c>
      <c r="AN602" t="n">
        <v>0</v>
      </c>
      <c r="AO602" t="n">
        <v>0</v>
      </c>
      <c r="AP602" t="inlineStr">
        <is>
          <t>No</t>
        </is>
      </c>
      <c r="AQ602" t="inlineStr">
        <is>
          <t>Yes</t>
        </is>
      </c>
      <c r="AR602">
        <f>HYPERLINK("http://catalog.hathitrust.org/Record/001287676","HathiTrust Record")</f>
        <v/>
      </c>
      <c r="AS602">
        <f>HYPERLINK("https://creighton-primo.hosted.exlibrisgroup.com/primo-explore/search?tab=default_tab&amp;search_scope=EVERYTHING&amp;vid=01CRU&amp;lang=en_US&amp;offset=0&amp;query=any,contains,991001110379702656","Catalog Record")</f>
        <v/>
      </c>
      <c r="AT602">
        <f>HYPERLINK("http://www.worldcat.org/oclc/183908","WorldCat Record")</f>
        <v/>
      </c>
      <c r="AU602" t="inlineStr">
        <is>
          <t>373941251:eng</t>
        </is>
      </c>
      <c r="AV602" t="inlineStr">
        <is>
          <t>183908</t>
        </is>
      </c>
      <c r="AW602" t="inlineStr">
        <is>
          <t>991001110379702656</t>
        </is>
      </c>
      <c r="AX602" t="inlineStr">
        <is>
          <t>991001110379702656</t>
        </is>
      </c>
      <c r="AY602" t="inlineStr">
        <is>
          <t>2267004260002656</t>
        </is>
      </c>
      <c r="AZ602" t="inlineStr">
        <is>
          <t>BOOK</t>
        </is>
      </c>
      <c r="BC602" t="inlineStr">
        <is>
          <t>32285000779834</t>
        </is>
      </c>
      <c r="BD602" t="inlineStr">
        <is>
          <t>893778565</t>
        </is>
      </c>
    </row>
    <row r="603">
      <c r="A603" t="inlineStr">
        <is>
          <t>No</t>
        </is>
      </c>
      <c r="B603" t="inlineStr">
        <is>
          <t>LB1131 .T93</t>
        </is>
      </c>
      <c r="C603" t="inlineStr">
        <is>
          <t>0                      LB 1131000T  93</t>
        </is>
      </c>
      <c r="D603" t="inlineStr">
        <is>
          <t>Crucial issues in testing / edited by Ralph W. Tyler and Richard M. Wolf.</t>
        </is>
      </c>
      <c r="F603" t="inlineStr">
        <is>
          <t>No</t>
        </is>
      </c>
      <c r="G603" t="inlineStr">
        <is>
          <t>1</t>
        </is>
      </c>
      <c r="H603" t="inlineStr">
        <is>
          <t>No</t>
        </is>
      </c>
      <c r="I603" t="inlineStr">
        <is>
          <t>No</t>
        </is>
      </c>
      <c r="J603" t="inlineStr">
        <is>
          <t>0</t>
        </is>
      </c>
      <c r="L603" t="inlineStr">
        <is>
          <t>Berkeley, Calif. : McCutchan Pub. Corp., [1974]</t>
        </is>
      </c>
      <c r="M603" t="inlineStr">
        <is>
          <t>1974</t>
        </is>
      </c>
      <c r="O603" t="inlineStr">
        <is>
          <t>eng</t>
        </is>
      </c>
      <c r="P603" t="inlineStr">
        <is>
          <t>cau</t>
        </is>
      </c>
      <c r="Q603" t="inlineStr">
        <is>
          <t>Series on contemporary educational issues</t>
        </is>
      </c>
      <c r="R603" t="inlineStr">
        <is>
          <t xml:space="preserve">LB </t>
        </is>
      </c>
      <c r="S603" t="n">
        <v>1</v>
      </c>
      <c r="T603" t="n">
        <v>1</v>
      </c>
      <c r="U603" t="inlineStr">
        <is>
          <t>2001-03-23</t>
        </is>
      </c>
      <c r="V603" t="inlineStr">
        <is>
          <t>2001-03-23</t>
        </is>
      </c>
      <c r="W603" t="inlineStr">
        <is>
          <t>1997-09-10</t>
        </is>
      </c>
      <c r="X603" t="inlineStr">
        <is>
          <t>1997-09-10</t>
        </is>
      </c>
      <c r="Y603" t="n">
        <v>528</v>
      </c>
      <c r="Z603" t="n">
        <v>441</v>
      </c>
      <c r="AA603" t="n">
        <v>448</v>
      </c>
      <c r="AB603" t="n">
        <v>3</v>
      </c>
      <c r="AC603" t="n">
        <v>3</v>
      </c>
      <c r="AD603" t="n">
        <v>18</v>
      </c>
      <c r="AE603" t="n">
        <v>18</v>
      </c>
      <c r="AF603" t="n">
        <v>8</v>
      </c>
      <c r="AG603" t="n">
        <v>8</v>
      </c>
      <c r="AH603" t="n">
        <v>5</v>
      </c>
      <c r="AI603" t="n">
        <v>5</v>
      </c>
      <c r="AJ603" t="n">
        <v>9</v>
      </c>
      <c r="AK603" t="n">
        <v>9</v>
      </c>
      <c r="AL603" t="n">
        <v>2</v>
      </c>
      <c r="AM603" t="n">
        <v>2</v>
      </c>
      <c r="AN603" t="n">
        <v>0</v>
      </c>
      <c r="AO603" t="n">
        <v>0</v>
      </c>
      <c r="AP603" t="inlineStr">
        <is>
          <t>No</t>
        </is>
      </c>
      <c r="AQ603" t="inlineStr">
        <is>
          <t>No</t>
        </is>
      </c>
      <c r="AS603">
        <f>HYPERLINK("https://creighton-primo.hosted.exlibrisgroup.com/primo-explore/search?tab=default_tab&amp;search_scope=EVERYTHING&amp;vid=01CRU&amp;lang=en_US&amp;offset=0&amp;query=any,contains,991003331979702656","Catalog Record")</f>
        <v/>
      </c>
      <c r="AT603">
        <f>HYPERLINK("http://www.worldcat.org/oclc/863442","WorldCat Record")</f>
        <v/>
      </c>
      <c r="AU603" t="inlineStr">
        <is>
          <t>1830511:eng</t>
        </is>
      </c>
      <c r="AV603" t="inlineStr">
        <is>
          <t>863442</t>
        </is>
      </c>
      <c r="AW603" t="inlineStr">
        <is>
          <t>991003331979702656</t>
        </is>
      </c>
      <c r="AX603" t="inlineStr">
        <is>
          <t>991003331979702656</t>
        </is>
      </c>
      <c r="AY603" t="inlineStr">
        <is>
          <t>2264271890002656</t>
        </is>
      </c>
      <c r="AZ603" t="inlineStr">
        <is>
          <t>BOOK</t>
        </is>
      </c>
      <c r="BB603" t="inlineStr">
        <is>
          <t>9780821117149</t>
        </is>
      </c>
      <c r="BC603" t="inlineStr">
        <is>
          <t>32285003168654</t>
        </is>
      </c>
      <c r="BD603" t="inlineStr">
        <is>
          <t>893434904</t>
        </is>
      </c>
    </row>
    <row r="604">
      <c r="A604" t="inlineStr">
        <is>
          <t>No</t>
        </is>
      </c>
      <c r="B604" t="inlineStr">
        <is>
          <t>LB1132 .D49 1989</t>
        </is>
      </c>
      <c r="C604" t="inlineStr">
        <is>
          <t>0                      LB 1132000D  49          1989</t>
        </is>
      </c>
      <c r="D604" t="inlineStr">
        <is>
          <t>Early childhood at risk : actions and advocacy for young children / by Victoria Jean Dimidjian.</t>
        </is>
      </c>
      <c r="F604" t="inlineStr">
        <is>
          <t>No</t>
        </is>
      </c>
      <c r="G604" t="inlineStr">
        <is>
          <t>1</t>
        </is>
      </c>
      <c r="H604" t="inlineStr">
        <is>
          <t>No</t>
        </is>
      </c>
      <c r="I604" t="inlineStr">
        <is>
          <t>No</t>
        </is>
      </c>
      <c r="J604" t="inlineStr">
        <is>
          <t>0</t>
        </is>
      </c>
      <c r="K604" t="inlineStr">
        <is>
          <t>Dimidjian, Victoria Jean.</t>
        </is>
      </c>
      <c r="L604" t="inlineStr">
        <is>
          <t>Washington, D.C. : NEA Professional Library, National Education Association, c1989.</t>
        </is>
      </c>
      <c r="M604" t="inlineStr">
        <is>
          <t>1989</t>
        </is>
      </c>
      <c r="O604" t="inlineStr">
        <is>
          <t>eng</t>
        </is>
      </c>
      <c r="P604" t="inlineStr">
        <is>
          <t>dcu</t>
        </is>
      </c>
      <c r="R604" t="inlineStr">
        <is>
          <t xml:space="preserve">LB </t>
        </is>
      </c>
      <c r="S604" t="n">
        <v>1</v>
      </c>
      <c r="T604" t="n">
        <v>1</v>
      </c>
      <c r="U604" t="inlineStr">
        <is>
          <t>1997-11-30</t>
        </is>
      </c>
      <c r="V604" t="inlineStr">
        <is>
          <t>1997-11-30</t>
        </is>
      </c>
      <c r="W604" t="inlineStr">
        <is>
          <t>1995-03-02</t>
        </is>
      </c>
      <c r="X604" t="inlineStr">
        <is>
          <t>1995-03-02</t>
        </is>
      </c>
      <c r="Y604" t="n">
        <v>447</v>
      </c>
      <c r="Z604" t="n">
        <v>432</v>
      </c>
      <c r="AA604" t="n">
        <v>437</v>
      </c>
      <c r="AB604" t="n">
        <v>7</v>
      </c>
      <c r="AC604" t="n">
        <v>7</v>
      </c>
      <c r="AD604" t="n">
        <v>20</v>
      </c>
      <c r="AE604" t="n">
        <v>20</v>
      </c>
      <c r="AF604" t="n">
        <v>6</v>
      </c>
      <c r="AG604" t="n">
        <v>6</v>
      </c>
      <c r="AH604" t="n">
        <v>2</v>
      </c>
      <c r="AI604" t="n">
        <v>2</v>
      </c>
      <c r="AJ604" t="n">
        <v>10</v>
      </c>
      <c r="AK604" t="n">
        <v>10</v>
      </c>
      <c r="AL604" t="n">
        <v>6</v>
      </c>
      <c r="AM604" t="n">
        <v>6</v>
      </c>
      <c r="AN604" t="n">
        <v>0</v>
      </c>
      <c r="AO604" t="n">
        <v>0</v>
      </c>
      <c r="AP604" t="inlineStr">
        <is>
          <t>No</t>
        </is>
      </c>
      <c r="AQ604" t="inlineStr">
        <is>
          <t>Yes</t>
        </is>
      </c>
      <c r="AR604">
        <f>HYPERLINK("http://catalog.hathitrust.org/Record/001827829","HathiTrust Record")</f>
        <v/>
      </c>
      <c r="AS604">
        <f>HYPERLINK("https://creighton-primo.hosted.exlibrisgroup.com/primo-explore/search?tab=default_tab&amp;search_scope=EVERYTHING&amp;vid=01CRU&amp;lang=en_US&amp;offset=0&amp;query=any,contains,991001513909702656","Catalog Record")</f>
        <v/>
      </c>
      <c r="AT604">
        <f>HYPERLINK("http://www.worldcat.org/oclc/19920902","WorldCat Record")</f>
        <v/>
      </c>
      <c r="AU604" t="inlineStr">
        <is>
          <t>1075825:eng</t>
        </is>
      </c>
      <c r="AV604" t="inlineStr">
        <is>
          <t>19920902</t>
        </is>
      </c>
      <c r="AW604" t="inlineStr">
        <is>
          <t>991001513909702656</t>
        </is>
      </c>
      <c r="AX604" t="inlineStr">
        <is>
          <t>991001513909702656</t>
        </is>
      </c>
      <c r="AY604" t="inlineStr">
        <is>
          <t>2268852090002656</t>
        </is>
      </c>
      <c r="AZ604" t="inlineStr">
        <is>
          <t>BOOK</t>
        </is>
      </c>
      <c r="BB604" t="inlineStr">
        <is>
          <t>9780810614819</t>
        </is>
      </c>
      <c r="BC604" t="inlineStr">
        <is>
          <t>32285002020104</t>
        </is>
      </c>
      <c r="BD604" t="inlineStr">
        <is>
          <t>893534583</t>
        </is>
      </c>
    </row>
    <row r="605">
      <c r="A605" t="inlineStr">
        <is>
          <t>No</t>
        </is>
      </c>
      <c r="B605" t="inlineStr">
        <is>
          <t>LB1134 .L47 1976</t>
        </is>
      </c>
      <c r="C605" t="inlineStr">
        <is>
          <t>0                      LB 1134000L  47          1976</t>
        </is>
      </c>
      <c r="D605" t="inlineStr">
        <is>
          <t>Children with learning disabilities : theories, diagnosis, teaching strategies / Janet W. Lerner.</t>
        </is>
      </c>
      <c r="F605" t="inlineStr">
        <is>
          <t>No</t>
        </is>
      </c>
      <c r="G605" t="inlineStr">
        <is>
          <t>1</t>
        </is>
      </c>
      <c r="H605" t="inlineStr">
        <is>
          <t>No</t>
        </is>
      </c>
      <c r="I605" t="inlineStr">
        <is>
          <t>No</t>
        </is>
      </c>
      <c r="J605" t="inlineStr">
        <is>
          <t>0</t>
        </is>
      </c>
      <c r="K605" t="inlineStr">
        <is>
          <t>Lerner, Janet W.</t>
        </is>
      </c>
      <c r="L605" t="inlineStr">
        <is>
          <t>Boston : Houghton Mifflin, c1976.</t>
        </is>
      </c>
      <c r="M605" t="inlineStr">
        <is>
          <t>1976</t>
        </is>
      </c>
      <c r="N605" t="inlineStr">
        <is>
          <t>2d ed.</t>
        </is>
      </c>
      <c r="O605" t="inlineStr">
        <is>
          <t>eng</t>
        </is>
      </c>
      <c r="P605" t="inlineStr">
        <is>
          <t>mau</t>
        </is>
      </c>
      <c r="R605" t="inlineStr">
        <is>
          <t xml:space="preserve">LB </t>
        </is>
      </c>
      <c r="S605" t="n">
        <v>1</v>
      </c>
      <c r="T605" t="n">
        <v>1</v>
      </c>
      <c r="U605" t="inlineStr">
        <is>
          <t>2001-11-01</t>
        </is>
      </c>
      <c r="V605" t="inlineStr">
        <is>
          <t>2001-11-01</t>
        </is>
      </c>
      <c r="W605" t="inlineStr">
        <is>
          <t>1997-07-02</t>
        </is>
      </c>
      <c r="X605" t="inlineStr">
        <is>
          <t>1997-07-02</t>
        </is>
      </c>
      <c r="Y605" t="n">
        <v>496</v>
      </c>
      <c r="Z605" t="n">
        <v>381</v>
      </c>
      <c r="AA605" t="n">
        <v>672</v>
      </c>
      <c r="AB605" t="n">
        <v>5</v>
      </c>
      <c r="AC605" t="n">
        <v>11</v>
      </c>
      <c r="AD605" t="n">
        <v>13</v>
      </c>
      <c r="AE605" t="n">
        <v>28</v>
      </c>
      <c r="AF605" t="n">
        <v>5</v>
      </c>
      <c r="AG605" t="n">
        <v>9</v>
      </c>
      <c r="AH605" t="n">
        <v>3</v>
      </c>
      <c r="AI605" t="n">
        <v>3</v>
      </c>
      <c r="AJ605" t="n">
        <v>7</v>
      </c>
      <c r="AK605" t="n">
        <v>14</v>
      </c>
      <c r="AL605" t="n">
        <v>2</v>
      </c>
      <c r="AM605" t="n">
        <v>8</v>
      </c>
      <c r="AN605" t="n">
        <v>0</v>
      </c>
      <c r="AO605" t="n">
        <v>0</v>
      </c>
      <c r="AP605" t="inlineStr">
        <is>
          <t>No</t>
        </is>
      </c>
      <c r="AQ605" t="inlineStr">
        <is>
          <t>Yes</t>
        </is>
      </c>
      <c r="AR605">
        <f>HYPERLINK("http://catalog.hathitrust.org/Record/004426525","HathiTrust Record")</f>
        <v/>
      </c>
      <c r="AS605">
        <f>HYPERLINK("https://creighton-primo.hosted.exlibrisgroup.com/primo-explore/search?tab=default_tab&amp;search_scope=EVERYTHING&amp;vid=01CRU&amp;lang=en_US&amp;offset=0&amp;query=any,contains,991004029149702656","Catalog Record")</f>
        <v/>
      </c>
      <c r="AT605">
        <f>HYPERLINK("http://www.worldcat.org/oclc/2147446","WorldCat Record")</f>
        <v/>
      </c>
      <c r="AU605" t="inlineStr">
        <is>
          <t>3888075585:eng</t>
        </is>
      </c>
      <c r="AV605" t="inlineStr">
        <is>
          <t>2147446</t>
        </is>
      </c>
      <c r="AW605" t="inlineStr">
        <is>
          <t>991004029149702656</t>
        </is>
      </c>
      <c r="AX605" t="inlineStr">
        <is>
          <t>991004029149702656</t>
        </is>
      </c>
      <c r="AY605" t="inlineStr">
        <is>
          <t>2272687790002656</t>
        </is>
      </c>
      <c r="AZ605" t="inlineStr">
        <is>
          <t>BOOK</t>
        </is>
      </c>
      <c r="BB605" t="inlineStr">
        <is>
          <t>9780395204740</t>
        </is>
      </c>
      <c r="BC605" t="inlineStr">
        <is>
          <t>32285002844818</t>
        </is>
      </c>
      <c r="BD605" t="inlineStr">
        <is>
          <t>893900706</t>
        </is>
      </c>
    </row>
    <row r="606">
      <c r="A606" t="inlineStr">
        <is>
          <t>No</t>
        </is>
      </c>
      <c r="B606" t="inlineStr">
        <is>
          <t>LB1134 .S87 1989</t>
        </is>
      </c>
      <c r="C606" t="inlineStr">
        <is>
          <t>0                      LB 1134000S  87          1989</t>
        </is>
      </c>
      <c r="D606" t="inlineStr">
        <is>
          <t>Stanford-Binet fourth edition compilation : what to do now that you know the score / Dorothy Lee Sutton, John Ruth Whitworth-Lord.</t>
        </is>
      </c>
      <c r="F606" t="inlineStr">
        <is>
          <t>No</t>
        </is>
      </c>
      <c r="G606" t="inlineStr">
        <is>
          <t>1</t>
        </is>
      </c>
      <c r="H606" t="inlineStr">
        <is>
          <t>No</t>
        </is>
      </c>
      <c r="I606" t="inlineStr">
        <is>
          <t>No</t>
        </is>
      </c>
      <c r="J606" t="inlineStr">
        <is>
          <t>0</t>
        </is>
      </c>
      <c r="K606" t="inlineStr">
        <is>
          <t>Sutton, Dorothy Lee.</t>
        </is>
      </c>
      <c r="L606" t="inlineStr">
        <is>
          <t>Novato, Calif. : Academic Therapy Publications, c1989.</t>
        </is>
      </c>
      <c r="M606" t="inlineStr">
        <is>
          <t>1989</t>
        </is>
      </c>
      <c r="O606" t="inlineStr">
        <is>
          <t>eng</t>
        </is>
      </c>
      <c r="P606" t="inlineStr">
        <is>
          <t>cau</t>
        </is>
      </c>
      <c r="R606" t="inlineStr">
        <is>
          <t xml:space="preserve">LB </t>
        </is>
      </c>
      <c r="S606" t="n">
        <v>4</v>
      </c>
      <c r="T606" t="n">
        <v>4</v>
      </c>
      <c r="U606" t="inlineStr">
        <is>
          <t>2005-10-03</t>
        </is>
      </c>
      <c r="V606" t="inlineStr">
        <is>
          <t>2005-10-03</t>
        </is>
      </c>
      <c r="W606" t="inlineStr">
        <is>
          <t>1991-04-10</t>
        </is>
      </c>
      <c r="X606" t="inlineStr">
        <is>
          <t>1991-04-10</t>
        </is>
      </c>
      <c r="Y606" t="n">
        <v>37</v>
      </c>
      <c r="Z606" t="n">
        <v>32</v>
      </c>
      <c r="AA606" t="n">
        <v>32</v>
      </c>
      <c r="AB606" t="n">
        <v>1</v>
      </c>
      <c r="AC606" t="n">
        <v>1</v>
      </c>
      <c r="AD606" t="n">
        <v>1</v>
      </c>
      <c r="AE606" t="n">
        <v>1</v>
      </c>
      <c r="AF606" t="n">
        <v>1</v>
      </c>
      <c r="AG606" t="n">
        <v>1</v>
      </c>
      <c r="AH606" t="n">
        <v>0</v>
      </c>
      <c r="AI606" t="n">
        <v>0</v>
      </c>
      <c r="AJ606" t="n">
        <v>1</v>
      </c>
      <c r="AK606" t="n">
        <v>1</v>
      </c>
      <c r="AL606" t="n">
        <v>0</v>
      </c>
      <c r="AM606" t="n">
        <v>0</v>
      </c>
      <c r="AN606" t="n">
        <v>0</v>
      </c>
      <c r="AO606" t="n">
        <v>0</v>
      </c>
      <c r="AP606" t="inlineStr">
        <is>
          <t>No</t>
        </is>
      </c>
      <c r="AQ606" t="inlineStr">
        <is>
          <t>No</t>
        </is>
      </c>
      <c r="AS606">
        <f>HYPERLINK("https://creighton-primo.hosted.exlibrisgroup.com/primo-explore/search?tab=default_tab&amp;search_scope=EVERYTHING&amp;vid=01CRU&amp;lang=en_US&amp;offset=0&amp;query=any,contains,991001573429702656","Catalog Record")</f>
        <v/>
      </c>
      <c r="AT606">
        <f>HYPERLINK("http://www.worldcat.org/oclc/20417306","WorldCat Record")</f>
        <v/>
      </c>
      <c r="AU606" t="inlineStr">
        <is>
          <t>2864146013:eng</t>
        </is>
      </c>
      <c r="AV606" t="inlineStr">
        <is>
          <t>20417306</t>
        </is>
      </c>
      <c r="AW606" t="inlineStr">
        <is>
          <t>991001573429702656</t>
        </is>
      </c>
      <c r="AX606" t="inlineStr">
        <is>
          <t>991001573429702656</t>
        </is>
      </c>
      <c r="AY606" t="inlineStr">
        <is>
          <t>2263111260002656</t>
        </is>
      </c>
      <c r="AZ606" t="inlineStr">
        <is>
          <t>BOOK</t>
        </is>
      </c>
      <c r="BB606" t="inlineStr">
        <is>
          <t>9780878796373</t>
        </is>
      </c>
      <c r="BC606" t="inlineStr">
        <is>
          <t>32285000567304</t>
        </is>
      </c>
      <c r="BD606" t="inlineStr">
        <is>
          <t>893322048</t>
        </is>
      </c>
    </row>
    <row r="607">
      <c r="A607" t="inlineStr">
        <is>
          <t>No</t>
        </is>
      </c>
      <c r="B607" t="inlineStr">
        <is>
          <t>LB1135 .A33 1986</t>
        </is>
      </c>
      <c r="C607" t="inlineStr">
        <is>
          <t>0                      LB 1135000A  33          1986</t>
        </is>
      </c>
      <c r="D607" t="inlineStr">
        <is>
          <t>Inventing adolescence : the political psychology of everyday schooling / Joseph Adelson.</t>
        </is>
      </c>
      <c r="F607" t="inlineStr">
        <is>
          <t>No</t>
        </is>
      </c>
      <c r="G607" t="inlineStr">
        <is>
          <t>1</t>
        </is>
      </c>
      <c r="H607" t="inlineStr">
        <is>
          <t>No</t>
        </is>
      </c>
      <c r="I607" t="inlineStr">
        <is>
          <t>No</t>
        </is>
      </c>
      <c r="J607" t="inlineStr">
        <is>
          <t>0</t>
        </is>
      </c>
      <c r="K607" t="inlineStr">
        <is>
          <t>Adelson, Joseph.</t>
        </is>
      </c>
      <c r="L607" t="inlineStr">
        <is>
          <t>New Brunswick, N.J., U.S.A. : Transaction Books, c1986.</t>
        </is>
      </c>
      <c r="M607" t="inlineStr">
        <is>
          <t>1986</t>
        </is>
      </c>
      <c r="O607" t="inlineStr">
        <is>
          <t>eng</t>
        </is>
      </c>
      <c r="P607" t="inlineStr">
        <is>
          <t>nju</t>
        </is>
      </c>
      <c r="R607" t="inlineStr">
        <is>
          <t xml:space="preserve">LB </t>
        </is>
      </c>
      <c r="S607" t="n">
        <v>2</v>
      </c>
      <c r="T607" t="n">
        <v>2</v>
      </c>
      <c r="U607" t="inlineStr">
        <is>
          <t>2008-06-25</t>
        </is>
      </c>
      <c r="V607" t="inlineStr">
        <is>
          <t>2008-06-25</t>
        </is>
      </c>
      <c r="W607" t="inlineStr">
        <is>
          <t>1993-01-15</t>
        </is>
      </c>
      <c r="X607" t="inlineStr">
        <is>
          <t>1993-01-15</t>
        </is>
      </c>
      <c r="Y607" t="n">
        <v>374</v>
      </c>
      <c r="Z607" t="n">
        <v>329</v>
      </c>
      <c r="AA607" t="n">
        <v>355</v>
      </c>
      <c r="AB607" t="n">
        <v>3</v>
      </c>
      <c r="AC607" t="n">
        <v>3</v>
      </c>
      <c r="AD607" t="n">
        <v>14</v>
      </c>
      <c r="AE607" t="n">
        <v>14</v>
      </c>
      <c r="AF607" t="n">
        <v>5</v>
      </c>
      <c r="AG607" t="n">
        <v>5</v>
      </c>
      <c r="AH607" t="n">
        <v>3</v>
      </c>
      <c r="AI607" t="n">
        <v>3</v>
      </c>
      <c r="AJ607" t="n">
        <v>8</v>
      </c>
      <c r="AK607" t="n">
        <v>8</v>
      </c>
      <c r="AL607" t="n">
        <v>2</v>
      </c>
      <c r="AM607" t="n">
        <v>2</v>
      </c>
      <c r="AN607" t="n">
        <v>0</v>
      </c>
      <c r="AO607" t="n">
        <v>0</v>
      </c>
      <c r="AP607" t="inlineStr">
        <is>
          <t>No</t>
        </is>
      </c>
      <c r="AQ607" t="inlineStr">
        <is>
          <t>No</t>
        </is>
      </c>
      <c r="AS607">
        <f>HYPERLINK("https://creighton-primo.hosted.exlibrisgroup.com/primo-explore/search?tab=default_tab&amp;search_scope=EVERYTHING&amp;vid=01CRU&amp;lang=en_US&amp;offset=0&amp;query=any,contains,991000677249702656","Catalog Record")</f>
        <v/>
      </c>
      <c r="AT607">
        <f>HYPERLINK("http://www.worldcat.org/oclc/12370141","WorldCat Record")</f>
        <v/>
      </c>
      <c r="AU607" t="inlineStr">
        <is>
          <t>5018939:eng</t>
        </is>
      </c>
      <c r="AV607" t="inlineStr">
        <is>
          <t>12370141</t>
        </is>
      </c>
      <c r="AW607" t="inlineStr">
        <is>
          <t>991000677249702656</t>
        </is>
      </c>
      <c r="AX607" t="inlineStr">
        <is>
          <t>991000677249702656</t>
        </is>
      </c>
      <c r="AY607" t="inlineStr">
        <is>
          <t>2261358880002656</t>
        </is>
      </c>
      <c r="AZ607" t="inlineStr">
        <is>
          <t>BOOK</t>
        </is>
      </c>
      <c r="BB607" t="inlineStr">
        <is>
          <t>9780887380266</t>
        </is>
      </c>
      <c r="BC607" t="inlineStr">
        <is>
          <t>32285001475556</t>
        </is>
      </c>
      <c r="BD607" t="inlineStr">
        <is>
          <t>893496457</t>
        </is>
      </c>
    </row>
    <row r="608">
      <c r="A608" t="inlineStr">
        <is>
          <t>No</t>
        </is>
      </c>
      <c r="B608" t="inlineStr">
        <is>
          <t>LB1135 .S25</t>
        </is>
      </c>
      <c r="C608" t="inlineStr">
        <is>
          <t>0                      LB 1135000S  25</t>
        </is>
      </c>
      <c r="D608" t="inlineStr">
        <is>
          <t>Adolescence, an introduction / John W. Santrock.</t>
        </is>
      </c>
      <c r="F608" t="inlineStr">
        <is>
          <t>No</t>
        </is>
      </c>
      <c r="G608" t="inlineStr">
        <is>
          <t>1</t>
        </is>
      </c>
      <c r="H608" t="inlineStr">
        <is>
          <t>No</t>
        </is>
      </c>
      <c r="I608" t="inlineStr">
        <is>
          <t>No</t>
        </is>
      </c>
      <c r="J608" t="inlineStr">
        <is>
          <t>0</t>
        </is>
      </c>
      <c r="K608" t="inlineStr">
        <is>
          <t>Santrock, John W.</t>
        </is>
      </c>
      <c r="L608" t="inlineStr">
        <is>
          <t>Dubuque, Iowa : W.C. Brown, c1981, 1982 printing.</t>
        </is>
      </c>
      <c r="M608" t="inlineStr">
        <is>
          <t>1981</t>
        </is>
      </c>
      <c r="O608" t="inlineStr">
        <is>
          <t>eng</t>
        </is>
      </c>
      <c r="P608" t="inlineStr">
        <is>
          <t>iau</t>
        </is>
      </c>
      <c r="R608" t="inlineStr">
        <is>
          <t xml:space="preserve">LB </t>
        </is>
      </c>
      <c r="S608" t="n">
        <v>3</v>
      </c>
      <c r="T608" t="n">
        <v>3</v>
      </c>
      <c r="U608" t="inlineStr">
        <is>
          <t>1996-02-13</t>
        </is>
      </c>
      <c r="V608" t="inlineStr">
        <is>
          <t>1996-02-13</t>
        </is>
      </c>
      <c r="W608" t="inlineStr">
        <is>
          <t>1993-01-15</t>
        </is>
      </c>
      <c r="X608" t="inlineStr">
        <is>
          <t>1993-01-15</t>
        </is>
      </c>
      <c r="Y608" t="n">
        <v>118</v>
      </c>
      <c r="Z608" t="n">
        <v>84</v>
      </c>
      <c r="AA608" t="n">
        <v>641</v>
      </c>
      <c r="AB608" t="n">
        <v>2</v>
      </c>
      <c r="AC608" t="n">
        <v>7</v>
      </c>
      <c r="AD608" t="n">
        <v>4</v>
      </c>
      <c r="AE608" t="n">
        <v>20</v>
      </c>
      <c r="AF608" t="n">
        <v>0</v>
      </c>
      <c r="AG608" t="n">
        <v>6</v>
      </c>
      <c r="AH608" t="n">
        <v>1</v>
      </c>
      <c r="AI608" t="n">
        <v>4</v>
      </c>
      <c r="AJ608" t="n">
        <v>2</v>
      </c>
      <c r="AK608" t="n">
        <v>6</v>
      </c>
      <c r="AL608" t="n">
        <v>1</v>
      </c>
      <c r="AM608" t="n">
        <v>5</v>
      </c>
      <c r="AN608" t="n">
        <v>0</v>
      </c>
      <c r="AO608" t="n">
        <v>0</v>
      </c>
      <c r="AP608" t="inlineStr">
        <is>
          <t>No</t>
        </is>
      </c>
      <c r="AQ608" t="inlineStr">
        <is>
          <t>Yes</t>
        </is>
      </c>
      <c r="AR608">
        <f>HYPERLINK("http://catalog.hathitrust.org/Record/010621506","HathiTrust Record")</f>
        <v/>
      </c>
      <c r="AS608">
        <f>HYPERLINK("https://creighton-primo.hosted.exlibrisgroup.com/primo-explore/search?tab=default_tab&amp;search_scope=EVERYTHING&amp;vid=01CRU&amp;lang=en_US&amp;offset=0&amp;query=any,contains,991005141499702656","Catalog Record")</f>
        <v/>
      </c>
      <c r="AT608">
        <f>HYPERLINK("http://www.worldcat.org/oclc/7614843","WorldCat Record")</f>
        <v/>
      </c>
      <c r="AU608" t="inlineStr">
        <is>
          <t>982640:eng</t>
        </is>
      </c>
      <c r="AV608" t="inlineStr">
        <is>
          <t>7614843</t>
        </is>
      </c>
      <c r="AW608" t="inlineStr">
        <is>
          <t>991005141499702656</t>
        </is>
      </c>
      <c r="AX608" t="inlineStr">
        <is>
          <t>991005141499702656</t>
        </is>
      </c>
      <c r="AY608" t="inlineStr">
        <is>
          <t>2264153270002656</t>
        </is>
      </c>
      <c r="AZ608" t="inlineStr">
        <is>
          <t>BOOK</t>
        </is>
      </c>
      <c r="BB608" t="inlineStr">
        <is>
          <t>9780697066350</t>
        </is>
      </c>
      <c r="BC608" t="inlineStr">
        <is>
          <t>32285001475598</t>
        </is>
      </c>
      <c r="BD608" t="inlineStr">
        <is>
          <t>893533251</t>
        </is>
      </c>
    </row>
    <row r="609">
      <c r="A609" t="inlineStr">
        <is>
          <t>No</t>
        </is>
      </c>
      <c r="B609" t="inlineStr">
        <is>
          <t>LB1137 .B78 1974</t>
        </is>
      </c>
      <c r="C609" t="inlineStr">
        <is>
          <t>0                      LB 1137000B  78          1974</t>
        </is>
      </c>
      <c r="D609" t="inlineStr">
        <is>
          <t>Understanding children's play through observation / by Judy Brown ; drawings by Carol Ann Ragle.</t>
        </is>
      </c>
      <c r="F609" t="inlineStr">
        <is>
          <t>No</t>
        </is>
      </c>
      <c r="G609" t="inlineStr">
        <is>
          <t>1</t>
        </is>
      </c>
      <c r="H609" t="inlineStr">
        <is>
          <t>No</t>
        </is>
      </c>
      <c r="I609" t="inlineStr">
        <is>
          <t>No</t>
        </is>
      </c>
      <c r="J609" t="inlineStr">
        <is>
          <t>0</t>
        </is>
      </c>
      <c r="K609" t="inlineStr">
        <is>
          <t>Brown, Judy.</t>
        </is>
      </c>
      <c r="L609" t="inlineStr">
        <is>
          <t>San Francisco, Calif. : Far West Laboratory for Educational Research and Development, c1974.</t>
        </is>
      </c>
      <c r="M609" t="inlineStr">
        <is>
          <t>1974</t>
        </is>
      </c>
      <c r="O609" t="inlineStr">
        <is>
          <t>eng</t>
        </is>
      </c>
      <c r="P609" t="inlineStr">
        <is>
          <t>cau</t>
        </is>
      </c>
      <c r="R609" t="inlineStr">
        <is>
          <t xml:space="preserve">LB </t>
        </is>
      </c>
      <c r="S609" t="n">
        <v>4</v>
      </c>
      <c r="T609" t="n">
        <v>4</v>
      </c>
      <c r="U609" t="inlineStr">
        <is>
          <t>2009-04-07</t>
        </is>
      </c>
      <c r="V609" t="inlineStr">
        <is>
          <t>2009-04-07</t>
        </is>
      </c>
      <c r="W609" t="inlineStr">
        <is>
          <t>1993-01-15</t>
        </is>
      </c>
      <c r="X609" t="inlineStr">
        <is>
          <t>1993-01-15</t>
        </is>
      </c>
      <c r="Y609" t="n">
        <v>7</v>
      </c>
      <c r="Z609" t="n">
        <v>5</v>
      </c>
      <c r="AA609" t="n">
        <v>7</v>
      </c>
      <c r="AB609" t="n">
        <v>1</v>
      </c>
      <c r="AC609" t="n">
        <v>1</v>
      </c>
      <c r="AD609" t="n">
        <v>0</v>
      </c>
      <c r="AE609" t="n">
        <v>0</v>
      </c>
      <c r="AF609" t="n">
        <v>0</v>
      </c>
      <c r="AG609" t="n">
        <v>0</v>
      </c>
      <c r="AH609" t="n">
        <v>0</v>
      </c>
      <c r="AI609" t="n">
        <v>0</v>
      </c>
      <c r="AJ609" t="n">
        <v>0</v>
      </c>
      <c r="AK609" t="n">
        <v>0</v>
      </c>
      <c r="AL609" t="n">
        <v>0</v>
      </c>
      <c r="AM609" t="n">
        <v>0</v>
      </c>
      <c r="AN609" t="n">
        <v>0</v>
      </c>
      <c r="AO609" t="n">
        <v>0</v>
      </c>
      <c r="AP609" t="inlineStr">
        <is>
          <t>No</t>
        </is>
      </c>
      <c r="AQ609" t="inlineStr">
        <is>
          <t>No</t>
        </is>
      </c>
      <c r="AS609">
        <f>HYPERLINK("https://creighton-primo.hosted.exlibrisgroup.com/primo-explore/search?tab=default_tab&amp;search_scope=EVERYTHING&amp;vid=01CRU&amp;lang=en_US&amp;offset=0&amp;query=any,contains,991000904579702656","Catalog Record")</f>
        <v/>
      </c>
      <c r="AT609">
        <f>HYPERLINK("http://www.worldcat.org/oclc/14086559","WorldCat Record")</f>
        <v/>
      </c>
      <c r="AU609" t="inlineStr">
        <is>
          <t>7705753:eng</t>
        </is>
      </c>
      <c r="AV609" t="inlineStr">
        <is>
          <t>14086559</t>
        </is>
      </c>
      <c r="AW609" t="inlineStr">
        <is>
          <t>991000904579702656</t>
        </is>
      </c>
      <c r="AX609" t="inlineStr">
        <is>
          <t>991000904579702656</t>
        </is>
      </c>
      <c r="AY609" t="inlineStr">
        <is>
          <t>2263177510002656</t>
        </is>
      </c>
      <c r="AZ609" t="inlineStr">
        <is>
          <t>BOOK</t>
        </is>
      </c>
      <c r="BC609" t="inlineStr">
        <is>
          <t>32285001475630</t>
        </is>
      </c>
      <c r="BD609" t="inlineStr">
        <is>
          <t>893797100</t>
        </is>
      </c>
    </row>
    <row r="610">
      <c r="A610" t="inlineStr">
        <is>
          <t>No</t>
        </is>
      </c>
      <c r="B610" t="inlineStr">
        <is>
          <t>LB1137 .F76 2009</t>
        </is>
      </c>
      <c r="C610" t="inlineStr">
        <is>
          <t>0                      LB 1137000F  76          2009</t>
        </is>
      </c>
      <c r="D610" t="inlineStr">
        <is>
          <t>From children to red hatters : diverse images and issues of play / edited by David Kuschner.</t>
        </is>
      </c>
      <c r="F610" t="inlineStr">
        <is>
          <t>No</t>
        </is>
      </c>
      <c r="G610" t="inlineStr">
        <is>
          <t>1</t>
        </is>
      </c>
      <c r="H610" t="inlineStr">
        <is>
          <t>No</t>
        </is>
      </c>
      <c r="I610" t="inlineStr">
        <is>
          <t>No</t>
        </is>
      </c>
      <c r="J610" t="inlineStr">
        <is>
          <t>0</t>
        </is>
      </c>
      <c r="L610" t="inlineStr">
        <is>
          <t>Lanham : University Press of America, c2009.</t>
        </is>
      </c>
      <c r="M610" t="inlineStr">
        <is>
          <t>2009</t>
        </is>
      </c>
      <c r="O610" t="inlineStr">
        <is>
          <t>eng</t>
        </is>
      </c>
      <c r="P610" t="inlineStr">
        <is>
          <t>mdu</t>
        </is>
      </c>
      <c r="Q610" t="inlineStr">
        <is>
          <t>Play &amp; culture studies ; v. 8</t>
        </is>
      </c>
      <c r="R610" t="inlineStr">
        <is>
          <t xml:space="preserve">LB </t>
        </is>
      </c>
      <c r="S610" t="n">
        <v>1</v>
      </c>
      <c r="T610" t="n">
        <v>1</v>
      </c>
      <c r="U610" t="inlineStr">
        <is>
          <t>2009-03-27</t>
        </is>
      </c>
      <c r="V610" t="inlineStr">
        <is>
          <t>2009-03-27</t>
        </is>
      </c>
      <c r="W610" t="inlineStr">
        <is>
          <t>2009-03-27</t>
        </is>
      </c>
      <c r="X610" t="inlineStr">
        <is>
          <t>2009-03-27</t>
        </is>
      </c>
      <c r="Y610" t="n">
        <v>111</v>
      </c>
      <c r="Z610" t="n">
        <v>86</v>
      </c>
      <c r="AA610" t="n">
        <v>111</v>
      </c>
      <c r="AB610" t="n">
        <v>1</v>
      </c>
      <c r="AC610" t="n">
        <v>1</v>
      </c>
      <c r="AD610" t="n">
        <v>5</v>
      </c>
      <c r="AE610" t="n">
        <v>6</v>
      </c>
      <c r="AF610" t="n">
        <v>1</v>
      </c>
      <c r="AG610" t="n">
        <v>2</v>
      </c>
      <c r="AH610" t="n">
        <v>1</v>
      </c>
      <c r="AI610" t="n">
        <v>2</v>
      </c>
      <c r="AJ610" t="n">
        <v>4</v>
      </c>
      <c r="AK610" t="n">
        <v>4</v>
      </c>
      <c r="AL610" t="n">
        <v>0</v>
      </c>
      <c r="AM610" t="n">
        <v>0</v>
      </c>
      <c r="AN610" t="n">
        <v>0</v>
      </c>
      <c r="AO610" t="n">
        <v>0</v>
      </c>
      <c r="AP610" t="inlineStr">
        <is>
          <t>No</t>
        </is>
      </c>
      <c r="AQ610" t="inlineStr">
        <is>
          <t>No</t>
        </is>
      </c>
      <c r="AS610">
        <f>HYPERLINK("https://creighton-primo.hosted.exlibrisgroup.com/primo-explore/search?tab=default_tab&amp;search_scope=EVERYTHING&amp;vid=01CRU&amp;lang=en_US&amp;offset=0&amp;query=any,contains,991005301269702656","Catalog Record")</f>
        <v/>
      </c>
      <c r="AT610">
        <f>HYPERLINK("http://www.worldcat.org/oclc/252583406","WorldCat Record")</f>
        <v/>
      </c>
      <c r="AU610" t="inlineStr">
        <is>
          <t>800935359:eng</t>
        </is>
      </c>
      <c r="AV610" t="inlineStr">
        <is>
          <t>252583406</t>
        </is>
      </c>
      <c r="AW610" t="inlineStr">
        <is>
          <t>991005301269702656</t>
        </is>
      </c>
      <c r="AX610" t="inlineStr">
        <is>
          <t>991005301269702656</t>
        </is>
      </c>
      <c r="AY610" t="inlineStr">
        <is>
          <t>2261296800002656</t>
        </is>
      </c>
      <c r="AZ610" t="inlineStr">
        <is>
          <t>BOOK</t>
        </is>
      </c>
      <c r="BB610" t="inlineStr">
        <is>
          <t>9780761842910</t>
        </is>
      </c>
      <c r="BC610" t="inlineStr">
        <is>
          <t>32285005510697</t>
        </is>
      </c>
      <c r="BD610" t="inlineStr">
        <is>
          <t>893236620</t>
        </is>
      </c>
    </row>
    <row r="611">
      <c r="A611" t="inlineStr">
        <is>
          <t>No</t>
        </is>
      </c>
      <c r="B611" t="inlineStr">
        <is>
          <t>LB1137 .G74</t>
        </is>
      </c>
      <c r="C611" t="inlineStr">
        <is>
          <t>0                      LB 1137000G  74</t>
        </is>
      </c>
      <c r="D611" t="inlineStr">
        <is>
          <t>Growing through play : readings for parents &amp; teachers / edited by Robert D. Strom.</t>
        </is>
      </c>
      <c r="F611" t="inlineStr">
        <is>
          <t>No</t>
        </is>
      </c>
      <c r="G611" t="inlineStr">
        <is>
          <t>1</t>
        </is>
      </c>
      <c r="H611" t="inlineStr">
        <is>
          <t>No</t>
        </is>
      </c>
      <c r="I611" t="inlineStr">
        <is>
          <t>No</t>
        </is>
      </c>
      <c r="J611" t="inlineStr">
        <is>
          <t>0</t>
        </is>
      </c>
      <c r="L611" t="inlineStr">
        <is>
          <t>Monterey, Calif. : Brooks/Cole Pub. Co., c1981.</t>
        </is>
      </c>
      <c r="M611" t="inlineStr">
        <is>
          <t>1981</t>
        </is>
      </c>
      <c r="O611" t="inlineStr">
        <is>
          <t>eng</t>
        </is>
      </c>
      <c r="P611" t="inlineStr">
        <is>
          <t>cau</t>
        </is>
      </c>
      <c r="R611" t="inlineStr">
        <is>
          <t xml:space="preserve">LB </t>
        </is>
      </c>
      <c r="S611" t="n">
        <v>2</v>
      </c>
      <c r="T611" t="n">
        <v>2</v>
      </c>
      <c r="U611" t="inlineStr">
        <is>
          <t>2009-03-14</t>
        </is>
      </c>
      <c r="V611" t="inlineStr">
        <is>
          <t>2009-03-14</t>
        </is>
      </c>
      <c r="W611" t="inlineStr">
        <is>
          <t>1990-02-05</t>
        </is>
      </c>
      <c r="X611" t="inlineStr">
        <is>
          <t>1990-02-05</t>
        </is>
      </c>
      <c r="Y611" t="n">
        <v>229</v>
      </c>
      <c r="Z611" t="n">
        <v>183</v>
      </c>
      <c r="AA611" t="n">
        <v>188</v>
      </c>
      <c r="AB611" t="n">
        <v>4</v>
      </c>
      <c r="AC611" t="n">
        <v>4</v>
      </c>
      <c r="AD611" t="n">
        <v>6</v>
      </c>
      <c r="AE611" t="n">
        <v>6</v>
      </c>
      <c r="AF611" t="n">
        <v>1</v>
      </c>
      <c r="AG611" t="n">
        <v>1</v>
      </c>
      <c r="AH611" t="n">
        <v>1</v>
      </c>
      <c r="AI611" t="n">
        <v>1</v>
      </c>
      <c r="AJ611" t="n">
        <v>2</v>
      </c>
      <c r="AK611" t="n">
        <v>2</v>
      </c>
      <c r="AL611" t="n">
        <v>3</v>
      </c>
      <c r="AM611" t="n">
        <v>3</v>
      </c>
      <c r="AN611" t="n">
        <v>0</v>
      </c>
      <c r="AO611" t="n">
        <v>0</v>
      </c>
      <c r="AP611" t="inlineStr">
        <is>
          <t>No</t>
        </is>
      </c>
      <c r="AQ611" t="inlineStr">
        <is>
          <t>Yes</t>
        </is>
      </c>
      <c r="AR611">
        <f>HYPERLINK("http://catalog.hathitrust.org/Record/007473713","HathiTrust Record")</f>
        <v/>
      </c>
      <c r="AS611">
        <f>HYPERLINK("https://creighton-primo.hosted.exlibrisgroup.com/primo-explore/search?tab=default_tab&amp;search_scope=EVERYTHING&amp;vid=01CRU&amp;lang=en_US&amp;offset=0&amp;query=any,contains,991004999439702656","Catalog Record")</f>
        <v/>
      </c>
      <c r="AT611">
        <f>HYPERLINK("http://www.worldcat.org/oclc/6533267","WorldCat Record")</f>
        <v/>
      </c>
      <c r="AU611" t="inlineStr">
        <is>
          <t>23118835:eng</t>
        </is>
      </c>
      <c r="AV611" t="inlineStr">
        <is>
          <t>6533267</t>
        </is>
      </c>
      <c r="AW611" t="inlineStr">
        <is>
          <t>991004999439702656</t>
        </is>
      </c>
      <c r="AX611" t="inlineStr">
        <is>
          <t>991004999439702656</t>
        </is>
      </c>
      <c r="AY611" t="inlineStr">
        <is>
          <t>2263941140002656</t>
        </is>
      </c>
      <c r="AZ611" t="inlineStr">
        <is>
          <t>BOOK</t>
        </is>
      </c>
      <c r="BB611" t="inlineStr">
        <is>
          <t>9780818504235</t>
        </is>
      </c>
      <c r="BC611" t="inlineStr">
        <is>
          <t>32285000006105</t>
        </is>
      </c>
      <c r="BD611" t="inlineStr">
        <is>
          <t>893236145</t>
        </is>
      </c>
    </row>
    <row r="612">
      <c r="A612" t="inlineStr">
        <is>
          <t>No</t>
        </is>
      </c>
      <c r="B612" t="inlineStr">
        <is>
          <t>LB1137 .L66 1987</t>
        </is>
      </c>
      <c r="C612" t="inlineStr">
        <is>
          <t>0                      LB 1137000L  66          1987</t>
        </is>
      </c>
      <c r="D612" t="inlineStr">
        <is>
          <t>Looking at children's play : a bridge between theory and practice / Patricia Monighan-Nourot, Barbara Scales, Judith Van Hoorn, with Millie Almy.</t>
        </is>
      </c>
      <c r="F612" t="inlineStr">
        <is>
          <t>No</t>
        </is>
      </c>
      <c r="G612" t="inlineStr">
        <is>
          <t>1</t>
        </is>
      </c>
      <c r="H612" t="inlineStr">
        <is>
          <t>No</t>
        </is>
      </c>
      <c r="I612" t="inlineStr">
        <is>
          <t>No</t>
        </is>
      </c>
      <c r="J612" t="inlineStr">
        <is>
          <t>0</t>
        </is>
      </c>
      <c r="L612" t="inlineStr">
        <is>
          <t>New York, NY : Teachers College Press, c1987.</t>
        </is>
      </c>
      <c r="M612" t="inlineStr">
        <is>
          <t>1987</t>
        </is>
      </c>
      <c r="O612" t="inlineStr">
        <is>
          <t>eng</t>
        </is>
      </c>
      <c r="P612" t="inlineStr">
        <is>
          <t>nyu</t>
        </is>
      </c>
      <c r="Q612" t="inlineStr">
        <is>
          <t>Early childhood education series</t>
        </is>
      </c>
      <c r="R612" t="inlineStr">
        <is>
          <t xml:space="preserve">LB </t>
        </is>
      </c>
      <c r="S612" t="n">
        <v>3</v>
      </c>
      <c r="T612" t="n">
        <v>3</v>
      </c>
      <c r="U612" t="inlineStr">
        <is>
          <t>2009-03-14</t>
        </is>
      </c>
      <c r="V612" t="inlineStr">
        <is>
          <t>2009-03-14</t>
        </is>
      </c>
      <c r="W612" t="inlineStr">
        <is>
          <t>1992-04-30</t>
        </is>
      </c>
      <c r="X612" t="inlineStr">
        <is>
          <t>1992-04-30</t>
        </is>
      </c>
      <c r="Y612" t="n">
        <v>772</v>
      </c>
      <c r="Z612" t="n">
        <v>672</v>
      </c>
      <c r="AA612" t="n">
        <v>673</v>
      </c>
      <c r="AB612" t="n">
        <v>10</v>
      </c>
      <c r="AC612" t="n">
        <v>10</v>
      </c>
      <c r="AD612" t="n">
        <v>29</v>
      </c>
      <c r="AE612" t="n">
        <v>29</v>
      </c>
      <c r="AF612" t="n">
        <v>8</v>
      </c>
      <c r="AG612" t="n">
        <v>8</v>
      </c>
      <c r="AH612" t="n">
        <v>7</v>
      </c>
      <c r="AI612" t="n">
        <v>7</v>
      </c>
      <c r="AJ612" t="n">
        <v>8</v>
      </c>
      <c r="AK612" t="n">
        <v>8</v>
      </c>
      <c r="AL612" t="n">
        <v>9</v>
      </c>
      <c r="AM612" t="n">
        <v>9</v>
      </c>
      <c r="AN612" t="n">
        <v>0</v>
      </c>
      <c r="AO612" t="n">
        <v>0</v>
      </c>
      <c r="AP612" t="inlineStr">
        <is>
          <t>No</t>
        </is>
      </c>
      <c r="AQ612" t="inlineStr">
        <is>
          <t>No</t>
        </is>
      </c>
      <c r="AS612">
        <f>HYPERLINK("https://creighton-primo.hosted.exlibrisgroup.com/primo-explore/search?tab=default_tab&amp;search_scope=EVERYTHING&amp;vid=01CRU&amp;lang=en_US&amp;offset=0&amp;query=any,contains,991001097999702656","Catalog Record")</f>
        <v/>
      </c>
      <c r="AT612">
        <f>HYPERLINK("http://www.worldcat.org/oclc/16277548","WorldCat Record")</f>
        <v/>
      </c>
      <c r="AU612" t="inlineStr">
        <is>
          <t>894352864:eng</t>
        </is>
      </c>
      <c r="AV612" t="inlineStr">
        <is>
          <t>16277548</t>
        </is>
      </c>
      <c r="AW612" t="inlineStr">
        <is>
          <t>991001097999702656</t>
        </is>
      </c>
      <c r="AX612" t="inlineStr">
        <is>
          <t>991001097999702656</t>
        </is>
      </c>
      <c r="AY612" t="inlineStr">
        <is>
          <t>2260836490002656</t>
        </is>
      </c>
      <c r="AZ612" t="inlineStr">
        <is>
          <t>BOOK</t>
        </is>
      </c>
      <c r="BB612" t="inlineStr">
        <is>
          <t>9780807728734</t>
        </is>
      </c>
      <c r="BC612" t="inlineStr">
        <is>
          <t>32285001096451</t>
        </is>
      </c>
      <c r="BD612" t="inlineStr">
        <is>
          <t>893885041</t>
        </is>
      </c>
    </row>
    <row r="613">
      <c r="A613" t="inlineStr">
        <is>
          <t>No</t>
        </is>
      </c>
      <c r="B613" t="inlineStr">
        <is>
          <t>LB1137 .M27</t>
        </is>
      </c>
      <c r="C613" t="inlineStr">
        <is>
          <t>0                      LB 1137000M  27</t>
        </is>
      </c>
      <c r="D613" t="inlineStr">
        <is>
          <t>Learning through play, by Jean Marzollo and Janice Lloyd. Illustrated by Irene Trivas.</t>
        </is>
      </c>
      <c r="F613" t="inlineStr">
        <is>
          <t>No</t>
        </is>
      </c>
      <c r="G613" t="inlineStr">
        <is>
          <t>1</t>
        </is>
      </c>
      <c r="H613" t="inlineStr">
        <is>
          <t>No</t>
        </is>
      </c>
      <c r="I613" t="inlineStr">
        <is>
          <t>No</t>
        </is>
      </c>
      <c r="J613" t="inlineStr">
        <is>
          <t>0</t>
        </is>
      </c>
      <c r="K613" t="inlineStr">
        <is>
          <t>Marzollo, Jean.</t>
        </is>
      </c>
      <c r="L613" t="inlineStr">
        <is>
          <t>New York, Harper &amp; Row [1972]</t>
        </is>
      </c>
      <c r="M613" t="inlineStr">
        <is>
          <t>1972</t>
        </is>
      </c>
      <c r="N613" t="inlineStr">
        <is>
          <t>[1st ed.]</t>
        </is>
      </c>
      <c r="O613" t="inlineStr">
        <is>
          <t>eng</t>
        </is>
      </c>
      <c r="P613" t="inlineStr">
        <is>
          <t>nyu</t>
        </is>
      </c>
      <c r="R613" t="inlineStr">
        <is>
          <t xml:space="preserve">LB </t>
        </is>
      </c>
      <c r="S613" t="n">
        <v>1</v>
      </c>
      <c r="T613" t="n">
        <v>1</v>
      </c>
      <c r="U613" t="inlineStr">
        <is>
          <t>2002-04-06</t>
        </is>
      </c>
      <c r="V613" t="inlineStr">
        <is>
          <t>2002-04-06</t>
        </is>
      </c>
      <c r="W613" t="inlineStr">
        <is>
          <t>1997-05-07</t>
        </is>
      </c>
      <c r="X613" t="inlineStr">
        <is>
          <t>1997-05-07</t>
        </is>
      </c>
      <c r="Y613" t="n">
        <v>610</v>
      </c>
      <c r="Z613" t="n">
        <v>551</v>
      </c>
      <c r="AA613" t="n">
        <v>682</v>
      </c>
      <c r="AB613" t="n">
        <v>9</v>
      </c>
      <c r="AC613" t="n">
        <v>11</v>
      </c>
      <c r="AD613" t="n">
        <v>18</v>
      </c>
      <c r="AE613" t="n">
        <v>21</v>
      </c>
      <c r="AF613" t="n">
        <v>7</v>
      </c>
      <c r="AG613" t="n">
        <v>7</v>
      </c>
      <c r="AH613" t="n">
        <v>3</v>
      </c>
      <c r="AI613" t="n">
        <v>3</v>
      </c>
      <c r="AJ613" t="n">
        <v>5</v>
      </c>
      <c r="AK613" t="n">
        <v>7</v>
      </c>
      <c r="AL613" t="n">
        <v>6</v>
      </c>
      <c r="AM613" t="n">
        <v>7</v>
      </c>
      <c r="AN613" t="n">
        <v>0</v>
      </c>
      <c r="AO613" t="n">
        <v>0</v>
      </c>
      <c r="AP613" t="inlineStr">
        <is>
          <t>No</t>
        </is>
      </c>
      <c r="AQ613" t="inlineStr">
        <is>
          <t>Yes</t>
        </is>
      </c>
      <c r="AR613">
        <f>HYPERLINK("http://catalog.hathitrust.org/Record/001287684","HathiTrust Record")</f>
        <v/>
      </c>
      <c r="AS613">
        <f>HYPERLINK("https://creighton-primo.hosted.exlibrisgroup.com/primo-explore/search?tab=default_tab&amp;search_scope=EVERYTHING&amp;vid=01CRU&amp;lang=en_US&amp;offset=0&amp;query=any,contains,991002456839702656","Catalog Record")</f>
        <v/>
      </c>
      <c r="AT613">
        <f>HYPERLINK("http://www.worldcat.org/oclc/354801","WorldCat Record")</f>
        <v/>
      </c>
      <c r="AU613" t="inlineStr">
        <is>
          <t>403937:eng</t>
        </is>
      </c>
      <c r="AV613" t="inlineStr">
        <is>
          <t>354801</t>
        </is>
      </c>
      <c r="AW613" t="inlineStr">
        <is>
          <t>991002456839702656</t>
        </is>
      </c>
      <c r="AX613" t="inlineStr">
        <is>
          <t>991002456839702656</t>
        </is>
      </c>
      <c r="AY613" t="inlineStr">
        <is>
          <t>2266374890002656</t>
        </is>
      </c>
      <c r="AZ613" t="inlineStr">
        <is>
          <t>BOOK</t>
        </is>
      </c>
      <c r="BB613" t="inlineStr">
        <is>
          <t>9780060128197</t>
        </is>
      </c>
      <c r="BC613" t="inlineStr">
        <is>
          <t>32285002634367</t>
        </is>
      </c>
      <c r="BD613" t="inlineStr">
        <is>
          <t>893226857</t>
        </is>
      </c>
    </row>
    <row r="614">
      <c r="A614" t="inlineStr">
        <is>
          <t>No</t>
        </is>
      </c>
      <c r="B614" t="inlineStr">
        <is>
          <t>LB1137 .P5547 2002</t>
        </is>
      </c>
      <c r="C614" t="inlineStr">
        <is>
          <t>0                      LB 1137000P  5547        2002</t>
        </is>
      </c>
      <c r="D614" t="inlineStr">
        <is>
          <t>Play in practice : case studies in young children's play / the Early Childhood Consortium.</t>
        </is>
      </c>
      <c r="F614" t="inlineStr">
        <is>
          <t>No</t>
        </is>
      </c>
      <c r="G614" t="inlineStr">
        <is>
          <t>1</t>
        </is>
      </c>
      <c r="H614" t="inlineStr">
        <is>
          <t>No</t>
        </is>
      </c>
      <c r="I614" t="inlineStr">
        <is>
          <t>No</t>
        </is>
      </c>
      <c r="J614" t="inlineStr">
        <is>
          <t>0</t>
        </is>
      </c>
      <c r="L614" t="inlineStr">
        <is>
          <t>St. Paul, MN : Redleaf Press, c2002.</t>
        </is>
      </c>
      <c r="M614" t="inlineStr">
        <is>
          <t>2002</t>
        </is>
      </c>
      <c r="O614" t="inlineStr">
        <is>
          <t>eng</t>
        </is>
      </c>
      <c r="P614" t="inlineStr">
        <is>
          <t>mnu</t>
        </is>
      </c>
      <c r="Q614" t="inlineStr">
        <is>
          <t>Topics in early childhood education</t>
        </is>
      </c>
      <c r="R614" t="inlineStr">
        <is>
          <t xml:space="preserve">LB </t>
        </is>
      </c>
      <c r="S614" t="n">
        <v>3</v>
      </c>
      <c r="T614" t="n">
        <v>3</v>
      </c>
      <c r="U614" t="inlineStr">
        <is>
          <t>2006-06-06</t>
        </is>
      </c>
      <c r="V614" t="inlineStr">
        <is>
          <t>2006-06-06</t>
        </is>
      </c>
      <c r="W614" t="inlineStr">
        <is>
          <t>2003-06-11</t>
        </is>
      </c>
      <c r="X614" t="inlineStr">
        <is>
          <t>2003-06-11</t>
        </is>
      </c>
      <c r="Y614" t="n">
        <v>573</v>
      </c>
      <c r="Z614" t="n">
        <v>519</v>
      </c>
      <c r="AA614" t="n">
        <v>527</v>
      </c>
      <c r="AB614" t="n">
        <v>3</v>
      </c>
      <c r="AC614" t="n">
        <v>3</v>
      </c>
      <c r="AD614" t="n">
        <v>23</v>
      </c>
      <c r="AE614" t="n">
        <v>23</v>
      </c>
      <c r="AF614" t="n">
        <v>15</v>
      </c>
      <c r="AG614" t="n">
        <v>15</v>
      </c>
      <c r="AH614" t="n">
        <v>4</v>
      </c>
      <c r="AI614" t="n">
        <v>4</v>
      </c>
      <c r="AJ614" t="n">
        <v>10</v>
      </c>
      <c r="AK614" t="n">
        <v>10</v>
      </c>
      <c r="AL614" t="n">
        <v>2</v>
      </c>
      <c r="AM614" t="n">
        <v>2</v>
      </c>
      <c r="AN614" t="n">
        <v>0</v>
      </c>
      <c r="AO614" t="n">
        <v>0</v>
      </c>
      <c r="AP614" t="inlineStr">
        <is>
          <t>No</t>
        </is>
      </c>
      <c r="AQ614" t="inlineStr">
        <is>
          <t>Yes</t>
        </is>
      </c>
      <c r="AR614">
        <f>HYPERLINK("http://catalog.hathitrust.org/Record/004372431","HathiTrust Record")</f>
        <v/>
      </c>
      <c r="AS614">
        <f>HYPERLINK("https://creighton-primo.hosted.exlibrisgroup.com/primo-explore/search?tab=default_tab&amp;search_scope=EVERYTHING&amp;vid=01CRU&amp;lang=en_US&amp;offset=0&amp;query=any,contains,991004053289702656","Catalog Record")</f>
        <v/>
      </c>
      <c r="AT614">
        <f>HYPERLINK("http://www.worldcat.org/oclc/48987614","WorldCat Record")</f>
        <v/>
      </c>
      <c r="AU614" t="inlineStr">
        <is>
          <t>38832885:eng</t>
        </is>
      </c>
      <c r="AV614" t="inlineStr">
        <is>
          <t>48987614</t>
        </is>
      </c>
      <c r="AW614" t="inlineStr">
        <is>
          <t>991004053289702656</t>
        </is>
      </c>
      <c r="AX614" t="inlineStr">
        <is>
          <t>991004053289702656</t>
        </is>
      </c>
      <c r="AY614" t="inlineStr">
        <is>
          <t>2266462530002656</t>
        </is>
      </c>
      <c r="AZ614" t="inlineStr">
        <is>
          <t>BOOK</t>
        </is>
      </c>
      <c r="BB614" t="inlineStr">
        <is>
          <t>9781929610099</t>
        </is>
      </c>
      <c r="BC614" t="inlineStr">
        <is>
          <t>32285004751813</t>
        </is>
      </c>
      <c r="BD614" t="inlineStr">
        <is>
          <t>893605575</t>
        </is>
      </c>
    </row>
    <row r="615">
      <c r="A615" t="inlineStr">
        <is>
          <t>No</t>
        </is>
      </c>
      <c r="B615" t="inlineStr">
        <is>
          <t>LB1137 .P558 1992</t>
        </is>
      </c>
      <c r="C615" t="inlineStr">
        <is>
          <t>0                      LB 1137000P  558         1992</t>
        </is>
      </c>
      <c r="D615" t="inlineStr">
        <is>
          <t>Play's place in public education for young children / Victoria Jean Dimidjian, editor.</t>
        </is>
      </c>
      <c r="F615" t="inlineStr">
        <is>
          <t>No</t>
        </is>
      </c>
      <c r="G615" t="inlineStr">
        <is>
          <t>1</t>
        </is>
      </c>
      <c r="H615" t="inlineStr">
        <is>
          <t>No</t>
        </is>
      </c>
      <c r="I615" t="inlineStr">
        <is>
          <t>No</t>
        </is>
      </c>
      <c r="J615" t="inlineStr">
        <is>
          <t>0</t>
        </is>
      </c>
      <c r="L615" t="inlineStr">
        <is>
          <t>Washington, D.C. : NEA Professional Library, National Education Association, c1992.</t>
        </is>
      </c>
      <c r="M615" t="inlineStr">
        <is>
          <t>1991</t>
        </is>
      </c>
      <c r="O615" t="inlineStr">
        <is>
          <t>eng</t>
        </is>
      </c>
      <c r="P615" t="inlineStr">
        <is>
          <t>dcu</t>
        </is>
      </c>
      <c r="Q615" t="inlineStr">
        <is>
          <t>NEA early childhood education series</t>
        </is>
      </c>
      <c r="R615" t="inlineStr">
        <is>
          <t xml:space="preserve">LB </t>
        </is>
      </c>
      <c r="S615" t="n">
        <v>5</v>
      </c>
      <c r="T615" t="n">
        <v>5</v>
      </c>
      <c r="U615" t="inlineStr">
        <is>
          <t>2002-04-06</t>
        </is>
      </c>
      <c r="V615" t="inlineStr">
        <is>
          <t>2002-04-06</t>
        </is>
      </c>
      <c r="W615" t="inlineStr">
        <is>
          <t>1992-04-22</t>
        </is>
      </c>
      <c r="X615" t="inlineStr">
        <is>
          <t>1992-04-22</t>
        </is>
      </c>
      <c r="Y615" t="n">
        <v>360</v>
      </c>
      <c r="Z615" t="n">
        <v>344</v>
      </c>
      <c r="AA615" t="n">
        <v>359</v>
      </c>
      <c r="AB615" t="n">
        <v>4</v>
      </c>
      <c r="AC615" t="n">
        <v>4</v>
      </c>
      <c r="AD615" t="n">
        <v>12</v>
      </c>
      <c r="AE615" t="n">
        <v>12</v>
      </c>
      <c r="AF615" t="n">
        <v>5</v>
      </c>
      <c r="AG615" t="n">
        <v>5</v>
      </c>
      <c r="AH615" t="n">
        <v>1</v>
      </c>
      <c r="AI615" t="n">
        <v>1</v>
      </c>
      <c r="AJ615" t="n">
        <v>6</v>
      </c>
      <c r="AK615" t="n">
        <v>6</v>
      </c>
      <c r="AL615" t="n">
        <v>3</v>
      </c>
      <c r="AM615" t="n">
        <v>3</v>
      </c>
      <c r="AN615" t="n">
        <v>0</v>
      </c>
      <c r="AO615" t="n">
        <v>0</v>
      </c>
      <c r="AP615" t="inlineStr">
        <is>
          <t>No</t>
        </is>
      </c>
      <c r="AQ615" t="inlineStr">
        <is>
          <t>Yes</t>
        </is>
      </c>
      <c r="AR615">
        <f>HYPERLINK("http://catalog.hathitrust.org/Record/002568949","HathiTrust Record")</f>
        <v/>
      </c>
      <c r="AS615">
        <f>HYPERLINK("https://creighton-primo.hosted.exlibrisgroup.com/primo-explore/search?tab=default_tab&amp;search_scope=EVERYTHING&amp;vid=01CRU&amp;lang=en_US&amp;offset=0&amp;query=any,contains,991001911089702656","Catalog Record")</f>
        <v/>
      </c>
      <c r="AT615">
        <f>HYPERLINK("http://www.worldcat.org/oclc/24142365","WorldCat Record")</f>
        <v/>
      </c>
      <c r="AU615" t="inlineStr">
        <is>
          <t>55484294:eng</t>
        </is>
      </c>
      <c r="AV615" t="inlineStr">
        <is>
          <t>24142365</t>
        </is>
      </c>
      <c r="AW615" t="inlineStr">
        <is>
          <t>991001911089702656</t>
        </is>
      </c>
      <c r="AX615" t="inlineStr">
        <is>
          <t>991001911089702656</t>
        </is>
      </c>
      <c r="AY615" t="inlineStr">
        <is>
          <t>2265651390002656</t>
        </is>
      </c>
      <c r="AZ615" t="inlineStr">
        <is>
          <t>BOOK</t>
        </is>
      </c>
      <c r="BB615" t="inlineStr">
        <is>
          <t>9780810603646</t>
        </is>
      </c>
      <c r="BC615" t="inlineStr">
        <is>
          <t>32285001065647</t>
        </is>
      </c>
      <c r="BD615" t="inlineStr">
        <is>
          <t>893238437</t>
        </is>
      </c>
    </row>
    <row r="616">
      <c r="A616" t="inlineStr">
        <is>
          <t>No</t>
        </is>
      </c>
      <c r="B616" t="inlineStr">
        <is>
          <t>LB1137 .P63</t>
        </is>
      </c>
      <c r="C616" t="inlineStr">
        <is>
          <t>0                      LB 1137000P  63</t>
        </is>
      </c>
      <c r="D616" t="inlineStr">
        <is>
          <t>Creative teaching games, by Linda Polon and Wendy Pollitt.</t>
        </is>
      </c>
      <c r="F616" t="inlineStr">
        <is>
          <t>No</t>
        </is>
      </c>
      <c r="G616" t="inlineStr">
        <is>
          <t>1</t>
        </is>
      </c>
      <c r="H616" t="inlineStr">
        <is>
          <t>No</t>
        </is>
      </c>
      <c r="I616" t="inlineStr">
        <is>
          <t>No</t>
        </is>
      </c>
      <c r="J616" t="inlineStr">
        <is>
          <t>0</t>
        </is>
      </c>
      <c r="K616" t="inlineStr">
        <is>
          <t>Polon, Linda Beth.</t>
        </is>
      </c>
      <c r="L616" t="inlineStr">
        <is>
          <t>Minneapolis, Denison [1974]</t>
        </is>
      </c>
      <c r="M616" t="inlineStr">
        <is>
          <t>1974</t>
        </is>
      </c>
      <c r="O616" t="inlineStr">
        <is>
          <t>eng</t>
        </is>
      </c>
      <c r="P616" t="inlineStr">
        <is>
          <t>mnu</t>
        </is>
      </c>
      <c r="R616" t="inlineStr">
        <is>
          <t xml:space="preserve">LB </t>
        </is>
      </c>
      <c r="S616" t="n">
        <v>1</v>
      </c>
      <c r="T616" t="n">
        <v>1</v>
      </c>
      <c r="U616" t="inlineStr">
        <is>
          <t>2007-09-05</t>
        </is>
      </c>
      <c r="V616" t="inlineStr">
        <is>
          <t>2007-09-05</t>
        </is>
      </c>
      <c r="W616" t="inlineStr">
        <is>
          <t>1997-11-03</t>
        </is>
      </c>
      <c r="X616" t="inlineStr">
        <is>
          <t>1997-11-03</t>
        </is>
      </c>
      <c r="Y616" t="n">
        <v>114</v>
      </c>
      <c r="Z616" t="n">
        <v>101</v>
      </c>
      <c r="AA616" t="n">
        <v>101</v>
      </c>
      <c r="AB616" t="n">
        <v>5</v>
      </c>
      <c r="AC616" t="n">
        <v>5</v>
      </c>
      <c r="AD616" t="n">
        <v>5</v>
      </c>
      <c r="AE616" t="n">
        <v>5</v>
      </c>
      <c r="AF616" t="n">
        <v>0</v>
      </c>
      <c r="AG616" t="n">
        <v>0</v>
      </c>
      <c r="AH616" t="n">
        <v>0</v>
      </c>
      <c r="AI616" t="n">
        <v>0</v>
      </c>
      <c r="AJ616" t="n">
        <v>1</v>
      </c>
      <c r="AK616" t="n">
        <v>1</v>
      </c>
      <c r="AL616" t="n">
        <v>4</v>
      </c>
      <c r="AM616" t="n">
        <v>4</v>
      </c>
      <c r="AN616" t="n">
        <v>0</v>
      </c>
      <c r="AO616" t="n">
        <v>0</v>
      </c>
      <c r="AP616" t="inlineStr">
        <is>
          <t>No</t>
        </is>
      </c>
      <c r="AQ616" t="inlineStr">
        <is>
          <t>No</t>
        </is>
      </c>
      <c r="AS616">
        <f>HYPERLINK("https://creighton-primo.hosted.exlibrisgroup.com/primo-explore/search?tab=default_tab&amp;search_scope=EVERYTHING&amp;vid=01CRU&amp;lang=en_US&amp;offset=0&amp;query=any,contains,991003337389702656","Catalog Record")</f>
        <v/>
      </c>
      <c r="AT616">
        <f>HYPERLINK("http://www.worldcat.org/oclc/867699","WorldCat Record")</f>
        <v/>
      </c>
      <c r="AU616" t="inlineStr">
        <is>
          <t>1836921:eng</t>
        </is>
      </c>
      <c r="AV616" t="inlineStr">
        <is>
          <t>867699</t>
        </is>
      </c>
      <c r="AW616" t="inlineStr">
        <is>
          <t>991003337389702656</t>
        </is>
      </c>
      <c r="AX616" t="inlineStr">
        <is>
          <t>991003337389702656</t>
        </is>
      </c>
      <c r="AY616" t="inlineStr">
        <is>
          <t>2265721430002656</t>
        </is>
      </c>
      <c r="AZ616" t="inlineStr">
        <is>
          <t>BOOK</t>
        </is>
      </c>
      <c r="BB616" t="inlineStr">
        <is>
          <t>9780513012653</t>
        </is>
      </c>
      <c r="BC616" t="inlineStr">
        <is>
          <t>32285003275053</t>
        </is>
      </c>
      <c r="BD616" t="inlineStr">
        <is>
          <t>893598488</t>
        </is>
      </c>
    </row>
    <row r="617">
      <c r="A617" t="inlineStr">
        <is>
          <t>No</t>
        </is>
      </c>
      <c r="B617" t="inlineStr">
        <is>
          <t>LB1137 .R44</t>
        </is>
      </c>
      <c r="C617" t="inlineStr">
        <is>
          <t>0                      LB 1137000R  44</t>
        </is>
      </c>
      <c r="D617" t="inlineStr">
        <is>
          <t>Play as exploratory learning; studies of curiosity behavior. Mary Reilly, editor.</t>
        </is>
      </c>
      <c r="F617" t="inlineStr">
        <is>
          <t>No</t>
        </is>
      </c>
      <c r="G617" t="inlineStr">
        <is>
          <t>1</t>
        </is>
      </c>
      <c r="H617" t="inlineStr">
        <is>
          <t>No</t>
        </is>
      </c>
      <c r="I617" t="inlineStr">
        <is>
          <t>No</t>
        </is>
      </c>
      <c r="J617" t="inlineStr">
        <is>
          <t>0</t>
        </is>
      </c>
      <c r="K617" t="inlineStr">
        <is>
          <t>Reilly, Mary.</t>
        </is>
      </c>
      <c r="L617" t="inlineStr">
        <is>
          <t>Beverly Hills [Calif.] Sage Publications [1974]</t>
        </is>
      </c>
      <c r="M617" t="inlineStr">
        <is>
          <t>1974</t>
        </is>
      </c>
      <c r="O617" t="inlineStr">
        <is>
          <t>eng</t>
        </is>
      </c>
      <c r="P617" t="inlineStr">
        <is>
          <t>cau</t>
        </is>
      </c>
      <c r="R617" t="inlineStr">
        <is>
          <t xml:space="preserve">LB </t>
        </is>
      </c>
      <c r="S617" t="n">
        <v>2</v>
      </c>
      <c r="T617" t="n">
        <v>2</v>
      </c>
      <c r="U617" t="inlineStr">
        <is>
          <t>2007-07-03</t>
        </is>
      </c>
      <c r="V617" t="inlineStr">
        <is>
          <t>2007-07-03</t>
        </is>
      </c>
      <c r="W617" t="inlineStr">
        <is>
          <t>1997-05-07</t>
        </is>
      </c>
      <c r="X617" t="inlineStr">
        <is>
          <t>1997-05-07</t>
        </is>
      </c>
      <c r="Y617" t="n">
        <v>628</v>
      </c>
      <c r="Z617" t="n">
        <v>473</v>
      </c>
      <c r="AA617" t="n">
        <v>483</v>
      </c>
      <c r="AB617" t="n">
        <v>3</v>
      </c>
      <c r="AC617" t="n">
        <v>3</v>
      </c>
      <c r="AD617" t="n">
        <v>16</v>
      </c>
      <c r="AE617" t="n">
        <v>16</v>
      </c>
      <c r="AF617" t="n">
        <v>7</v>
      </c>
      <c r="AG617" t="n">
        <v>7</v>
      </c>
      <c r="AH617" t="n">
        <v>3</v>
      </c>
      <c r="AI617" t="n">
        <v>3</v>
      </c>
      <c r="AJ617" t="n">
        <v>8</v>
      </c>
      <c r="AK617" t="n">
        <v>8</v>
      </c>
      <c r="AL617" t="n">
        <v>2</v>
      </c>
      <c r="AM617" t="n">
        <v>2</v>
      </c>
      <c r="AN617" t="n">
        <v>0</v>
      </c>
      <c r="AO617" t="n">
        <v>0</v>
      </c>
      <c r="AP617" t="inlineStr">
        <is>
          <t>No</t>
        </is>
      </c>
      <c r="AQ617" t="inlineStr">
        <is>
          <t>Yes</t>
        </is>
      </c>
      <c r="AR617">
        <f>HYPERLINK("http://catalog.hathitrust.org/Record/009905613","HathiTrust Record")</f>
        <v/>
      </c>
      <c r="AS617">
        <f>HYPERLINK("https://creighton-primo.hosted.exlibrisgroup.com/primo-explore/search?tab=default_tab&amp;search_scope=EVERYTHING&amp;vid=01CRU&amp;lang=en_US&amp;offset=0&amp;query=any,contains,991003418139702656","Catalog Record")</f>
        <v/>
      </c>
      <c r="AT617">
        <f>HYPERLINK("http://www.worldcat.org/oclc/959776","WorldCat Record")</f>
        <v/>
      </c>
      <c r="AU617" t="inlineStr">
        <is>
          <t>689231174:eng</t>
        </is>
      </c>
      <c r="AV617" t="inlineStr">
        <is>
          <t>959776</t>
        </is>
      </c>
      <c r="AW617" t="inlineStr">
        <is>
          <t>991003418139702656</t>
        </is>
      </c>
      <c r="AX617" t="inlineStr">
        <is>
          <t>991003418139702656</t>
        </is>
      </c>
      <c r="AY617" t="inlineStr">
        <is>
          <t>2268846820002656</t>
        </is>
      </c>
      <c r="AZ617" t="inlineStr">
        <is>
          <t>BOOK</t>
        </is>
      </c>
      <c r="BB617" t="inlineStr">
        <is>
          <t>9780803901599</t>
        </is>
      </c>
      <c r="BC617" t="inlineStr">
        <is>
          <t>32285002634375</t>
        </is>
      </c>
      <c r="BD617" t="inlineStr">
        <is>
          <t>893904367</t>
        </is>
      </c>
    </row>
    <row r="618">
      <c r="A618" t="inlineStr">
        <is>
          <t>No</t>
        </is>
      </c>
      <c r="B618" t="inlineStr">
        <is>
          <t>LB1137 .R49 1997</t>
        </is>
      </c>
      <c r="C618" t="inlineStr">
        <is>
          <t>0                      LB 1137000R  49          1997</t>
        </is>
      </c>
      <c r="D618" t="inlineStr">
        <is>
          <t>Master players : learning from children at play / Gretchen Reynolds, Elizabeth Jones.</t>
        </is>
      </c>
      <c r="F618" t="inlineStr">
        <is>
          <t>No</t>
        </is>
      </c>
      <c r="G618" t="inlineStr">
        <is>
          <t>1</t>
        </is>
      </c>
      <c r="H618" t="inlineStr">
        <is>
          <t>No</t>
        </is>
      </c>
      <c r="I618" t="inlineStr">
        <is>
          <t>No</t>
        </is>
      </c>
      <c r="J618" t="inlineStr">
        <is>
          <t>0</t>
        </is>
      </c>
      <c r="K618" t="inlineStr">
        <is>
          <t>Reynolds, Gretchen.</t>
        </is>
      </c>
      <c r="L618" t="inlineStr">
        <is>
          <t>New York : Teachers College Press, c1997.</t>
        </is>
      </c>
      <c r="M618" t="inlineStr">
        <is>
          <t>1997</t>
        </is>
      </c>
      <c r="O618" t="inlineStr">
        <is>
          <t>eng</t>
        </is>
      </c>
      <c r="P618" t="inlineStr">
        <is>
          <t>nyu</t>
        </is>
      </c>
      <c r="Q618" t="inlineStr">
        <is>
          <t>Early childhood education</t>
        </is>
      </c>
      <c r="R618" t="inlineStr">
        <is>
          <t xml:space="preserve">LB </t>
        </is>
      </c>
      <c r="S618" t="n">
        <v>4</v>
      </c>
      <c r="T618" t="n">
        <v>4</v>
      </c>
      <c r="U618" t="inlineStr">
        <is>
          <t>2002-04-06</t>
        </is>
      </c>
      <c r="V618" t="inlineStr">
        <is>
          <t>2002-04-06</t>
        </is>
      </c>
      <c r="W618" t="inlineStr">
        <is>
          <t>1997-03-13</t>
        </is>
      </c>
      <c r="X618" t="inlineStr">
        <is>
          <t>1997-03-13</t>
        </is>
      </c>
      <c r="Y618" t="n">
        <v>456</v>
      </c>
      <c r="Z618" t="n">
        <v>382</v>
      </c>
      <c r="AA618" t="n">
        <v>388</v>
      </c>
      <c r="AB618" t="n">
        <v>4</v>
      </c>
      <c r="AC618" t="n">
        <v>4</v>
      </c>
      <c r="AD618" t="n">
        <v>16</v>
      </c>
      <c r="AE618" t="n">
        <v>16</v>
      </c>
      <c r="AF618" t="n">
        <v>4</v>
      </c>
      <c r="AG618" t="n">
        <v>4</v>
      </c>
      <c r="AH618" t="n">
        <v>4</v>
      </c>
      <c r="AI618" t="n">
        <v>4</v>
      </c>
      <c r="AJ618" t="n">
        <v>10</v>
      </c>
      <c r="AK618" t="n">
        <v>10</v>
      </c>
      <c r="AL618" t="n">
        <v>3</v>
      </c>
      <c r="AM618" t="n">
        <v>3</v>
      </c>
      <c r="AN618" t="n">
        <v>0</v>
      </c>
      <c r="AO618" t="n">
        <v>0</v>
      </c>
      <c r="AP618" t="inlineStr">
        <is>
          <t>No</t>
        </is>
      </c>
      <c r="AQ618" t="inlineStr">
        <is>
          <t>No</t>
        </is>
      </c>
      <c r="AS618">
        <f>HYPERLINK("https://creighton-primo.hosted.exlibrisgroup.com/primo-explore/search?tab=default_tab&amp;search_scope=EVERYTHING&amp;vid=01CRU&amp;lang=en_US&amp;offset=0&amp;query=any,contains,991002710399702656","Catalog Record")</f>
        <v/>
      </c>
      <c r="AT618">
        <f>HYPERLINK("http://www.worldcat.org/oclc/35526285","WorldCat Record")</f>
        <v/>
      </c>
      <c r="AU618" t="inlineStr">
        <is>
          <t>40485292:eng</t>
        </is>
      </c>
      <c r="AV618" t="inlineStr">
        <is>
          <t>35526285</t>
        </is>
      </c>
      <c r="AW618" t="inlineStr">
        <is>
          <t>991002710399702656</t>
        </is>
      </c>
      <c r="AX618" t="inlineStr">
        <is>
          <t>991002710399702656</t>
        </is>
      </c>
      <c r="AY618" t="inlineStr">
        <is>
          <t>2263618360002656</t>
        </is>
      </c>
      <c r="AZ618" t="inlineStr">
        <is>
          <t>BOOK</t>
        </is>
      </c>
      <c r="BB618" t="inlineStr">
        <is>
          <t>9780807735817</t>
        </is>
      </c>
      <c r="BC618" t="inlineStr">
        <is>
          <t>32285002442647</t>
        </is>
      </c>
      <c r="BD618" t="inlineStr">
        <is>
          <t>893445317</t>
        </is>
      </c>
    </row>
    <row r="619">
      <c r="A619" t="inlineStr">
        <is>
          <t>No</t>
        </is>
      </c>
      <c r="B619" t="inlineStr">
        <is>
          <t>LB1137 .W44</t>
        </is>
      </c>
      <c r="C619" t="inlineStr">
        <is>
          <t>0                      LB 1137000W  44</t>
        </is>
      </c>
      <c r="D619" t="inlineStr">
        <is>
          <t>Play and education : the basic tool for early childhood learning / by Otto Weininger.</t>
        </is>
      </c>
      <c r="F619" t="inlineStr">
        <is>
          <t>No</t>
        </is>
      </c>
      <c r="G619" t="inlineStr">
        <is>
          <t>1</t>
        </is>
      </c>
      <c r="H619" t="inlineStr">
        <is>
          <t>No</t>
        </is>
      </c>
      <c r="I619" t="inlineStr">
        <is>
          <t>No</t>
        </is>
      </c>
      <c r="J619" t="inlineStr">
        <is>
          <t>0</t>
        </is>
      </c>
      <c r="K619" t="inlineStr">
        <is>
          <t>Weininger, Otto, 1929-</t>
        </is>
      </c>
      <c r="L619" t="inlineStr">
        <is>
          <t>Springfield, Ill. : Thomas, c1979.</t>
        </is>
      </c>
      <c r="M619" t="inlineStr">
        <is>
          <t>1979</t>
        </is>
      </c>
      <c r="O619" t="inlineStr">
        <is>
          <t>eng</t>
        </is>
      </c>
      <c r="P619" t="inlineStr">
        <is>
          <t>ilu</t>
        </is>
      </c>
      <c r="R619" t="inlineStr">
        <is>
          <t xml:space="preserve">LB </t>
        </is>
      </c>
      <c r="S619" t="n">
        <v>1</v>
      </c>
      <c r="T619" t="n">
        <v>1</v>
      </c>
      <c r="U619" t="inlineStr">
        <is>
          <t>2002-04-06</t>
        </is>
      </c>
      <c r="V619" t="inlineStr">
        <is>
          <t>2002-04-06</t>
        </is>
      </c>
      <c r="W619" t="inlineStr">
        <is>
          <t>1990-02-05</t>
        </is>
      </c>
      <c r="X619" t="inlineStr">
        <is>
          <t>1990-02-05</t>
        </is>
      </c>
      <c r="Y619" t="n">
        <v>461</v>
      </c>
      <c r="Z619" t="n">
        <v>391</v>
      </c>
      <c r="AA619" t="n">
        <v>391</v>
      </c>
      <c r="AB619" t="n">
        <v>3</v>
      </c>
      <c r="AC619" t="n">
        <v>3</v>
      </c>
      <c r="AD619" t="n">
        <v>12</v>
      </c>
      <c r="AE619" t="n">
        <v>12</v>
      </c>
      <c r="AF619" t="n">
        <v>6</v>
      </c>
      <c r="AG619" t="n">
        <v>6</v>
      </c>
      <c r="AH619" t="n">
        <v>2</v>
      </c>
      <c r="AI619" t="n">
        <v>2</v>
      </c>
      <c r="AJ619" t="n">
        <v>3</v>
      </c>
      <c r="AK619" t="n">
        <v>3</v>
      </c>
      <c r="AL619" t="n">
        <v>2</v>
      </c>
      <c r="AM619" t="n">
        <v>2</v>
      </c>
      <c r="AN619" t="n">
        <v>0</v>
      </c>
      <c r="AO619" t="n">
        <v>0</v>
      </c>
      <c r="AP619" t="inlineStr">
        <is>
          <t>No</t>
        </is>
      </c>
      <c r="AQ619" t="inlineStr">
        <is>
          <t>No</t>
        </is>
      </c>
      <c r="AS619">
        <f>HYPERLINK("https://creighton-primo.hosted.exlibrisgroup.com/primo-explore/search?tab=default_tab&amp;search_scope=EVERYTHING&amp;vid=01CRU&amp;lang=en_US&amp;offset=0&amp;query=any,contains,991004590339702656","Catalog Record")</f>
        <v/>
      </c>
      <c r="AT619">
        <f>HYPERLINK("http://www.worldcat.org/oclc/4114841","WorldCat Record")</f>
        <v/>
      </c>
      <c r="AU619" t="inlineStr">
        <is>
          <t>478725873:eng</t>
        </is>
      </c>
      <c r="AV619" t="inlineStr">
        <is>
          <t>4114841</t>
        </is>
      </c>
      <c r="AW619" t="inlineStr">
        <is>
          <t>991004590339702656</t>
        </is>
      </c>
      <c r="AX619" t="inlineStr">
        <is>
          <t>991004590339702656</t>
        </is>
      </c>
      <c r="AY619" t="inlineStr">
        <is>
          <t>2270954330002656</t>
        </is>
      </c>
      <c r="AZ619" t="inlineStr">
        <is>
          <t>BOOK</t>
        </is>
      </c>
      <c r="BB619" t="inlineStr">
        <is>
          <t>9780398038458</t>
        </is>
      </c>
      <c r="BC619" t="inlineStr">
        <is>
          <t>32285000006113</t>
        </is>
      </c>
      <c r="BD619" t="inlineStr">
        <is>
          <t>893606210</t>
        </is>
      </c>
    </row>
    <row r="620">
      <c r="A620" t="inlineStr">
        <is>
          <t>No</t>
        </is>
      </c>
      <c r="B620" t="inlineStr">
        <is>
          <t>LB1139.23 .C84 1995</t>
        </is>
      </c>
      <c r="C620" t="inlineStr">
        <is>
          <t>0                      LB 1139230C  84          1995</t>
        </is>
      </c>
      <c r="D620" t="inlineStr">
        <is>
          <t>Experimenting with the world : John Dewey and the early childhood classroom / Harriet K. Cuffaro.</t>
        </is>
      </c>
      <c r="F620" t="inlineStr">
        <is>
          <t>No</t>
        </is>
      </c>
      <c r="G620" t="inlineStr">
        <is>
          <t>1</t>
        </is>
      </c>
      <c r="H620" t="inlineStr">
        <is>
          <t>No</t>
        </is>
      </c>
      <c r="I620" t="inlineStr">
        <is>
          <t>No</t>
        </is>
      </c>
      <c r="J620" t="inlineStr">
        <is>
          <t>0</t>
        </is>
      </c>
      <c r="K620" t="inlineStr">
        <is>
          <t>Cuffaro, Harriet K.</t>
        </is>
      </c>
      <c r="L620" t="inlineStr">
        <is>
          <t>New York : Teachers College Press, Teachers College, Columbia University, c1995.</t>
        </is>
      </c>
      <c r="M620" t="inlineStr">
        <is>
          <t>1995</t>
        </is>
      </c>
      <c r="O620" t="inlineStr">
        <is>
          <t>eng</t>
        </is>
      </c>
      <c r="P620" t="inlineStr">
        <is>
          <t>nyu</t>
        </is>
      </c>
      <c r="Q620" t="inlineStr">
        <is>
          <t>Early childhood education series</t>
        </is>
      </c>
      <c r="R620" t="inlineStr">
        <is>
          <t xml:space="preserve">LB </t>
        </is>
      </c>
      <c r="S620" t="n">
        <v>5</v>
      </c>
      <c r="T620" t="n">
        <v>5</v>
      </c>
      <c r="U620" t="inlineStr">
        <is>
          <t>2001-12-01</t>
        </is>
      </c>
      <c r="V620" t="inlineStr">
        <is>
          <t>2001-12-01</t>
        </is>
      </c>
      <c r="W620" t="inlineStr">
        <is>
          <t>1996-05-15</t>
        </is>
      </c>
      <c r="X620" t="inlineStr">
        <is>
          <t>1996-05-15</t>
        </is>
      </c>
      <c r="Y620" t="n">
        <v>696</v>
      </c>
      <c r="Z620" t="n">
        <v>605</v>
      </c>
      <c r="AA620" t="n">
        <v>610</v>
      </c>
      <c r="AB620" t="n">
        <v>6</v>
      </c>
      <c r="AC620" t="n">
        <v>6</v>
      </c>
      <c r="AD620" t="n">
        <v>30</v>
      </c>
      <c r="AE620" t="n">
        <v>30</v>
      </c>
      <c r="AF620" t="n">
        <v>11</v>
      </c>
      <c r="AG620" t="n">
        <v>11</v>
      </c>
      <c r="AH620" t="n">
        <v>7</v>
      </c>
      <c r="AI620" t="n">
        <v>7</v>
      </c>
      <c r="AJ620" t="n">
        <v>13</v>
      </c>
      <c r="AK620" t="n">
        <v>13</v>
      </c>
      <c r="AL620" t="n">
        <v>5</v>
      </c>
      <c r="AM620" t="n">
        <v>5</v>
      </c>
      <c r="AN620" t="n">
        <v>0</v>
      </c>
      <c r="AO620" t="n">
        <v>0</v>
      </c>
      <c r="AP620" t="inlineStr">
        <is>
          <t>No</t>
        </is>
      </c>
      <c r="AQ620" t="inlineStr">
        <is>
          <t>No</t>
        </is>
      </c>
      <c r="AS620">
        <f>HYPERLINK("https://creighton-primo.hosted.exlibrisgroup.com/primo-explore/search?tab=default_tab&amp;search_scope=EVERYTHING&amp;vid=01CRU&amp;lang=en_US&amp;offset=0&amp;query=any,contains,991002352849702656","Catalog Record")</f>
        <v/>
      </c>
      <c r="AT620">
        <f>HYPERLINK("http://www.worldcat.org/oclc/30624857","WorldCat Record")</f>
        <v/>
      </c>
      <c r="AU620" t="inlineStr">
        <is>
          <t>32689453:eng</t>
        </is>
      </c>
      <c r="AV620" t="inlineStr">
        <is>
          <t>30624857</t>
        </is>
      </c>
      <c r="AW620" t="inlineStr">
        <is>
          <t>991002352849702656</t>
        </is>
      </c>
      <c r="AX620" t="inlineStr">
        <is>
          <t>991002352849702656</t>
        </is>
      </c>
      <c r="AY620" t="inlineStr">
        <is>
          <t>2260318590002656</t>
        </is>
      </c>
      <c r="AZ620" t="inlineStr">
        <is>
          <t>BOOK</t>
        </is>
      </c>
      <c r="BB620" t="inlineStr">
        <is>
          <t>9780807733714</t>
        </is>
      </c>
      <c r="BC620" t="inlineStr">
        <is>
          <t>32285002168325</t>
        </is>
      </c>
      <c r="BD620" t="inlineStr">
        <is>
          <t>893415100</t>
        </is>
      </c>
    </row>
    <row r="621">
      <c r="A621" t="inlineStr">
        <is>
          <t>No</t>
        </is>
      </c>
      <c r="B621" t="inlineStr">
        <is>
          <t>LB1139.25 .B76 1992</t>
        </is>
      </c>
      <c r="C621" t="inlineStr">
        <is>
          <t>0                      LB 1139250B  76          1992</t>
        </is>
      </c>
      <c r="D621" t="inlineStr">
        <is>
          <t>Problem solving in the early childhood classroom / Joan Britz, Norma Richard.</t>
        </is>
      </c>
      <c r="F621" t="inlineStr">
        <is>
          <t>No</t>
        </is>
      </c>
      <c r="G621" t="inlineStr">
        <is>
          <t>1</t>
        </is>
      </c>
      <c r="H621" t="inlineStr">
        <is>
          <t>No</t>
        </is>
      </c>
      <c r="I621" t="inlineStr">
        <is>
          <t>No</t>
        </is>
      </c>
      <c r="J621" t="inlineStr">
        <is>
          <t>0</t>
        </is>
      </c>
      <c r="K621" t="inlineStr">
        <is>
          <t>Britz, Joan.</t>
        </is>
      </c>
      <c r="L621" t="inlineStr">
        <is>
          <t>Washington, D.C. : National Education Association of the United States, c1992.</t>
        </is>
      </c>
      <c r="M621" t="inlineStr">
        <is>
          <t>1992</t>
        </is>
      </c>
      <c r="O621" t="inlineStr">
        <is>
          <t>eng</t>
        </is>
      </c>
      <c r="P621" t="inlineStr">
        <is>
          <t>dcu</t>
        </is>
      </c>
      <c r="Q621" t="inlineStr">
        <is>
          <t>NEA early childhood education series</t>
        </is>
      </c>
      <c r="R621" t="inlineStr">
        <is>
          <t xml:space="preserve">LB </t>
        </is>
      </c>
      <c r="S621" t="n">
        <v>2</v>
      </c>
      <c r="T621" t="n">
        <v>2</v>
      </c>
      <c r="U621" t="inlineStr">
        <is>
          <t>2010-03-09</t>
        </is>
      </c>
      <c r="V621" t="inlineStr">
        <is>
          <t>2010-03-09</t>
        </is>
      </c>
      <c r="W621" t="inlineStr">
        <is>
          <t>1992-03-17</t>
        </is>
      </c>
      <c r="X621" t="inlineStr">
        <is>
          <t>1992-03-17</t>
        </is>
      </c>
      <c r="Y621" t="n">
        <v>338</v>
      </c>
      <c r="Z621" t="n">
        <v>316</v>
      </c>
      <c r="AA621" t="n">
        <v>323</v>
      </c>
      <c r="AB621" t="n">
        <v>4</v>
      </c>
      <c r="AC621" t="n">
        <v>4</v>
      </c>
      <c r="AD621" t="n">
        <v>13</v>
      </c>
      <c r="AE621" t="n">
        <v>13</v>
      </c>
      <c r="AF621" t="n">
        <v>5</v>
      </c>
      <c r="AG621" t="n">
        <v>5</v>
      </c>
      <c r="AH621" t="n">
        <v>1</v>
      </c>
      <c r="AI621" t="n">
        <v>1</v>
      </c>
      <c r="AJ621" t="n">
        <v>8</v>
      </c>
      <c r="AK621" t="n">
        <v>8</v>
      </c>
      <c r="AL621" t="n">
        <v>3</v>
      </c>
      <c r="AM621" t="n">
        <v>3</v>
      </c>
      <c r="AN621" t="n">
        <v>0</v>
      </c>
      <c r="AO621" t="n">
        <v>0</v>
      </c>
      <c r="AP621" t="inlineStr">
        <is>
          <t>No</t>
        </is>
      </c>
      <c r="AQ621" t="inlineStr">
        <is>
          <t>Yes</t>
        </is>
      </c>
      <c r="AR621">
        <f>HYPERLINK("http://catalog.hathitrust.org/Record/002533590","HathiTrust Record")</f>
        <v/>
      </c>
      <c r="AS621">
        <f>HYPERLINK("https://creighton-primo.hosted.exlibrisgroup.com/primo-explore/search?tab=default_tab&amp;search_scope=EVERYTHING&amp;vid=01CRU&amp;lang=en_US&amp;offset=0&amp;query=any,contains,991001894189702656","Catalog Record")</f>
        <v/>
      </c>
      <c r="AT621">
        <f>HYPERLINK("http://www.worldcat.org/oclc/23939981","WorldCat Record")</f>
        <v/>
      </c>
      <c r="AU621" t="inlineStr">
        <is>
          <t>1075736:eng</t>
        </is>
      </c>
      <c r="AV621" t="inlineStr">
        <is>
          <t>23939981</t>
        </is>
      </c>
      <c r="AW621" t="inlineStr">
        <is>
          <t>991001894189702656</t>
        </is>
      </c>
      <c r="AX621" t="inlineStr">
        <is>
          <t>991001894189702656</t>
        </is>
      </c>
      <c r="AY621" t="inlineStr">
        <is>
          <t>2259052310002656</t>
        </is>
      </c>
      <c r="AZ621" t="inlineStr">
        <is>
          <t>BOOK</t>
        </is>
      </c>
      <c r="BB621" t="inlineStr">
        <is>
          <t>9780810603608</t>
        </is>
      </c>
      <c r="BC621" t="inlineStr">
        <is>
          <t>32285001000461</t>
        </is>
      </c>
      <c r="BD621" t="inlineStr">
        <is>
          <t>893621693</t>
        </is>
      </c>
    </row>
    <row r="622">
      <c r="A622" t="inlineStr">
        <is>
          <t>No</t>
        </is>
      </c>
      <c r="B622" t="inlineStr">
        <is>
          <t>LB1139.25 .C37 2000</t>
        </is>
      </c>
      <c r="C622" t="inlineStr">
        <is>
          <t>0                      LB 1139250C  37          2000</t>
        </is>
      </c>
      <c r="D622" t="inlineStr">
        <is>
          <t>Good practice for young children : a guide for early childhood educators / by Gloria Castucci and Antoinette Dudek.</t>
        </is>
      </c>
      <c r="F622" t="inlineStr">
        <is>
          <t>No</t>
        </is>
      </c>
      <c r="G622" t="inlineStr">
        <is>
          <t>1</t>
        </is>
      </c>
      <c r="H622" t="inlineStr">
        <is>
          <t>No</t>
        </is>
      </c>
      <c r="I622" t="inlineStr">
        <is>
          <t>No</t>
        </is>
      </c>
      <c r="J622" t="inlineStr">
        <is>
          <t>0</t>
        </is>
      </c>
      <c r="K622" t="inlineStr">
        <is>
          <t>Castucci, Gloria.</t>
        </is>
      </c>
      <c r="L622" t="inlineStr">
        <is>
          <t>Washington, DC : National Catholic Educational Association, c2000.</t>
        </is>
      </c>
      <c r="M622" t="inlineStr">
        <is>
          <t>2000</t>
        </is>
      </c>
      <c r="O622" t="inlineStr">
        <is>
          <t>eng</t>
        </is>
      </c>
      <c r="P622" t="inlineStr">
        <is>
          <t>dcu</t>
        </is>
      </c>
      <c r="R622" t="inlineStr">
        <is>
          <t xml:space="preserve">LB </t>
        </is>
      </c>
      <c r="S622" t="n">
        <v>1</v>
      </c>
      <c r="T622" t="n">
        <v>1</v>
      </c>
      <c r="U622" t="inlineStr">
        <is>
          <t>2001-08-09</t>
        </is>
      </c>
      <c r="V622" t="inlineStr">
        <is>
          <t>2001-08-09</t>
        </is>
      </c>
      <c r="W622" t="inlineStr">
        <is>
          <t>2001-08-08</t>
        </is>
      </c>
      <c r="X622" t="inlineStr">
        <is>
          <t>2001-08-08</t>
        </is>
      </c>
      <c r="Y622" t="n">
        <v>22</v>
      </c>
      <c r="Z622" t="n">
        <v>20</v>
      </c>
      <c r="AA622" t="n">
        <v>20</v>
      </c>
      <c r="AB622" t="n">
        <v>1</v>
      </c>
      <c r="AC622" t="n">
        <v>1</v>
      </c>
      <c r="AD622" t="n">
        <v>6</v>
      </c>
      <c r="AE622" t="n">
        <v>6</v>
      </c>
      <c r="AF622" t="n">
        <v>3</v>
      </c>
      <c r="AG622" t="n">
        <v>3</v>
      </c>
      <c r="AH622" t="n">
        <v>0</v>
      </c>
      <c r="AI622" t="n">
        <v>0</v>
      </c>
      <c r="AJ622" t="n">
        <v>5</v>
      </c>
      <c r="AK622" t="n">
        <v>5</v>
      </c>
      <c r="AL622" t="n">
        <v>0</v>
      </c>
      <c r="AM622" t="n">
        <v>0</v>
      </c>
      <c r="AN622" t="n">
        <v>0</v>
      </c>
      <c r="AO622" t="n">
        <v>0</v>
      </c>
      <c r="AP622" t="inlineStr">
        <is>
          <t>No</t>
        </is>
      </c>
      <c r="AQ622" t="inlineStr">
        <is>
          <t>No</t>
        </is>
      </c>
      <c r="AS622">
        <f>HYPERLINK("https://creighton-primo.hosted.exlibrisgroup.com/primo-explore/search?tab=default_tab&amp;search_scope=EVERYTHING&amp;vid=01CRU&amp;lang=en_US&amp;offset=0&amp;query=any,contains,991003600229702656","Catalog Record")</f>
        <v/>
      </c>
      <c r="AT622">
        <f>HYPERLINK("http://www.worldcat.org/oclc/47362902","WorldCat Record")</f>
        <v/>
      </c>
      <c r="AU622" t="inlineStr">
        <is>
          <t>36163828:eng</t>
        </is>
      </c>
      <c r="AV622" t="inlineStr">
        <is>
          <t>47362902</t>
        </is>
      </c>
      <c r="AW622" t="inlineStr">
        <is>
          <t>991003600229702656</t>
        </is>
      </c>
      <c r="AX622" t="inlineStr">
        <is>
          <t>991003600229702656</t>
        </is>
      </c>
      <c r="AY622" t="inlineStr">
        <is>
          <t>2270016890002656</t>
        </is>
      </c>
      <c r="AZ622" t="inlineStr">
        <is>
          <t>BOOK</t>
        </is>
      </c>
      <c r="BC622" t="inlineStr">
        <is>
          <t>32285004376595</t>
        </is>
      </c>
      <c r="BD622" t="inlineStr">
        <is>
          <t>893722002</t>
        </is>
      </c>
    </row>
    <row r="623">
      <c r="A623" t="inlineStr">
        <is>
          <t>No</t>
        </is>
      </c>
      <c r="B623" t="inlineStr">
        <is>
          <t>LB1139.25 .G85 1992</t>
        </is>
      </c>
      <c r="C623" t="inlineStr">
        <is>
          <t>0                      LB 1139250G  85          1992</t>
        </is>
      </c>
      <c r="D623" t="inlineStr">
        <is>
          <t>Developmentally appropriate teaching in early childhood : curriculum, implementation, evaluation / Dominic F. Gullo.</t>
        </is>
      </c>
      <c r="F623" t="inlineStr">
        <is>
          <t>No</t>
        </is>
      </c>
      <c r="G623" t="inlineStr">
        <is>
          <t>1</t>
        </is>
      </c>
      <c r="H623" t="inlineStr">
        <is>
          <t>No</t>
        </is>
      </c>
      <c r="I623" t="inlineStr">
        <is>
          <t>No</t>
        </is>
      </c>
      <c r="J623" t="inlineStr">
        <is>
          <t>0</t>
        </is>
      </c>
      <c r="K623" t="inlineStr">
        <is>
          <t>Gullo, Dominic F.</t>
        </is>
      </c>
      <c r="L623" t="inlineStr">
        <is>
          <t>Washington, D.C. : NEA Professional Library, National Education Association, 1992.</t>
        </is>
      </c>
      <c r="M623" t="inlineStr">
        <is>
          <t>1991</t>
        </is>
      </c>
      <c r="O623" t="inlineStr">
        <is>
          <t>eng</t>
        </is>
      </c>
      <c r="P623" t="inlineStr">
        <is>
          <t>dcu</t>
        </is>
      </c>
      <c r="Q623" t="inlineStr">
        <is>
          <t>NEA Early childhood education series</t>
        </is>
      </c>
      <c r="R623" t="inlineStr">
        <is>
          <t xml:space="preserve">LB </t>
        </is>
      </c>
      <c r="S623" t="n">
        <v>5</v>
      </c>
      <c r="T623" t="n">
        <v>5</v>
      </c>
      <c r="U623" t="inlineStr">
        <is>
          <t>2002-04-06</t>
        </is>
      </c>
      <c r="V623" t="inlineStr">
        <is>
          <t>2002-04-06</t>
        </is>
      </c>
      <c r="W623" t="inlineStr">
        <is>
          <t>1992-06-16</t>
        </is>
      </c>
      <c r="X623" t="inlineStr">
        <is>
          <t>1992-06-16</t>
        </is>
      </c>
      <c r="Y623" t="n">
        <v>366</v>
      </c>
      <c r="Z623" t="n">
        <v>350</v>
      </c>
      <c r="AA623" t="n">
        <v>355</v>
      </c>
      <c r="AB623" t="n">
        <v>3</v>
      </c>
      <c r="AC623" t="n">
        <v>3</v>
      </c>
      <c r="AD623" t="n">
        <v>13</v>
      </c>
      <c r="AE623" t="n">
        <v>13</v>
      </c>
      <c r="AF623" t="n">
        <v>5</v>
      </c>
      <c r="AG623" t="n">
        <v>5</v>
      </c>
      <c r="AH623" t="n">
        <v>2</v>
      </c>
      <c r="AI623" t="n">
        <v>2</v>
      </c>
      <c r="AJ623" t="n">
        <v>8</v>
      </c>
      <c r="AK623" t="n">
        <v>8</v>
      </c>
      <c r="AL623" t="n">
        <v>2</v>
      </c>
      <c r="AM623" t="n">
        <v>2</v>
      </c>
      <c r="AN623" t="n">
        <v>0</v>
      </c>
      <c r="AO623" t="n">
        <v>0</v>
      </c>
      <c r="AP623" t="inlineStr">
        <is>
          <t>No</t>
        </is>
      </c>
      <c r="AQ623" t="inlineStr">
        <is>
          <t>No</t>
        </is>
      </c>
      <c r="AS623">
        <f>HYPERLINK("https://creighton-primo.hosted.exlibrisgroup.com/primo-explore/search?tab=default_tab&amp;search_scope=EVERYTHING&amp;vid=01CRU&amp;lang=en_US&amp;offset=0&amp;query=any,contains,991001904419702656","Catalog Record")</f>
        <v/>
      </c>
      <c r="AT623">
        <f>HYPERLINK("http://www.worldcat.org/oclc/24066380","WorldCat Record")</f>
        <v/>
      </c>
      <c r="AU623" t="inlineStr">
        <is>
          <t>476170343:eng</t>
        </is>
      </c>
      <c r="AV623" t="inlineStr">
        <is>
          <t>24066380</t>
        </is>
      </c>
      <c r="AW623" t="inlineStr">
        <is>
          <t>991001904419702656</t>
        </is>
      </c>
      <c r="AX623" t="inlineStr">
        <is>
          <t>991001904419702656</t>
        </is>
      </c>
      <c r="AY623" t="inlineStr">
        <is>
          <t>2261913850002656</t>
        </is>
      </c>
      <c r="AZ623" t="inlineStr">
        <is>
          <t>BOOK</t>
        </is>
      </c>
      <c r="BB623" t="inlineStr">
        <is>
          <t>9780810603622</t>
        </is>
      </c>
      <c r="BC623" t="inlineStr">
        <is>
          <t>32285001166049</t>
        </is>
      </c>
      <c r="BD623" t="inlineStr">
        <is>
          <t>893244511</t>
        </is>
      </c>
    </row>
    <row r="624">
      <c r="A624" t="inlineStr">
        <is>
          <t>No</t>
        </is>
      </c>
      <c r="B624" t="inlineStr">
        <is>
          <t>LB1139.25 .T35 2004</t>
        </is>
      </c>
      <c r="C624" t="inlineStr">
        <is>
          <t>0                      LB 1139250T  35          2004</t>
        </is>
      </c>
      <c r="D624" t="inlineStr">
        <is>
          <t>Program administration scale : measuring early childhood leadership and management / Teri N. Talan and Paula Jorde Bloom.</t>
        </is>
      </c>
      <c r="F624" t="inlineStr">
        <is>
          <t>No</t>
        </is>
      </c>
      <c r="G624" t="inlineStr">
        <is>
          <t>1</t>
        </is>
      </c>
      <c r="H624" t="inlineStr">
        <is>
          <t>No</t>
        </is>
      </c>
      <c r="I624" t="inlineStr">
        <is>
          <t>No</t>
        </is>
      </c>
      <c r="J624" t="inlineStr">
        <is>
          <t>0</t>
        </is>
      </c>
      <c r="K624" t="inlineStr">
        <is>
          <t>Talan, Teri N.</t>
        </is>
      </c>
      <c r="L624" t="inlineStr">
        <is>
          <t>New York : Teachers College Press, c2004.</t>
        </is>
      </c>
      <c r="M624" t="inlineStr">
        <is>
          <t>2004</t>
        </is>
      </c>
      <c r="O624" t="inlineStr">
        <is>
          <t>eng</t>
        </is>
      </c>
      <c r="P624" t="inlineStr">
        <is>
          <t>nyu</t>
        </is>
      </c>
      <c r="R624" t="inlineStr">
        <is>
          <t xml:space="preserve">LB </t>
        </is>
      </c>
      <c r="S624" t="n">
        <v>1</v>
      </c>
      <c r="T624" t="n">
        <v>1</v>
      </c>
      <c r="U624" t="inlineStr">
        <is>
          <t>2005-03-16</t>
        </is>
      </c>
      <c r="V624" t="inlineStr">
        <is>
          <t>2005-03-16</t>
        </is>
      </c>
      <c r="W624" t="inlineStr">
        <is>
          <t>2005-03-16</t>
        </is>
      </c>
      <c r="X624" t="inlineStr">
        <is>
          <t>2005-03-16</t>
        </is>
      </c>
      <c r="Y624" t="n">
        <v>256</v>
      </c>
      <c r="Z624" t="n">
        <v>222</v>
      </c>
      <c r="AA624" t="n">
        <v>289</v>
      </c>
      <c r="AB624" t="n">
        <v>2</v>
      </c>
      <c r="AC624" t="n">
        <v>2</v>
      </c>
      <c r="AD624" t="n">
        <v>6</v>
      </c>
      <c r="AE624" t="n">
        <v>6</v>
      </c>
      <c r="AF624" t="n">
        <v>2</v>
      </c>
      <c r="AG624" t="n">
        <v>2</v>
      </c>
      <c r="AH624" t="n">
        <v>1</v>
      </c>
      <c r="AI624" t="n">
        <v>1</v>
      </c>
      <c r="AJ624" t="n">
        <v>3</v>
      </c>
      <c r="AK624" t="n">
        <v>3</v>
      </c>
      <c r="AL624" t="n">
        <v>1</v>
      </c>
      <c r="AM624" t="n">
        <v>1</v>
      </c>
      <c r="AN624" t="n">
        <v>0</v>
      </c>
      <c r="AO624" t="n">
        <v>0</v>
      </c>
      <c r="AP624" t="inlineStr">
        <is>
          <t>No</t>
        </is>
      </c>
      <c r="AQ624" t="inlineStr">
        <is>
          <t>No</t>
        </is>
      </c>
      <c r="AS624">
        <f>HYPERLINK("https://creighton-primo.hosted.exlibrisgroup.com/primo-explore/search?tab=default_tab&amp;search_scope=EVERYTHING&amp;vid=01CRU&amp;lang=en_US&amp;offset=0&amp;query=any,contains,991004497779702656","Catalog Record")</f>
        <v/>
      </c>
      <c r="AT624">
        <f>HYPERLINK("http://www.worldcat.org/oclc/57197244","WorldCat Record")</f>
        <v/>
      </c>
      <c r="AU624" t="inlineStr">
        <is>
          <t>894467198:eng</t>
        </is>
      </c>
      <c r="AV624" t="inlineStr">
        <is>
          <t>57197244</t>
        </is>
      </c>
      <c r="AW624" t="inlineStr">
        <is>
          <t>991004497779702656</t>
        </is>
      </c>
      <c r="AX624" t="inlineStr">
        <is>
          <t>991004497779702656</t>
        </is>
      </c>
      <c r="AY624" t="inlineStr">
        <is>
          <t>2267918260002656</t>
        </is>
      </c>
      <c r="AZ624" t="inlineStr">
        <is>
          <t>BOOK</t>
        </is>
      </c>
      <c r="BB624" t="inlineStr">
        <is>
          <t>9780807745281</t>
        </is>
      </c>
      <c r="BC624" t="inlineStr">
        <is>
          <t>32285005042154</t>
        </is>
      </c>
      <c r="BD624" t="inlineStr">
        <is>
          <t>893718984</t>
        </is>
      </c>
    </row>
    <row r="625">
      <c r="A625" t="inlineStr">
        <is>
          <t>No</t>
        </is>
      </c>
      <c r="B625" t="inlineStr">
        <is>
          <t>LB1139.25 .T44 1991</t>
        </is>
      </c>
      <c r="C625" t="inlineStr">
        <is>
          <t>0                      LB 1139250T  44          1991</t>
        </is>
      </c>
      <c r="D625" t="inlineStr">
        <is>
          <t>Creativity in early childhood classrooms / Deborah W. Tegano, James D. Moran III, Janet K. Sawyers.</t>
        </is>
      </c>
      <c r="F625" t="inlineStr">
        <is>
          <t>No</t>
        </is>
      </c>
      <c r="G625" t="inlineStr">
        <is>
          <t>1</t>
        </is>
      </c>
      <c r="H625" t="inlineStr">
        <is>
          <t>No</t>
        </is>
      </c>
      <c r="I625" t="inlineStr">
        <is>
          <t>No</t>
        </is>
      </c>
      <c r="J625" t="inlineStr">
        <is>
          <t>0</t>
        </is>
      </c>
      <c r="K625" t="inlineStr">
        <is>
          <t>Tegano, Deborah W.</t>
        </is>
      </c>
      <c r="L625" t="inlineStr">
        <is>
          <t>[Washington, D.C.] : NEA Professional Library, National Education Association, c1991.</t>
        </is>
      </c>
      <c r="M625" t="inlineStr">
        <is>
          <t>1991</t>
        </is>
      </c>
      <c r="O625" t="inlineStr">
        <is>
          <t>eng</t>
        </is>
      </c>
      <c r="P625" t="inlineStr">
        <is>
          <t>dcu</t>
        </is>
      </c>
      <c r="Q625" t="inlineStr">
        <is>
          <t>NEA early childhood education series</t>
        </is>
      </c>
      <c r="R625" t="inlineStr">
        <is>
          <t xml:space="preserve">LB </t>
        </is>
      </c>
      <c r="S625" t="n">
        <v>1</v>
      </c>
      <c r="T625" t="n">
        <v>1</v>
      </c>
      <c r="U625" t="inlineStr">
        <is>
          <t>1993-09-19</t>
        </is>
      </c>
      <c r="V625" t="inlineStr">
        <is>
          <t>1993-09-19</t>
        </is>
      </c>
      <c r="W625" t="inlineStr">
        <is>
          <t>1991-10-24</t>
        </is>
      </c>
      <c r="X625" t="inlineStr">
        <is>
          <t>1991-10-24</t>
        </is>
      </c>
      <c r="Y625" t="n">
        <v>346</v>
      </c>
      <c r="Z625" t="n">
        <v>318</v>
      </c>
      <c r="AA625" t="n">
        <v>320</v>
      </c>
      <c r="AB625" t="n">
        <v>4</v>
      </c>
      <c r="AC625" t="n">
        <v>4</v>
      </c>
      <c r="AD625" t="n">
        <v>10</v>
      </c>
      <c r="AE625" t="n">
        <v>10</v>
      </c>
      <c r="AF625" t="n">
        <v>2</v>
      </c>
      <c r="AG625" t="n">
        <v>2</v>
      </c>
      <c r="AH625" t="n">
        <v>1</v>
      </c>
      <c r="AI625" t="n">
        <v>1</v>
      </c>
      <c r="AJ625" t="n">
        <v>7</v>
      </c>
      <c r="AK625" t="n">
        <v>7</v>
      </c>
      <c r="AL625" t="n">
        <v>3</v>
      </c>
      <c r="AM625" t="n">
        <v>3</v>
      </c>
      <c r="AN625" t="n">
        <v>0</v>
      </c>
      <c r="AO625" t="n">
        <v>0</v>
      </c>
      <c r="AP625" t="inlineStr">
        <is>
          <t>No</t>
        </is>
      </c>
      <c r="AQ625" t="inlineStr">
        <is>
          <t>Yes</t>
        </is>
      </c>
      <c r="AR625">
        <f>HYPERLINK("http://catalog.hathitrust.org/Record/002510954","HathiTrust Record")</f>
        <v/>
      </c>
      <c r="AS625">
        <f>HYPERLINK("https://creighton-primo.hosted.exlibrisgroup.com/primo-explore/search?tab=default_tab&amp;search_scope=EVERYTHING&amp;vid=01CRU&amp;lang=en_US&amp;offset=0&amp;query=any,contains,991001890609702656","Catalog Record")</f>
        <v/>
      </c>
      <c r="AT625">
        <f>HYPERLINK("http://www.worldcat.org/oclc/23868813","WorldCat Record")</f>
        <v/>
      </c>
      <c r="AU625" t="inlineStr">
        <is>
          <t>1075733:eng</t>
        </is>
      </c>
      <c r="AV625" t="inlineStr">
        <is>
          <t>23868813</t>
        </is>
      </c>
      <c r="AW625" t="inlineStr">
        <is>
          <t>991001890609702656</t>
        </is>
      </c>
      <c r="AX625" t="inlineStr">
        <is>
          <t>991001890609702656</t>
        </is>
      </c>
      <c r="AY625" t="inlineStr">
        <is>
          <t>2269652330002656</t>
        </is>
      </c>
      <c r="AZ625" t="inlineStr">
        <is>
          <t>BOOK</t>
        </is>
      </c>
      <c r="BB625" t="inlineStr">
        <is>
          <t>9780810603585</t>
        </is>
      </c>
      <c r="BC625" t="inlineStr">
        <is>
          <t>32285000788785</t>
        </is>
      </c>
      <c r="BD625" t="inlineStr">
        <is>
          <t>893250579</t>
        </is>
      </c>
    </row>
    <row r="626">
      <c r="A626" t="inlineStr">
        <is>
          <t>No</t>
        </is>
      </c>
      <c r="B626" t="inlineStr">
        <is>
          <t>LB1139.35.A37 C69 1992</t>
        </is>
      </c>
      <c r="C626" t="inlineStr">
        <is>
          <t>0                      LB 1139350A  37                 C  69          1992</t>
        </is>
      </c>
      <c r="D626" t="inlineStr">
        <is>
          <t>Activity-oriented classrooms / Milly Cowles, Jerry Aldridge.</t>
        </is>
      </c>
      <c r="F626" t="inlineStr">
        <is>
          <t>No</t>
        </is>
      </c>
      <c r="G626" t="inlineStr">
        <is>
          <t>1</t>
        </is>
      </c>
      <c r="H626" t="inlineStr">
        <is>
          <t>No</t>
        </is>
      </c>
      <c r="I626" t="inlineStr">
        <is>
          <t>No</t>
        </is>
      </c>
      <c r="J626" t="inlineStr">
        <is>
          <t>0</t>
        </is>
      </c>
      <c r="K626" t="inlineStr">
        <is>
          <t>Cowles, Milly.</t>
        </is>
      </c>
      <c r="L626" t="inlineStr">
        <is>
          <t>Washington, D.C. : NEA Professional Library, National Education Association, c1992.</t>
        </is>
      </c>
      <c r="M626" t="inlineStr">
        <is>
          <t>1991</t>
        </is>
      </c>
      <c r="O626" t="inlineStr">
        <is>
          <t>eng</t>
        </is>
      </c>
      <c r="P626" t="inlineStr">
        <is>
          <t>dcu</t>
        </is>
      </c>
      <c r="Q626" t="inlineStr">
        <is>
          <t>NEA early childhood education series</t>
        </is>
      </c>
      <c r="R626" t="inlineStr">
        <is>
          <t xml:space="preserve">LB </t>
        </is>
      </c>
      <c r="S626" t="n">
        <v>1</v>
      </c>
      <c r="T626" t="n">
        <v>1</v>
      </c>
      <c r="U626" t="inlineStr">
        <is>
          <t>2001-10-24</t>
        </is>
      </c>
      <c r="V626" t="inlineStr">
        <is>
          <t>2001-10-24</t>
        </is>
      </c>
      <c r="W626" t="inlineStr">
        <is>
          <t>1992-06-16</t>
        </is>
      </c>
      <c r="X626" t="inlineStr">
        <is>
          <t>1992-06-16</t>
        </is>
      </c>
      <c r="Y626" t="n">
        <v>296</v>
      </c>
      <c r="Z626" t="n">
        <v>290</v>
      </c>
      <c r="AA626" t="n">
        <v>304</v>
      </c>
      <c r="AB626" t="n">
        <v>3</v>
      </c>
      <c r="AC626" t="n">
        <v>3</v>
      </c>
      <c r="AD626" t="n">
        <v>9</v>
      </c>
      <c r="AE626" t="n">
        <v>10</v>
      </c>
      <c r="AF626" t="n">
        <v>3</v>
      </c>
      <c r="AG626" t="n">
        <v>4</v>
      </c>
      <c r="AH626" t="n">
        <v>1</v>
      </c>
      <c r="AI626" t="n">
        <v>1</v>
      </c>
      <c r="AJ626" t="n">
        <v>4</v>
      </c>
      <c r="AK626" t="n">
        <v>5</v>
      </c>
      <c r="AL626" t="n">
        <v>2</v>
      </c>
      <c r="AM626" t="n">
        <v>2</v>
      </c>
      <c r="AN626" t="n">
        <v>0</v>
      </c>
      <c r="AO626" t="n">
        <v>0</v>
      </c>
      <c r="AP626" t="inlineStr">
        <is>
          <t>No</t>
        </is>
      </c>
      <c r="AQ626" t="inlineStr">
        <is>
          <t>No</t>
        </is>
      </c>
      <c r="AS626">
        <f>HYPERLINK("https://creighton-primo.hosted.exlibrisgroup.com/primo-explore/search?tab=default_tab&amp;search_scope=EVERYTHING&amp;vid=01CRU&amp;lang=en_US&amp;offset=0&amp;query=any,contains,991001852019702656","Catalog Record")</f>
        <v/>
      </c>
      <c r="AT626">
        <f>HYPERLINK("http://www.worldcat.org/oclc/23252433","WorldCat Record")</f>
        <v/>
      </c>
      <c r="AU626" t="inlineStr">
        <is>
          <t>1075720:eng</t>
        </is>
      </c>
      <c r="AV626" t="inlineStr">
        <is>
          <t>23252433</t>
        </is>
      </c>
      <c r="AW626" t="inlineStr">
        <is>
          <t>991001852019702656</t>
        </is>
      </c>
      <c r="AX626" t="inlineStr">
        <is>
          <t>991001852019702656</t>
        </is>
      </c>
      <c r="AY626" t="inlineStr">
        <is>
          <t>2262995960002656</t>
        </is>
      </c>
      <c r="AZ626" t="inlineStr">
        <is>
          <t>BOOK</t>
        </is>
      </c>
      <c r="BB626" t="inlineStr">
        <is>
          <t>9780810603523</t>
        </is>
      </c>
      <c r="BC626" t="inlineStr">
        <is>
          <t>32285001166031</t>
        </is>
      </c>
      <c r="BD626" t="inlineStr">
        <is>
          <t>893522913</t>
        </is>
      </c>
    </row>
    <row r="627">
      <c r="A627" t="inlineStr">
        <is>
          <t>No</t>
        </is>
      </c>
      <c r="B627" t="inlineStr">
        <is>
          <t>LB1139.35.A37 D57 2010</t>
        </is>
      </c>
      <c r="C627" t="inlineStr">
        <is>
          <t>0                      LB 1139350A  37                 D  57          2010</t>
        </is>
      </c>
      <c r="D627" t="inlineStr">
        <is>
          <t>Teaching the 3 Cs : creativity, curiosity, and courtesy : activities that build a foundation for success / Patricia A. Dischler.</t>
        </is>
      </c>
      <c r="F627" t="inlineStr">
        <is>
          <t>No</t>
        </is>
      </c>
      <c r="G627" t="inlineStr">
        <is>
          <t>1</t>
        </is>
      </c>
      <c r="H627" t="inlineStr">
        <is>
          <t>No</t>
        </is>
      </c>
      <c r="I627" t="inlineStr">
        <is>
          <t>No</t>
        </is>
      </c>
      <c r="J627" t="inlineStr">
        <is>
          <t>0</t>
        </is>
      </c>
      <c r="K627" t="inlineStr">
        <is>
          <t>Dischler, Patricia A.</t>
        </is>
      </c>
      <c r="L627" t="inlineStr">
        <is>
          <t>Thousand Oaks, Calif. : Corwin Press, c2010.</t>
        </is>
      </c>
      <c r="M627" t="inlineStr">
        <is>
          <t>2010</t>
        </is>
      </c>
      <c r="O627" t="inlineStr">
        <is>
          <t>eng</t>
        </is>
      </c>
      <c r="P627" t="inlineStr">
        <is>
          <t>cau</t>
        </is>
      </c>
      <c r="R627" t="inlineStr">
        <is>
          <t xml:space="preserve">LB </t>
        </is>
      </c>
      <c r="S627" t="n">
        <v>1</v>
      </c>
      <c r="T627" t="n">
        <v>1</v>
      </c>
      <c r="U627" t="inlineStr">
        <is>
          <t>2010-10-05</t>
        </is>
      </c>
      <c r="V627" t="inlineStr">
        <is>
          <t>2010-10-05</t>
        </is>
      </c>
      <c r="W627" t="inlineStr">
        <is>
          <t>2010-10-05</t>
        </is>
      </c>
      <c r="X627" t="inlineStr">
        <is>
          <t>2010-10-05</t>
        </is>
      </c>
      <c r="Y627" t="n">
        <v>236</v>
      </c>
      <c r="Z627" t="n">
        <v>173</v>
      </c>
      <c r="AA627" t="n">
        <v>239</v>
      </c>
      <c r="AB627" t="n">
        <v>1</v>
      </c>
      <c r="AC627" t="n">
        <v>3</v>
      </c>
      <c r="AD627" t="n">
        <v>8</v>
      </c>
      <c r="AE627" t="n">
        <v>13</v>
      </c>
      <c r="AF627" t="n">
        <v>5</v>
      </c>
      <c r="AG627" t="n">
        <v>7</v>
      </c>
      <c r="AH627" t="n">
        <v>1</v>
      </c>
      <c r="AI627" t="n">
        <v>3</v>
      </c>
      <c r="AJ627" t="n">
        <v>5</v>
      </c>
      <c r="AK627" t="n">
        <v>6</v>
      </c>
      <c r="AL627" t="n">
        <v>0</v>
      </c>
      <c r="AM627" t="n">
        <v>2</v>
      </c>
      <c r="AN627" t="n">
        <v>0</v>
      </c>
      <c r="AO627" t="n">
        <v>0</v>
      </c>
      <c r="AP627" t="inlineStr">
        <is>
          <t>No</t>
        </is>
      </c>
      <c r="AQ627" t="inlineStr">
        <is>
          <t>No</t>
        </is>
      </c>
      <c r="AS627">
        <f>HYPERLINK("https://creighton-primo.hosted.exlibrisgroup.com/primo-explore/search?tab=default_tab&amp;search_scope=EVERYTHING&amp;vid=01CRU&amp;lang=en_US&amp;offset=0&amp;query=any,contains,991000163149702656","Catalog Record")</f>
        <v/>
      </c>
      <c r="AT627">
        <f>HYPERLINK("http://www.worldcat.org/oclc/320805584","WorldCat Record")</f>
        <v/>
      </c>
      <c r="AU627" t="inlineStr">
        <is>
          <t>198598395:eng</t>
        </is>
      </c>
      <c r="AV627" t="inlineStr">
        <is>
          <t>320805584</t>
        </is>
      </c>
      <c r="AW627" t="inlineStr">
        <is>
          <t>991000163149702656</t>
        </is>
      </c>
      <c r="AX627" t="inlineStr">
        <is>
          <t>991000163149702656</t>
        </is>
      </c>
      <c r="AY627" t="inlineStr">
        <is>
          <t>2268692520002656</t>
        </is>
      </c>
      <c r="AZ627" t="inlineStr">
        <is>
          <t>BOOK</t>
        </is>
      </c>
      <c r="BB627" t="inlineStr">
        <is>
          <t>9781412974226</t>
        </is>
      </c>
      <c r="BC627" t="inlineStr">
        <is>
          <t>32285005598783</t>
        </is>
      </c>
      <c r="BD627" t="inlineStr">
        <is>
          <t>893890469</t>
        </is>
      </c>
    </row>
    <row r="628">
      <c r="A628" t="inlineStr">
        <is>
          <t>No</t>
        </is>
      </c>
      <c r="B628" t="inlineStr">
        <is>
          <t>LB1139.35.P37 F35 1997</t>
        </is>
      </c>
      <c r="C628" t="inlineStr">
        <is>
          <t>0                      LB 1139350P  37                 F  35          1997</t>
        </is>
      </c>
      <c r="D628" t="inlineStr">
        <is>
          <t>Families, education, and social differences / edited by Ben Cosin and Margaret Hales.</t>
        </is>
      </c>
      <c r="F628" t="inlineStr">
        <is>
          <t>No</t>
        </is>
      </c>
      <c r="G628" t="inlineStr">
        <is>
          <t>1</t>
        </is>
      </c>
      <c r="H628" t="inlineStr">
        <is>
          <t>No</t>
        </is>
      </c>
      <c r="I628" t="inlineStr">
        <is>
          <t>No</t>
        </is>
      </c>
      <c r="J628" t="inlineStr">
        <is>
          <t>0</t>
        </is>
      </c>
      <c r="L628" t="inlineStr">
        <is>
          <t>London ; New York : Routledge, in association with the Open University, 1997.</t>
        </is>
      </c>
      <c r="M628" t="inlineStr">
        <is>
          <t>1997</t>
        </is>
      </c>
      <c r="O628" t="inlineStr">
        <is>
          <t>eng</t>
        </is>
      </c>
      <c r="P628" t="inlineStr">
        <is>
          <t>enk</t>
        </is>
      </c>
      <c r="Q628" t="inlineStr">
        <is>
          <t>Exploring educational issues</t>
        </is>
      </c>
      <c r="R628" t="inlineStr">
        <is>
          <t xml:space="preserve">LB </t>
        </is>
      </c>
      <c r="S628" t="n">
        <v>3</v>
      </c>
      <c r="T628" t="n">
        <v>3</v>
      </c>
      <c r="U628" t="inlineStr">
        <is>
          <t>1998-02-17</t>
        </is>
      </c>
      <c r="V628" t="inlineStr">
        <is>
          <t>1998-02-17</t>
        </is>
      </c>
      <c r="W628" t="inlineStr">
        <is>
          <t>1997-06-25</t>
        </is>
      </c>
      <c r="X628" t="inlineStr">
        <is>
          <t>1997-06-25</t>
        </is>
      </c>
      <c r="Y628" t="n">
        <v>210</v>
      </c>
      <c r="Z628" t="n">
        <v>92</v>
      </c>
      <c r="AA628" t="n">
        <v>107</v>
      </c>
      <c r="AB628" t="n">
        <v>2</v>
      </c>
      <c r="AC628" t="n">
        <v>2</v>
      </c>
      <c r="AD628" t="n">
        <v>6</v>
      </c>
      <c r="AE628" t="n">
        <v>6</v>
      </c>
      <c r="AF628" t="n">
        <v>2</v>
      </c>
      <c r="AG628" t="n">
        <v>2</v>
      </c>
      <c r="AH628" t="n">
        <v>1</v>
      </c>
      <c r="AI628" t="n">
        <v>1</v>
      </c>
      <c r="AJ628" t="n">
        <v>5</v>
      </c>
      <c r="AK628" t="n">
        <v>5</v>
      </c>
      <c r="AL628" t="n">
        <v>1</v>
      </c>
      <c r="AM628" t="n">
        <v>1</v>
      </c>
      <c r="AN628" t="n">
        <v>0</v>
      </c>
      <c r="AO628" t="n">
        <v>0</v>
      </c>
      <c r="AP628" t="inlineStr">
        <is>
          <t>No</t>
        </is>
      </c>
      <c r="AQ628" t="inlineStr">
        <is>
          <t>No</t>
        </is>
      </c>
      <c r="AS628">
        <f>HYPERLINK("https://creighton-primo.hosted.exlibrisgroup.com/primo-explore/search?tab=default_tab&amp;search_scope=EVERYTHING&amp;vid=01CRU&amp;lang=en_US&amp;offset=0&amp;query=any,contains,991002688609702656","Catalog Record")</f>
        <v/>
      </c>
      <c r="AT628">
        <f>HYPERLINK("http://www.worldcat.org/oclc/35121790","WorldCat Record")</f>
        <v/>
      </c>
      <c r="AU628" t="inlineStr">
        <is>
          <t>355765241:eng</t>
        </is>
      </c>
      <c r="AV628" t="inlineStr">
        <is>
          <t>35121790</t>
        </is>
      </c>
      <c r="AW628" t="inlineStr">
        <is>
          <t>991002688609702656</t>
        </is>
      </c>
      <c r="AX628" t="inlineStr">
        <is>
          <t>991002688609702656</t>
        </is>
      </c>
      <c r="AY628" t="inlineStr">
        <is>
          <t>2258610870002656</t>
        </is>
      </c>
      <c r="AZ628" t="inlineStr">
        <is>
          <t>BOOK</t>
        </is>
      </c>
      <c r="BB628" t="inlineStr">
        <is>
          <t>9780415155403</t>
        </is>
      </c>
      <c r="BC628" t="inlineStr">
        <is>
          <t>32285002754033</t>
        </is>
      </c>
      <c r="BD628" t="inlineStr">
        <is>
          <t>893341731</t>
        </is>
      </c>
    </row>
    <row r="629">
      <c r="A629" t="inlineStr">
        <is>
          <t>No</t>
        </is>
      </c>
      <c r="B629" t="inlineStr">
        <is>
          <t>LB1139.35.P37 S94 1991</t>
        </is>
      </c>
      <c r="C629" t="inlineStr">
        <is>
          <t>0                      LB 1139350P  37                 S  94          1991</t>
        </is>
      </c>
      <c r="D629" t="inlineStr">
        <is>
          <t>Teacher-parent partnerships to enhance school success in early childhood education / Kevin J. Swick.</t>
        </is>
      </c>
      <c r="F629" t="inlineStr">
        <is>
          <t>No</t>
        </is>
      </c>
      <c r="G629" t="inlineStr">
        <is>
          <t>1</t>
        </is>
      </c>
      <c r="H629" t="inlineStr">
        <is>
          <t>No</t>
        </is>
      </c>
      <c r="I629" t="inlineStr">
        <is>
          <t>No</t>
        </is>
      </c>
      <c r="J629" t="inlineStr">
        <is>
          <t>0</t>
        </is>
      </c>
      <c r="K629" t="inlineStr">
        <is>
          <t>Swick, Kevin J.</t>
        </is>
      </c>
      <c r="L629" t="inlineStr">
        <is>
          <t>Washington, D.C. : National Education Association, c1991.</t>
        </is>
      </c>
      <c r="M629" t="inlineStr">
        <is>
          <t>1991</t>
        </is>
      </c>
      <c r="O629" t="inlineStr">
        <is>
          <t>eng</t>
        </is>
      </c>
      <c r="P629" t="inlineStr">
        <is>
          <t>dcu</t>
        </is>
      </c>
      <c r="Q629" t="inlineStr">
        <is>
          <t>Early childhood education series</t>
        </is>
      </c>
      <c r="R629" t="inlineStr">
        <is>
          <t xml:space="preserve">LB </t>
        </is>
      </c>
      <c r="S629" t="n">
        <v>5</v>
      </c>
      <c r="T629" t="n">
        <v>5</v>
      </c>
      <c r="U629" t="inlineStr">
        <is>
          <t>2001-10-24</t>
        </is>
      </c>
      <c r="V629" t="inlineStr">
        <is>
          <t>2001-10-24</t>
        </is>
      </c>
      <c r="W629" t="inlineStr">
        <is>
          <t>1991-12-30</t>
        </is>
      </c>
      <c r="X629" t="inlineStr">
        <is>
          <t>1991-12-30</t>
        </is>
      </c>
      <c r="Y629" t="n">
        <v>340</v>
      </c>
      <c r="Z629" t="n">
        <v>321</v>
      </c>
      <c r="AA629" t="n">
        <v>328</v>
      </c>
      <c r="AB629" t="n">
        <v>3</v>
      </c>
      <c r="AC629" t="n">
        <v>3</v>
      </c>
      <c r="AD629" t="n">
        <v>12</v>
      </c>
      <c r="AE629" t="n">
        <v>12</v>
      </c>
      <c r="AF629" t="n">
        <v>5</v>
      </c>
      <c r="AG629" t="n">
        <v>5</v>
      </c>
      <c r="AH629" t="n">
        <v>2</v>
      </c>
      <c r="AI629" t="n">
        <v>2</v>
      </c>
      <c r="AJ629" t="n">
        <v>6</v>
      </c>
      <c r="AK629" t="n">
        <v>6</v>
      </c>
      <c r="AL629" t="n">
        <v>2</v>
      </c>
      <c r="AM629" t="n">
        <v>2</v>
      </c>
      <c r="AN629" t="n">
        <v>0</v>
      </c>
      <c r="AO629" t="n">
        <v>0</v>
      </c>
      <c r="AP629" t="inlineStr">
        <is>
          <t>No</t>
        </is>
      </c>
      <c r="AQ629" t="inlineStr">
        <is>
          <t>No</t>
        </is>
      </c>
      <c r="AS629">
        <f>HYPERLINK("https://creighton-primo.hosted.exlibrisgroup.com/primo-explore/search?tab=default_tab&amp;search_scope=EVERYTHING&amp;vid=01CRU&amp;lang=en_US&amp;offset=0&amp;query=any,contains,991001892229702656","Catalog Record")</f>
        <v/>
      </c>
      <c r="AT629">
        <f>HYPERLINK("http://www.worldcat.org/oclc/23900671","WorldCat Record")</f>
        <v/>
      </c>
      <c r="AU629" t="inlineStr">
        <is>
          <t>1075744:eng</t>
        </is>
      </c>
      <c r="AV629" t="inlineStr">
        <is>
          <t>23900671</t>
        </is>
      </c>
      <c r="AW629" t="inlineStr">
        <is>
          <t>991001892229702656</t>
        </is>
      </c>
      <c r="AX629" t="inlineStr">
        <is>
          <t>991001892229702656</t>
        </is>
      </c>
      <c r="AY629" t="inlineStr">
        <is>
          <t>2254958370002656</t>
        </is>
      </c>
      <c r="AZ629" t="inlineStr">
        <is>
          <t>BOOK</t>
        </is>
      </c>
      <c r="BB629" t="inlineStr">
        <is>
          <t>9780810603639</t>
        </is>
      </c>
      <c r="BC629" t="inlineStr">
        <is>
          <t>32285000859784</t>
        </is>
      </c>
      <c r="BD629" t="inlineStr">
        <is>
          <t>893522940</t>
        </is>
      </c>
    </row>
    <row r="630">
      <c r="A630" t="inlineStr">
        <is>
          <t>No</t>
        </is>
      </c>
      <c r="B630" t="inlineStr">
        <is>
          <t>LB1139.35.P55 C48 2004</t>
        </is>
      </c>
      <c r="C630" t="inlineStr">
        <is>
          <t>0                      LB 1139350P  55                 C  48          2004</t>
        </is>
      </c>
      <c r="D630" t="inlineStr">
        <is>
          <t>Children's play : the roots of reading / edited by Edward F. Zigler, Dorothy G. Singer, Sandra J. Bishop-Josef.</t>
        </is>
      </c>
      <c r="F630" t="inlineStr">
        <is>
          <t>No</t>
        </is>
      </c>
      <c r="G630" t="inlineStr">
        <is>
          <t>1</t>
        </is>
      </c>
      <c r="H630" t="inlineStr">
        <is>
          <t>No</t>
        </is>
      </c>
      <c r="I630" t="inlineStr">
        <is>
          <t>No</t>
        </is>
      </c>
      <c r="J630" t="inlineStr">
        <is>
          <t>0</t>
        </is>
      </c>
      <c r="L630" t="inlineStr">
        <is>
          <t>Washington, DC : Zero To Three Press, c2004.</t>
        </is>
      </c>
      <c r="M630" t="inlineStr">
        <is>
          <t>2004</t>
        </is>
      </c>
      <c r="N630" t="inlineStr">
        <is>
          <t>1st ed.</t>
        </is>
      </c>
      <c r="O630" t="inlineStr">
        <is>
          <t>eng</t>
        </is>
      </c>
      <c r="P630" t="inlineStr">
        <is>
          <t>dcu</t>
        </is>
      </c>
      <c r="R630" t="inlineStr">
        <is>
          <t xml:space="preserve">LB </t>
        </is>
      </c>
      <c r="S630" t="n">
        <v>2</v>
      </c>
      <c r="T630" t="n">
        <v>2</v>
      </c>
      <c r="U630" t="inlineStr">
        <is>
          <t>2009-02-25</t>
        </is>
      </c>
      <c r="V630" t="inlineStr">
        <is>
          <t>2009-02-25</t>
        </is>
      </c>
      <c r="W630" t="inlineStr">
        <is>
          <t>2005-01-06</t>
        </is>
      </c>
      <c r="X630" t="inlineStr">
        <is>
          <t>2005-01-06</t>
        </is>
      </c>
      <c r="Y630" t="n">
        <v>1108</v>
      </c>
      <c r="Z630" t="n">
        <v>1023</v>
      </c>
      <c r="AA630" t="n">
        <v>1034</v>
      </c>
      <c r="AB630" t="n">
        <v>7</v>
      </c>
      <c r="AC630" t="n">
        <v>7</v>
      </c>
      <c r="AD630" t="n">
        <v>33</v>
      </c>
      <c r="AE630" t="n">
        <v>33</v>
      </c>
      <c r="AF630" t="n">
        <v>14</v>
      </c>
      <c r="AG630" t="n">
        <v>14</v>
      </c>
      <c r="AH630" t="n">
        <v>8</v>
      </c>
      <c r="AI630" t="n">
        <v>8</v>
      </c>
      <c r="AJ630" t="n">
        <v>15</v>
      </c>
      <c r="AK630" t="n">
        <v>15</v>
      </c>
      <c r="AL630" t="n">
        <v>6</v>
      </c>
      <c r="AM630" t="n">
        <v>6</v>
      </c>
      <c r="AN630" t="n">
        <v>0</v>
      </c>
      <c r="AO630" t="n">
        <v>0</v>
      </c>
      <c r="AP630" t="inlineStr">
        <is>
          <t>No</t>
        </is>
      </c>
      <c r="AQ630" t="inlineStr">
        <is>
          <t>Yes</t>
        </is>
      </c>
      <c r="AR630">
        <f>HYPERLINK("http://catalog.hathitrust.org/Record/102032870","HathiTrust Record")</f>
        <v/>
      </c>
      <c r="AS630">
        <f>HYPERLINK("https://creighton-primo.hosted.exlibrisgroup.com/primo-explore/search?tab=default_tab&amp;search_scope=EVERYTHING&amp;vid=01CRU&amp;lang=en_US&amp;offset=0&amp;query=any,contains,991004418929702656","Catalog Record")</f>
        <v/>
      </c>
      <c r="AT630">
        <f>HYPERLINK("http://www.worldcat.org/oclc/53967066","WorldCat Record")</f>
        <v/>
      </c>
      <c r="AU630" t="inlineStr">
        <is>
          <t>796419547:eng</t>
        </is>
      </c>
      <c r="AV630" t="inlineStr">
        <is>
          <t>53967066</t>
        </is>
      </c>
      <c r="AW630" t="inlineStr">
        <is>
          <t>991004418929702656</t>
        </is>
      </c>
      <c r="AX630" t="inlineStr">
        <is>
          <t>991004418929702656</t>
        </is>
      </c>
      <c r="AY630" t="inlineStr">
        <is>
          <t>2256989890002656</t>
        </is>
      </c>
      <c r="AZ630" t="inlineStr">
        <is>
          <t>BOOK</t>
        </is>
      </c>
      <c r="BB630" t="inlineStr">
        <is>
          <t>9780943657752</t>
        </is>
      </c>
      <c r="BC630" t="inlineStr">
        <is>
          <t>32285005018733</t>
        </is>
      </c>
      <c r="BD630" t="inlineStr">
        <is>
          <t>893263262</t>
        </is>
      </c>
    </row>
    <row r="631">
      <c r="A631" t="inlineStr">
        <is>
          <t>No</t>
        </is>
      </c>
      <c r="B631" t="inlineStr">
        <is>
          <t>LB1139.35.P55 S54 1995</t>
        </is>
      </c>
      <c r="C631" t="inlineStr">
        <is>
          <t>0                      LB 1139350P  55                 S  54          1995</t>
        </is>
      </c>
      <c r="D631" t="inlineStr">
        <is>
          <t>Using the supportive play model : individualized intervention in early childhood practice / Margaret K. Sheridan, Gilbert M. Foley, Sara H. Radlinski ; foreword by G. Gordon Williamson.</t>
        </is>
      </c>
      <c r="F631" t="inlineStr">
        <is>
          <t>No</t>
        </is>
      </c>
      <c r="G631" t="inlineStr">
        <is>
          <t>1</t>
        </is>
      </c>
      <c r="H631" t="inlineStr">
        <is>
          <t>No</t>
        </is>
      </c>
      <c r="I631" t="inlineStr">
        <is>
          <t>No</t>
        </is>
      </c>
      <c r="J631" t="inlineStr">
        <is>
          <t>0</t>
        </is>
      </c>
      <c r="K631" t="inlineStr">
        <is>
          <t>Sheridan, Margaret K., 1945-</t>
        </is>
      </c>
      <c r="L631" t="inlineStr">
        <is>
          <t>New York : Teachers College Press, Teachers College, Columbia University, c1995.</t>
        </is>
      </c>
      <c r="M631" t="inlineStr">
        <is>
          <t>1995</t>
        </is>
      </c>
      <c r="O631" t="inlineStr">
        <is>
          <t>eng</t>
        </is>
      </c>
      <c r="P631" t="inlineStr">
        <is>
          <t>nyu</t>
        </is>
      </c>
      <c r="Q631" t="inlineStr">
        <is>
          <t>Early childhood education series</t>
        </is>
      </c>
      <c r="R631" t="inlineStr">
        <is>
          <t xml:space="preserve">LB </t>
        </is>
      </c>
      <c r="S631" t="n">
        <v>3</v>
      </c>
      <c r="T631" t="n">
        <v>3</v>
      </c>
      <c r="U631" t="inlineStr">
        <is>
          <t>2002-04-06</t>
        </is>
      </c>
      <c r="V631" t="inlineStr">
        <is>
          <t>2002-04-06</t>
        </is>
      </c>
      <c r="W631" t="inlineStr">
        <is>
          <t>1996-08-13</t>
        </is>
      </c>
      <c r="X631" t="inlineStr">
        <is>
          <t>1996-08-13</t>
        </is>
      </c>
      <c r="Y631" t="n">
        <v>330</v>
      </c>
      <c r="Z631" t="n">
        <v>282</v>
      </c>
      <c r="AA631" t="n">
        <v>283</v>
      </c>
      <c r="AB631" t="n">
        <v>3</v>
      </c>
      <c r="AC631" t="n">
        <v>3</v>
      </c>
      <c r="AD631" t="n">
        <v>10</v>
      </c>
      <c r="AE631" t="n">
        <v>10</v>
      </c>
      <c r="AF631" t="n">
        <v>1</v>
      </c>
      <c r="AG631" t="n">
        <v>1</v>
      </c>
      <c r="AH631" t="n">
        <v>3</v>
      </c>
      <c r="AI631" t="n">
        <v>3</v>
      </c>
      <c r="AJ631" t="n">
        <v>7</v>
      </c>
      <c r="AK631" t="n">
        <v>7</v>
      </c>
      <c r="AL631" t="n">
        <v>2</v>
      </c>
      <c r="AM631" t="n">
        <v>2</v>
      </c>
      <c r="AN631" t="n">
        <v>0</v>
      </c>
      <c r="AO631" t="n">
        <v>0</v>
      </c>
      <c r="AP631" t="inlineStr">
        <is>
          <t>No</t>
        </is>
      </c>
      <c r="AQ631" t="inlineStr">
        <is>
          <t>No</t>
        </is>
      </c>
      <c r="AS631">
        <f>HYPERLINK("https://creighton-primo.hosted.exlibrisgroup.com/primo-explore/search?tab=default_tab&amp;search_scope=EVERYTHING&amp;vid=01CRU&amp;lang=en_US&amp;offset=0&amp;query=any,contains,991002387779702656","Catalog Record")</f>
        <v/>
      </c>
      <c r="AT631">
        <f>HYPERLINK("http://www.worldcat.org/oclc/31013366","WorldCat Record")</f>
        <v/>
      </c>
      <c r="AU631" t="inlineStr">
        <is>
          <t>32776405:eng</t>
        </is>
      </c>
      <c r="AV631" t="inlineStr">
        <is>
          <t>31013366</t>
        </is>
      </c>
      <c r="AW631" t="inlineStr">
        <is>
          <t>991002387779702656</t>
        </is>
      </c>
      <c r="AX631" t="inlineStr">
        <is>
          <t>991002387779702656</t>
        </is>
      </c>
      <c r="AY631" t="inlineStr">
        <is>
          <t>2272769040002656</t>
        </is>
      </c>
      <c r="AZ631" t="inlineStr">
        <is>
          <t>BOOK</t>
        </is>
      </c>
      <c r="BB631" t="inlineStr">
        <is>
          <t>9780807734223</t>
        </is>
      </c>
      <c r="BC631" t="inlineStr">
        <is>
          <t>32285002274842</t>
        </is>
      </c>
      <c r="BD631" t="inlineStr">
        <is>
          <t>893798526</t>
        </is>
      </c>
    </row>
    <row r="632">
      <c r="A632" t="inlineStr">
        <is>
          <t>No</t>
        </is>
      </c>
      <c r="B632" t="inlineStr">
        <is>
          <t>LB1139.4 .L39 1996</t>
        </is>
      </c>
      <c r="C632" t="inlineStr">
        <is>
          <t>0                      LB 1139400L  39          1996</t>
        </is>
      </c>
      <c r="D632" t="inlineStr">
        <is>
          <t>Moving toward an integrated curriculum in early childhood education / Dianne Lawler-Prince, Jennifer L. Altieri, Mary McCart Cramer.</t>
        </is>
      </c>
      <c r="F632" t="inlineStr">
        <is>
          <t>No</t>
        </is>
      </c>
      <c r="G632" t="inlineStr">
        <is>
          <t>1</t>
        </is>
      </c>
      <c r="H632" t="inlineStr">
        <is>
          <t>No</t>
        </is>
      </c>
      <c r="I632" t="inlineStr">
        <is>
          <t>No</t>
        </is>
      </c>
      <c r="J632" t="inlineStr">
        <is>
          <t>0</t>
        </is>
      </c>
      <c r="K632" t="inlineStr">
        <is>
          <t>Lawler-Prince, Dianne.</t>
        </is>
      </c>
      <c r="L632" t="inlineStr">
        <is>
          <t>Washington, DC : NEA Professional Library, 1996.</t>
        </is>
      </c>
      <c r="M632" t="inlineStr">
        <is>
          <t>1996</t>
        </is>
      </c>
      <c r="O632" t="inlineStr">
        <is>
          <t>eng</t>
        </is>
      </c>
      <c r="P632" t="inlineStr">
        <is>
          <t>dcu</t>
        </is>
      </c>
      <c r="Q632" t="inlineStr">
        <is>
          <t>NEA early childhood education series</t>
        </is>
      </c>
      <c r="R632" t="inlineStr">
        <is>
          <t xml:space="preserve">LB </t>
        </is>
      </c>
      <c r="S632" t="n">
        <v>11</v>
      </c>
      <c r="T632" t="n">
        <v>11</v>
      </c>
      <c r="U632" t="inlineStr">
        <is>
          <t>2000-03-01</t>
        </is>
      </c>
      <c r="V632" t="inlineStr">
        <is>
          <t>2000-03-01</t>
        </is>
      </c>
      <c r="W632" t="inlineStr">
        <is>
          <t>1996-07-22</t>
        </is>
      </c>
      <c r="X632" t="inlineStr">
        <is>
          <t>1996-07-22</t>
        </is>
      </c>
      <c r="Y632" t="n">
        <v>300</v>
      </c>
      <c r="Z632" t="n">
        <v>282</v>
      </c>
      <c r="AA632" t="n">
        <v>290</v>
      </c>
      <c r="AB632" t="n">
        <v>5</v>
      </c>
      <c r="AC632" t="n">
        <v>5</v>
      </c>
      <c r="AD632" t="n">
        <v>12</v>
      </c>
      <c r="AE632" t="n">
        <v>12</v>
      </c>
      <c r="AF632" t="n">
        <v>4</v>
      </c>
      <c r="AG632" t="n">
        <v>4</v>
      </c>
      <c r="AH632" t="n">
        <v>2</v>
      </c>
      <c r="AI632" t="n">
        <v>2</v>
      </c>
      <c r="AJ632" t="n">
        <v>5</v>
      </c>
      <c r="AK632" t="n">
        <v>5</v>
      </c>
      <c r="AL632" t="n">
        <v>4</v>
      </c>
      <c r="AM632" t="n">
        <v>4</v>
      </c>
      <c r="AN632" t="n">
        <v>0</v>
      </c>
      <c r="AO632" t="n">
        <v>0</v>
      </c>
      <c r="AP632" t="inlineStr">
        <is>
          <t>No</t>
        </is>
      </c>
      <c r="AQ632" t="inlineStr">
        <is>
          <t>No</t>
        </is>
      </c>
      <c r="AS632">
        <f>HYPERLINK("https://creighton-primo.hosted.exlibrisgroup.com/primo-explore/search?tab=default_tab&amp;search_scope=EVERYTHING&amp;vid=01CRU&amp;lang=en_US&amp;offset=0&amp;query=any,contains,991002571479702656","Catalog Record")</f>
        <v/>
      </c>
      <c r="AT632">
        <f>HYPERLINK("http://www.worldcat.org/oclc/33408229","WorldCat Record")</f>
        <v/>
      </c>
      <c r="AU632" t="inlineStr">
        <is>
          <t>1075747:eng</t>
        </is>
      </c>
      <c r="AV632" t="inlineStr">
        <is>
          <t>33408229</t>
        </is>
      </c>
      <c r="AW632" t="inlineStr">
        <is>
          <t>991002571479702656</t>
        </is>
      </c>
      <c r="AX632" t="inlineStr">
        <is>
          <t>991002571479702656</t>
        </is>
      </c>
      <c r="AY632" t="inlineStr">
        <is>
          <t>2257072870002656</t>
        </is>
      </c>
      <c r="AZ632" t="inlineStr">
        <is>
          <t>BOOK</t>
        </is>
      </c>
      <c r="BB632" t="inlineStr">
        <is>
          <t>9780810603677</t>
        </is>
      </c>
      <c r="BC632" t="inlineStr">
        <is>
          <t>32285002207750</t>
        </is>
      </c>
      <c r="BD632" t="inlineStr">
        <is>
          <t>893227015</t>
        </is>
      </c>
    </row>
    <row r="633">
      <c r="A633" t="inlineStr">
        <is>
          <t>No</t>
        </is>
      </c>
      <c r="B633" t="inlineStr">
        <is>
          <t>LB1139.4 .S77 1990</t>
        </is>
      </c>
      <c r="C633" t="inlineStr">
        <is>
          <t>0                      LB 1139400S  77          1990</t>
        </is>
      </c>
      <c r="D633" t="inlineStr">
        <is>
          <t>Strategies for teaching young children / Judith A. Schickedanz ... [et al.].</t>
        </is>
      </c>
      <c r="F633" t="inlineStr">
        <is>
          <t>No</t>
        </is>
      </c>
      <c r="G633" t="inlineStr">
        <is>
          <t>1</t>
        </is>
      </c>
      <c r="H633" t="inlineStr">
        <is>
          <t>No</t>
        </is>
      </c>
      <c r="I633" t="inlineStr">
        <is>
          <t>No</t>
        </is>
      </c>
      <c r="J633" t="inlineStr">
        <is>
          <t>0</t>
        </is>
      </c>
      <c r="L633" t="inlineStr">
        <is>
          <t>Englewood Cliffs, N.J. : Prentice Hall, c1990.</t>
        </is>
      </c>
      <c r="M633" t="inlineStr">
        <is>
          <t>1990</t>
        </is>
      </c>
      <c r="N633" t="inlineStr">
        <is>
          <t>3rd ed.</t>
        </is>
      </c>
      <c r="O633" t="inlineStr">
        <is>
          <t>eng</t>
        </is>
      </c>
      <c r="P633" t="inlineStr">
        <is>
          <t>nju</t>
        </is>
      </c>
      <c r="R633" t="inlineStr">
        <is>
          <t xml:space="preserve">LB </t>
        </is>
      </c>
      <c r="S633" t="n">
        <v>7</v>
      </c>
      <c r="T633" t="n">
        <v>7</v>
      </c>
      <c r="U633" t="inlineStr">
        <is>
          <t>1999-04-30</t>
        </is>
      </c>
      <c r="V633" t="inlineStr">
        <is>
          <t>1999-04-30</t>
        </is>
      </c>
      <c r="W633" t="inlineStr">
        <is>
          <t>1990-04-24</t>
        </is>
      </c>
      <c r="X633" t="inlineStr">
        <is>
          <t>1990-04-24</t>
        </is>
      </c>
      <c r="Y633" t="n">
        <v>224</v>
      </c>
      <c r="Z633" t="n">
        <v>191</v>
      </c>
      <c r="AA633" t="n">
        <v>578</v>
      </c>
      <c r="AB633" t="n">
        <v>3</v>
      </c>
      <c r="AC633" t="n">
        <v>6</v>
      </c>
      <c r="AD633" t="n">
        <v>7</v>
      </c>
      <c r="AE633" t="n">
        <v>22</v>
      </c>
      <c r="AF633" t="n">
        <v>3</v>
      </c>
      <c r="AG633" t="n">
        <v>10</v>
      </c>
      <c r="AH633" t="n">
        <v>0</v>
      </c>
      <c r="AI633" t="n">
        <v>4</v>
      </c>
      <c r="AJ633" t="n">
        <v>3</v>
      </c>
      <c r="AK633" t="n">
        <v>10</v>
      </c>
      <c r="AL633" t="n">
        <v>2</v>
      </c>
      <c r="AM633" t="n">
        <v>5</v>
      </c>
      <c r="AN633" t="n">
        <v>0</v>
      </c>
      <c r="AO633" t="n">
        <v>0</v>
      </c>
      <c r="AP633" t="inlineStr">
        <is>
          <t>No</t>
        </is>
      </c>
      <c r="AQ633" t="inlineStr">
        <is>
          <t>No</t>
        </is>
      </c>
      <c r="AS633">
        <f>HYPERLINK("https://creighton-primo.hosted.exlibrisgroup.com/primo-explore/search?tab=default_tab&amp;search_scope=EVERYTHING&amp;vid=01CRU&amp;lang=en_US&amp;offset=0&amp;query=any,contains,991001519749702656","Catalog Record")</f>
        <v/>
      </c>
      <c r="AT633">
        <f>HYPERLINK("http://www.worldcat.org/oclc/19971500","WorldCat Record")</f>
        <v/>
      </c>
      <c r="AU633" t="inlineStr">
        <is>
          <t>54123352:eng</t>
        </is>
      </c>
      <c r="AV633" t="inlineStr">
        <is>
          <t>19971500</t>
        </is>
      </c>
      <c r="AW633" t="inlineStr">
        <is>
          <t>991001519749702656</t>
        </is>
      </c>
      <c r="AX633" t="inlineStr">
        <is>
          <t>991001519749702656</t>
        </is>
      </c>
      <c r="AY633" t="inlineStr">
        <is>
          <t>2260682050002656</t>
        </is>
      </c>
      <c r="AZ633" t="inlineStr">
        <is>
          <t>BOOK</t>
        </is>
      </c>
      <c r="BB633" t="inlineStr">
        <is>
          <t>9780138505615</t>
        </is>
      </c>
      <c r="BC633" t="inlineStr">
        <is>
          <t>32285000115799</t>
        </is>
      </c>
      <c r="BD633" t="inlineStr">
        <is>
          <t>893703073</t>
        </is>
      </c>
    </row>
    <row r="634">
      <c r="A634" t="inlineStr">
        <is>
          <t>No</t>
        </is>
      </c>
      <c r="B634" t="inlineStr">
        <is>
          <t>LB1139.5.R43 B58 2006</t>
        </is>
      </c>
      <c r="C634" t="inlineStr">
        <is>
          <t>0                      LB 1139500R  43                 B  58          2006</t>
        </is>
      </c>
      <c r="D634" t="inlineStr">
        <is>
          <t>Baby read-aloud basics : fun and interactive ways to help your little one discover the world of words / Caroline J. Blakemore &amp; Barbara Weston Ramirez.</t>
        </is>
      </c>
      <c r="F634" t="inlineStr">
        <is>
          <t>No</t>
        </is>
      </c>
      <c r="G634" t="inlineStr">
        <is>
          <t>1</t>
        </is>
      </c>
      <c r="H634" t="inlineStr">
        <is>
          <t>No</t>
        </is>
      </c>
      <c r="I634" t="inlineStr">
        <is>
          <t>No</t>
        </is>
      </c>
      <c r="J634" t="inlineStr">
        <is>
          <t>0</t>
        </is>
      </c>
      <c r="K634" t="inlineStr">
        <is>
          <t>Blakemore, Caroline.</t>
        </is>
      </c>
      <c r="L634" t="inlineStr">
        <is>
          <t>New York : AMACOM, 2006.</t>
        </is>
      </c>
      <c r="M634" t="inlineStr">
        <is>
          <t>2006</t>
        </is>
      </c>
      <c r="O634" t="inlineStr">
        <is>
          <t>eng</t>
        </is>
      </c>
      <c r="P634" t="inlineStr">
        <is>
          <t>nyu</t>
        </is>
      </c>
      <c r="R634" t="inlineStr">
        <is>
          <t xml:space="preserve">LB </t>
        </is>
      </c>
      <c r="S634" t="n">
        <v>1</v>
      </c>
      <c r="T634" t="n">
        <v>1</v>
      </c>
      <c r="U634" t="inlineStr">
        <is>
          <t>2006-06-14</t>
        </is>
      </c>
      <c r="V634" t="inlineStr">
        <is>
          <t>2006-06-14</t>
        </is>
      </c>
      <c r="W634" t="inlineStr">
        <is>
          <t>2006-06-14</t>
        </is>
      </c>
      <c r="X634" t="inlineStr">
        <is>
          <t>2006-06-14</t>
        </is>
      </c>
      <c r="Y634" t="n">
        <v>857</v>
      </c>
      <c r="Z634" t="n">
        <v>766</v>
      </c>
      <c r="AA634" t="n">
        <v>1302</v>
      </c>
      <c r="AB634" t="n">
        <v>8</v>
      </c>
      <c r="AC634" t="n">
        <v>16</v>
      </c>
      <c r="AD634" t="n">
        <v>6</v>
      </c>
      <c r="AE634" t="n">
        <v>15</v>
      </c>
      <c r="AF634" t="n">
        <v>3</v>
      </c>
      <c r="AG634" t="n">
        <v>6</v>
      </c>
      <c r="AH634" t="n">
        <v>1</v>
      </c>
      <c r="AI634" t="n">
        <v>1</v>
      </c>
      <c r="AJ634" t="n">
        <v>1</v>
      </c>
      <c r="AK634" t="n">
        <v>3</v>
      </c>
      <c r="AL634" t="n">
        <v>2</v>
      </c>
      <c r="AM634" t="n">
        <v>8</v>
      </c>
      <c r="AN634" t="n">
        <v>0</v>
      </c>
      <c r="AO634" t="n">
        <v>0</v>
      </c>
      <c r="AP634" t="inlineStr">
        <is>
          <t>No</t>
        </is>
      </c>
      <c r="AQ634" t="inlineStr">
        <is>
          <t>No</t>
        </is>
      </c>
      <c r="AS634">
        <f>HYPERLINK("https://creighton-primo.hosted.exlibrisgroup.com/primo-explore/search?tab=default_tab&amp;search_scope=EVERYTHING&amp;vid=01CRU&amp;lang=en_US&amp;offset=0&amp;query=any,contains,991004830619702656","Catalog Record")</f>
        <v/>
      </c>
      <c r="AT634">
        <f>HYPERLINK("http://www.worldcat.org/oclc/62738518","WorldCat Record")</f>
        <v/>
      </c>
      <c r="AU634" t="inlineStr">
        <is>
          <t>796425110:eng</t>
        </is>
      </c>
      <c r="AV634" t="inlineStr">
        <is>
          <t>62738518</t>
        </is>
      </c>
      <c r="AW634" t="inlineStr">
        <is>
          <t>991004830619702656</t>
        </is>
      </c>
      <c r="AX634" t="inlineStr">
        <is>
          <t>991004830619702656</t>
        </is>
      </c>
      <c r="AY634" t="inlineStr">
        <is>
          <t>2262011040002656</t>
        </is>
      </c>
      <c r="AZ634" t="inlineStr">
        <is>
          <t>BOOK</t>
        </is>
      </c>
      <c r="BB634" t="inlineStr">
        <is>
          <t>9780814473580</t>
        </is>
      </c>
      <c r="BC634" t="inlineStr">
        <is>
          <t>32285005191209</t>
        </is>
      </c>
      <c r="BD634" t="inlineStr">
        <is>
          <t>893254146</t>
        </is>
      </c>
    </row>
    <row r="635">
      <c r="A635" t="inlineStr">
        <is>
          <t>No</t>
        </is>
      </c>
      <c r="B635" t="inlineStr">
        <is>
          <t>LB1139.L3 B363 2005</t>
        </is>
      </c>
      <c r="C635" t="inlineStr">
        <is>
          <t>0                      LB 1139000L  3                  B  363         2005</t>
        </is>
      </c>
      <c r="D635" t="inlineStr">
        <is>
          <t>At a loss for words : how America is failing our children and what we can do about it / Betty Bardige ; foreword by T. Berry Brazelton.</t>
        </is>
      </c>
      <c r="F635" t="inlineStr">
        <is>
          <t>No</t>
        </is>
      </c>
      <c r="G635" t="inlineStr">
        <is>
          <t>1</t>
        </is>
      </c>
      <c r="H635" t="inlineStr">
        <is>
          <t>No</t>
        </is>
      </c>
      <c r="I635" t="inlineStr">
        <is>
          <t>No</t>
        </is>
      </c>
      <c r="J635" t="inlineStr">
        <is>
          <t>0</t>
        </is>
      </c>
      <c r="K635" t="inlineStr">
        <is>
          <t>Bardige, Betty Lynn Segal.</t>
        </is>
      </c>
      <c r="L635" t="inlineStr">
        <is>
          <t>Philadelphia : Temple University Press, c2005.</t>
        </is>
      </c>
      <c r="M635" t="inlineStr">
        <is>
          <t>2005</t>
        </is>
      </c>
      <c r="O635" t="inlineStr">
        <is>
          <t>eng</t>
        </is>
      </c>
      <c r="P635" t="inlineStr">
        <is>
          <t>pau</t>
        </is>
      </c>
      <c r="R635" t="inlineStr">
        <is>
          <t xml:space="preserve">LB </t>
        </is>
      </c>
      <c r="S635" t="n">
        <v>2</v>
      </c>
      <c r="T635" t="n">
        <v>2</v>
      </c>
      <c r="U635" t="inlineStr">
        <is>
          <t>2005-07-20</t>
        </is>
      </c>
      <c r="V635" t="inlineStr">
        <is>
          <t>2005-07-20</t>
        </is>
      </c>
      <c r="W635" t="inlineStr">
        <is>
          <t>2005-07-20</t>
        </is>
      </c>
      <c r="X635" t="inlineStr">
        <is>
          <t>2005-07-20</t>
        </is>
      </c>
      <c r="Y635" t="n">
        <v>684</v>
      </c>
      <c r="Z635" t="n">
        <v>648</v>
      </c>
      <c r="AA635" t="n">
        <v>871</v>
      </c>
      <c r="AB635" t="n">
        <v>6</v>
      </c>
      <c r="AC635" t="n">
        <v>6</v>
      </c>
      <c r="AD635" t="n">
        <v>23</v>
      </c>
      <c r="AE635" t="n">
        <v>31</v>
      </c>
      <c r="AF635" t="n">
        <v>9</v>
      </c>
      <c r="AG635" t="n">
        <v>13</v>
      </c>
      <c r="AH635" t="n">
        <v>4</v>
      </c>
      <c r="AI635" t="n">
        <v>7</v>
      </c>
      <c r="AJ635" t="n">
        <v>11</v>
      </c>
      <c r="AK635" t="n">
        <v>15</v>
      </c>
      <c r="AL635" t="n">
        <v>5</v>
      </c>
      <c r="AM635" t="n">
        <v>5</v>
      </c>
      <c r="AN635" t="n">
        <v>0</v>
      </c>
      <c r="AO635" t="n">
        <v>0</v>
      </c>
      <c r="AP635" t="inlineStr">
        <is>
          <t>No</t>
        </is>
      </c>
      <c r="AQ635" t="inlineStr">
        <is>
          <t>No</t>
        </is>
      </c>
      <c r="AS635">
        <f>HYPERLINK("https://creighton-primo.hosted.exlibrisgroup.com/primo-explore/search?tab=default_tab&amp;search_scope=EVERYTHING&amp;vid=01CRU&amp;lang=en_US&amp;offset=0&amp;query=any,contains,991004584869702656","Catalog Record")</f>
        <v/>
      </c>
      <c r="AT635">
        <f>HYPERLINK("http://www.worldcat.org/oclc/56733137","WorldCat Record")</f>
        <v/>
      </c>
      <c r="AU635" t="inlineStr">
        <is>
          <t>988219196:eng</t>
        </is>
      </c>
      <c r="AV635" t="inlineStr">
        <is>
          <t>56733137</t>
        </is>
      </c>
      <c r="AW635" t="inlineStr">
        <is>
          <t>991004584869702656</t>
        </is>
      </c>
      <c r="AX635" t="inlineStr">
        <is>
          <t>991004584869702656</t>
        </is>
      </c>
      <c r="AY635" t="inlineStr">
        <is>
          <t>2265140350002656</t>
        </is>
      </c>
      <c r="AZ635" t="inlineStr">
        <is>
          <t>BOOK</t>
        </is>
      </c>
      <c r="BB635" t="inlineStr">
        <is>
          <t>9781592133925</t>
        </is>
      </c>
      <c r="BC635" t="inlineStr">
        <is>
          <t>32285005097091</t>
        </is>
      </c>
      <c r="BD635" t="inlineStr">
        <is>
          <t>893337894</t>
        </is>
      </c>
    </row>
    <row r="636">
      <c r="A636" t="inlineStr">
        <is>
          <t>No</t>
        </is>
      </c>
      <c r="B636" t="inlineStr">
        <is>
          <t>LB1139.L3 G69</t>
        </is>
      </c>
      <c r="C636" t="inlineStr">
        <is>
          <t>0                      LB 1139000L  3                  G  69</t>
        </is>
      </c>
      <c r="D636" t="inlineStr">
        <is>
          <t>The structure of communication in early language development / Patricia Marks Greenfield, Joshua H. Smith.</t>
        </is>
      </c>
      <c r="F636" t="inlineStr">
        <is>
          <t>No</t>
        </is>
      </c>
      <c r="G636" t="inlineStr">
        <is>
          <t>1</t>
        </is>
      </c>
      <c r="H636" t="inlineStr">
        <is>
          <t>No</t>
        </is>
      </c>
      <c r="I636" t="inlineStr">
        <is>
          <t>No</t>
        </is>
      </c>
      <c r="J636" t="inlineStr">
        <is>
          <t>0</t>
        </is>
      </c>
      <c r="K636" t="inlineStr">
        <is>
          <t>Greenfield, Patricia Marks.</t>
        </is>
      </c>
      <c r="L636" t="inlineStr">
        <is>
          <t>New York : Academic Press, 1976.</t>
        </is>
      </c>
      <c r="M636" t="inlineStr">
        <is>
          <t>1976</t>
        </is>
      </c>
      <c r="O636" t="inlineStr">
        <is>
          <t>eng</t>
        </is>
      </c>
      <c r="P636" t="inlineStr">
        <is>
          <t>nyu</t>
        </is>
      </c>
      <c r="Q636" t="inlineStr">
        <is>
          <t>Child psychology series</t>
        </is>
      </c>
      <c r="R636" t="inlineStr">
        <is>
          <t xml:space="preserve">LB </t>
        </is>
      </c>
      <c r="S636" t="n">
        <v>1</v>
      </c>
      <c r="T636" t="n">
        <v>1</v>
      </c>
      <c r="U636" t="inlineStr">
        <is>
          <t>2001-04-18</t>
        </is>
      </c>
      <c r="V636" t="inlineStr">
        <is>
          <t>2001-04-18</t>
        </is>
      </c>
      <c r="W636" t="inlineStr">
        <is>
          <t>1997-07-23</t>
        </is>
      </c>
      <c r="X636" t="inlineStr">
        <is>
          <t>1997-07-23</t>
        </is>
      </c>
      <c r="Y636" t="n">
        <v>644</v>
      </c>
      <c r="Z636" t="n">
        <v>427</v>
      </c>
      <c r="AA636" t="n">
        <v>428</v>
      </c>
      <c r="AB636" t="n">
        <v>3</v>
      </c>
      <c r="AC636" t="n">
        <v>3</v>
      </c>
      <c r="AD636" t="n">
        <v>21</v>
      </c>
      <c r="AE636" t="n">
        <v>21</v>
      </c>
      <c r="AF636" t="n">
        <v>7</v>
      </c>
      <c r="AG636" t="n">
        <v>7</v>
      </c>
      <c r="AH636" t="n">
        <v>6</v>
      </c>
      <c r="AI636" t="n">
        <v>6</v>
      </c>
      <c r="AJ636" t="n">
        <v>13</v>
      </c>
      <c r="AK636" t="n">
        <v>13</v>
      </c>
      <c r="AL636" t="n">
        <v>2</v>
      </c>
      <c r="AM636" t="n">
        <v>2</v>
      </c>
      <c r="AN636" t="n">
        <v>0</v>
      </c>
      <c r="AO636" t="n">
        <v>0</v>
      </c>
      <c r="AP636" t="inlineStr">
        <is>
          <t>No</t>
        </is>
      </c>
      <c r="AQ636" t="inlineStr">
        <is>
          <t>Yes</t>
        </is>
      </c>
      <c r="AR636">
        <f>HYPERLINK("http://catalog.hathitrust.org/Record/003078880","HathiTrust Record")</f>
        <v/>
      </c>
      <c r="AS636">
        <f>HYPERLINK("https://creighton-primo.hosted.exlibrisgroup.com/primo-explore/search?tab=default_tab&amp;search_scope=EVERYTHING&amp;vid=01CRU&amp;lang=en_US&amp;offset=0&amp;query=any,contains,991004007739702656","Catalog Record")</f>
        <v/>
      </c>
      <c r="AT636">
        <f>HYPERLINK("http://www.worldcat.org/oclc/2089016","WorldCat Record")</f>
        <v/>
      </c>
      <c r="AU636" t="inlineStr">
        <is>
          <t>4182444:eng</t>
        </is>
      </c>
      <c r="AV636" t="inlineStr">
        <is>
          <t>2089016</t>
        </is>
      </c>
      <c r="AW636" t="inlineStr">
        <is>
          <t>991004007739702656</t>
        </is>
      </c>
      <c r="AX636" t="inlineStr">
        <is>
          <t>991004007739702656</t>
        </is>
      </c>
      <c r="AY636" t="inlineStr">
        <is>
          <t>2263469980002656</t>
        </is>
      </c>
      <c r="AZ636" t="inlineStr">
        <is>
          <t>BOOK</t>
        </is>
      </c>
      <c r="BB636" t="inlineStr">
        <is>
          <t>9780123002501</t>
        </is>
      </c>
      <c r="BC636" t="inlineStr">
        <is>
          <t>32285002958089</t>
        </is>
      </c>
      <c r="BD636" t="inlineStr">
        <is>
          <t>893593158</t>
        </is>
      </c>
    </row>
    <row r="637">
      <c r="A637" t="inlineStr">
        <is>
          <t>No</t>
        </is>
      </c>
      <c r="B637" t="inlineStr">
        <is>
          <t>LB1139.L3 I53</t>
        </is>
      </c>
      <c r="C637" t="inlineStr">
        <is>
          <t>0                      LB 1139000L  3                  I  53</t>
        </is>
      </c>
      <c r="D637" t="inlineStr">
        <is>
          <t>Interaction, conversation, and the development of language / edited by Michael Lewis and Leonard A. Rosenblum.</t>
        </is>
      </c>
      <c r="F637" t="inlineStr">
        <is>
          <t>No</t>
        </is>
      </c>
      <c r="G637" t="inlineStr">
        <is>
          <t>1</t>
        </is>
      </c>
      <c r="H637" t="inlineStr">
        <is>
          <t>No</t>
        </is>
      </c>
      <c r="I637" t="inlineStr">
        <is>
          <t>No</t>
        </is>
      </c>
      <c r="J637" t="inlineStr">
        <is>
          <t>0</t>
        </is>
      </c>
      <c r="L637" t="inlineStr">
        <is>
          <t>New York : Wiley, c1977.</t>
        </is>
      </c>
      <c r="M637" t="inlineStr">
        <is>
          <t>1977</t>
        </is>
      </c>
      <c r="O637" t="inlineStr">
        <is>
          <t>eng</t>
        </is>
      </c>
      <c r="P637" t="inlineStr">
        <is>
          <t>nyu</t>
        </is>
      </c>
      <c r="Q637" t="inlineStr">
        <is>
          <t>The Origins of behavior ; v. 5</t>
        </is>
      </c>
      <c r="R637" t="inlineStr">
        <is>
          <t xml:space="preserve">LB </t>
        </is>
      </c>
      <c r="S637" t="n">
        <v>1</v>
      </c>
      <c r="T637" t="n">
        <v>1</v>
      </c>
      <c r="U637" t="inlineStr">
        <is>
          <t>2001-09-21</t>
        </is>
      </c>
      <c r="V637" t="inlineStr">
        <is>
          <t>2001-09-21</t>
        </is>
      </c>
      <c r="W637" t="inlineStr">
        <is>
          <t>1992-02-26</t>
        </is>
      </c>
      <c r="X637" t="inlineStr">
        <is>
          <t>1992-02-26</t>
        </is>
      </c>
      <c r="Y637" t="n">
        <v>478</v>
      </c>
      <c r="Z637" t="n">
        <v>317</v>
      </c>
      <c r="AA637" t="n">
        <v>334</v>
      </c>
      <c r="AB637" t="n">
        <v>2</v>
      </c>
      <c r="AC637" t="n">
        <v>2</v>
      </c>
      <c r="AD637" t="n">
        <v>11</v>
      </c>
      <c r="AE637" t="n">
        <v>13</v>
      </c>
      <c r="AF637" t="n">
        <v>3</v>
      </c>
      <c r="AG637" t="n">
        <v>4</v>
      </c>
      <c r="AH637" t="n">
        <v>4</v>
      </c>
      <c r="AI637" t="n">
        <v>5</v>
      </c>
      <c r="AJ637" t="n">
        <v>7</v>
      </c>
      <c r="AK637" t="n">
        <v>7</v>
      </c>
      <c r="AL637" t="n">
        <v>0</v>
      </c>
      <c r="AM637" t="n">
        <v>0</v>
      </c>
      <c r="AN637" t="n">
        <v>0</v>
      </c>
      <c r="AO637" t="n">
        <v>0</v>
      </c>
      <c r="AP637" t="inlineStr">
        <is>
          <t>No</t>
        </is>
      </c>
      <c r="AQ637" t="inlineStr">
        <is>
          <t>Yes</t>
        </is>
      </c>
      <c r="AR637">
        <f>HYPERLINK("http://catalog.hathitrust.org/Record/000086785","HathiTrust Record")</f>
        <v/>
      </c>
      <c r="AS637">
        <f>HYPERLINK("https://creighton-primo.hosted.exlibrisgroup.com/primo-explore/search?tab=default_tab&amp;search_scope=EVERYTHING&amp;vid=01CRU&amp;lang=en_US&amp;offset=0&amp;query=any,contains,991004178149702656","Catalog Record")</f>
        <v/>
      </c>
      <c r="AT637">
        <f>HYPERLINK("http://www.worldcat.org/oclc/2598165","WorldCat Record")</f>
        <v/>
      </c>
      <c r="AU637" t="inlineStr">
        <is>
          <t>350619254:eng</t>
        </is>
      </c>
      <c r="AV637" t="inlineStr">
        <is>
          <t>2598165</t>
        </is>
      </c>
      <c r="AW637" t="inlineStr">
        <is>
          <t>991004178149702656</t>
        </is>
      </c>
      <c r="AX637" t="inlineStr">
        <is>
          <t>991004178149702656</t>
        </is>
      </c>
      <c r="AY637" t="inlineStr">
        <is>
          <t>2265904030002656</t>
        </is>
      </c>
      <c r="AZ637" t="inlineStr">
        <is>
          <t>BOOK</t>
        </is>
      </c>
      <c r="BB637" t="inlineStr">
        <is>
          <t>9780471025269</t>
        </is>
      </c>
      <c r="BC637" t="inlineStr">
        <is>
          <t>32285000948868</t>
        </is>
      </c>
      <c r="BD637" t="inlineStr">
        <is>
          <t>893904737</t>
        </is>
      </c>
    </row>
    <row r="638">
      <c r="A638" t="inlineStr">
        <is>
          <t>No</t>
        </is>
      </c>
      <c r="B638" t="inlineStr">
        <is>
          <t>LB1139.L3 L323</t>
        </is>
      </c>
      <c r="C638" t="inlineStr">
        <is>
          <t>0                      LB 1139000L  3                  L  323</t>
        </is>
      </c>
      <c r="D638" t="inlineStr">
        <is>
          <t>Language acquisition : studies in first language development / edited by Paul Fletcher and Michael Garman.</t>
        </is>
      </c>
      <c r="F638" t="inlineStr">
        <is>
          <t>No</t>
        </is>
      </c>
      <c r="G638" t="inlineStr">
        <is>
          <t>1</t>
        </is>
      </c>
      <c r="H638" t="inlineStr">
        <is>
          <t>No</t>
        </is>
      </c>
      <c r="I638" t="inlineStr">
        <is>
          <t>No</t>
        </is>
      </c>
      <c r="J638" t="inlineStr">
        <is>
          <t>0</t>
        </is>
      </c>
      <c r="L638" t="inlineStr">
        <is>
          <t>Cambridge ; New York : Cambridge University Press, 1979.</t>
        </is>
      </c>
      <c r="M638" t="inlineStr">
        <is>
          <t>1979</t>
        </is>
      </c>
      <c r="O638" t="inlineStr">
        <is>
          <t>eng</t>
        </is>
      </c>
      <c r="P638" t="inlineStr">
        <is>
          <t>mau</t>
        </is>
      </c>
      <c r="R638" t="inlineStr">
        <is>
          <t xml:space="preserve">LB </t>
        </is>
      </c>
      <c r="S638" t="n">
        <v>3</v>
      </c>
      <c r="T638" t="n">
        <v>3</v>
      </c>
      <c r="U638" t="inlineStr">
        <is>
          <t>2001-04-18</t>
        </is>
      </c>
      <c r="V638" t="inlineStr">
        <is>
          <t>2001-04-18</t>
        </is>
      </c>
      <c r="W638" t="inlineStr">
        <is>
          <t>1992-02-25</t>
        </is>
      </c>
      <c r="X638" t="inlineStr">
        <is>
          <t>1992-02-25</t>
        </is>
      </c>
      <c r="Y638" t="n">
        <v>661</v>
      </c>
      <c r="Z638" t="n">
        <v>435</v>
      </c>
      <c r="AA638" t="n">
        <v>608</v>
      </c>
      <c r="AB638" t="n">
        <v>3</v>
      </c>
      <c r="AC638" t="n">
        <v>4</v>
      </c>
      <c r="AD638" t="n">
        <v>20</v>
      </c>
      <c r="AE638" t="n">
        <v>23</v>
      </c>
      <c r="AF638" t="n">
        <v>6</v>
      </c>
      <c r="AG638" t="n">
        <v>7</v>
      </c>
      <c r="AH638" t="n">
        <v>6</v>
      </c>
      <c r="AI638" t="n">
        <v>7</v>
      </c>
      <c r="AJ638" t="n">
        <v>11</v>
      </c>
      <c r="AK638" t="n">
        <v>12</v>
      </c>
      <c r="AL638" t="n">
        <v>2</v>
      </c>
      <c r="AM638" t="n">
        <v>3</v>
      </c>
      <c r="AN638" t="n">
        <v>0</v>
      </c>
      <c r="AO638" t="n">
        <v>0</v>
      </c>
      <c r="AP638" t="inlineStr">
        <is>
          <t>No</t>
        </is>
      </c>
      <c r="AQ638" t="inlineStr">
        <is>
          <t>No</t>
        </is>
      </c>
      <c r="AS638">
        <f>HYPERLINK("https://creighton-primo.hosted.exlibrisgroup.com/primo-explore/search?tab=default_tab&amp;search_scope=EVERYTHING&amp;vid=01CRU&amp;lang=en_US&amp;offset=0&amp;query=any,contains,991004674749702656","Catalog Record")</f>
        <v/>
      </c>
      <c r="AT638">
        <f>HYPERLINK("http://www.worldcat.org/oclc/4529930","WorldCat Record")</f>
        <v/>
      </c>
      <c r="AU638" t="inlineStr">
        <is>
          <t>4916925468:eng</t>
        </is>
      </c>
      <c r="AV638" t="inlineStr">
        <is>
          <t>4529930</t>
        </is>
      </c>
      <c r="AW638" t="inlineStr">
        <is>
          <t>991004674749702656</t>
        </is>
      </c>
      <c r="AX638" t="inlineStr">
        <is>
          <t>991004674749702656</t>
        </is>
      </c>
      <c r="AY638" t="inlineStr">
        <is>
          <t>2264392270002656</t>
        </is>
      </c>
      <c r="AZ638" t="inlineStr">
        <is>
          <t>BOOK</t>
        </is>
      </c>
      <c r="BB638" t="inlineStr">
        <is>
          <t>9780521225212</t>
        </is>
      </c>
      <c r="BC638" t="inlineStr">
        <is>
          <t>32285000982610</t>
        </is>
      </c>
      <c r="BD638" t="inlineStr">
        <is>
          <t>893624953</t>
        </is>
      </c>
    </row>
    <row r="639">
      <c r="A639" t="inlineStr">
        <is>
          <t>No</t>
        </is>
      </c>
      <c r="B639" t="inlineStr">
        <is>
          <t>LB1139.L3 L325</t>
        </is>
      </c>
      <c r="C639" t="inlineStr">
        <is>
          <t>0                      LB 1139000L  3                  L  325</t>
        </is>
      </c>
      <c r="D639" t="inlineStr">
        <is>
          <t>Language development, the key to learning. Edited by Morris Val Jones. With a foreword by Anthony W. Guidon.</t>
        </is>
      </c>
      <c r="F639" t="inlineStr">
        <is>
          <t>No</t>
        </is>
      </c>
      <c r="G639" t="inlineStr">
        <is>
          <t>1</t>
        </is>
      </c>
      <c r="H639" t="inlineStr">
        <is>
          <t>No</t>
        </is>
      </c>
      <c r="I639" t="inlineStr">
        <is>
          <t>No</t>
        </is>
      </c>
      <c r="J639" t="inlineStr">
        <is>
          <t>0</t>
        </is>
      </c>
      <c r="L639" t="inlineStr">
        <is>
          <t>Springfield, Ill., Thomas [1972]</t>
        </is>
      </c>
      <c r="M639" t="inlineStr">
        <is>
          <t>1972</t>
        </is>
      </c>
      <c r="O639" t="inlineStr">
        <is>
          <t>eng</t>
        </is>
      </c>
      <c r="P639" t="inlineStr">
        <is>
          <t>ilu</t>
        </is>
      </c>
      <c r="Q639" t="inlineStr">
        <is>
          <t>American lecture series, publication; no. 824. A monograph in the Bannerstone division of American lectures in special education</t>
        </is>
      </c>
      <c r="R639" t="inlineStr">
        <is>
          <t xml:space="preserve">LB </t>
        </is>
      </c>
      <c r="S639" t="n">
        <v>4</v>
      </c>
      <c r="T639" t="n">
        <v>4</v>
      </c>
      <c r="U639" t="inlineStr">
        <is>
          <t>2001-04-18</t>
        </is>
      </c>
      <c r="V639" t="inlineStr">
        <is>
          <t>2001-04-18</t>
        </is>
      </c>
      <c r="W639" t="inlineStr">
        <is>
          <t>1992-02-26</t>
        </is>
      </c>
      <c r="X639" t="inlineStr">
        <is>
          <t>1992-02-26</t>
        </is>
      </c>
      <c r="Y639" t="n">
        <v>431</v>
      </c>
      <c r="Z639" t="n">
        <v>384</v>
      </c>
      <c r="AA639" t="n">
        <v>392</v>
      </c>
      <c r="AB639" t="n">
        <v>4</v>
      </c>
      <c r="AC639" t="n">
        <v>4</v>
      </c>
      <c r="AD639" t="n">
        <v>15</v>
      </c>
      <c r="AE639" t="n">
        <v>15</v>
      </c>
      <c r="AF639" t="n">
        <v>5</v>
      </c>
      <c r="AG639" t="n">
        <v>5</v>
      </c>
      <c r="AH639" t="n">
        <v>3</v>
      </c>
      <c r="AI639" t="n">
        <v>3</v>
      </c>
      <c r="AJ639" t="n">
        <v>8</v>
      </c>
      <c r="AK639" t="n">
        <v>8</v>
      </c>
      <c r="AL639" t="n">
        <v>3</v>
      </c>
      <c r="AM639" t="n">
        <v>3</v>
      </c>
      <c r="AN639" t="n">
        <v>0</v>
      </c>
      <c r="AO639" t="n">
        <v>0</v>
      </c>
      <c r="AP639" t="inlineStr">
        <is>
          <t>No</t>
        </is>
      </c>
      <c r="AQ639" t="inlineStr">
        <is>
          <t>Yes</t>
        </is>
      </c>
      <c r="AR639">
        <f>HYPERLINK("http://catalog.hathitrust.org/Record/000879655","HathiTrust Record")</f>
        <v/>
      </c>
      <c r="AS639">
        <f>HYPERLINK("https://creighton-primo.hosted.exlibrisgroup.com/primo-explore/search?tab=default_tab&amp;search_scope=EVERYTHING&amp;vid=01CRU&amp;lang=en_US&amp;offset=0&amp;query=any,contains,991001792229702656","Catalog Record")</f>
        <v/>
      </c>
      <c r="AT639">
        <f>HYPERLINK("http://www.worldcat.org/oclc/22544976","WorldCat Record")</f>
        <v/>
      </c>
      <c r="AU639" t="inlineStr">
        <is>
          <t>24624483:eng</t>
        </is>
      </c>
      <c r="AV639" t="inlineStr">
        <is>
          <t>22544976</t>
        </is>
      </c>
      <c r="AW639" t="inlineStr">
        <is>
          <t>991001792229702656</t>
        </is>
      </c>
      <c r="AX639" t="inlineStr">
        <is>
          <t>991001792229702656</t>
        </is>
      </c>
      <c r="AY639" t="inlineStr">
        <is>
          <t>2270446740002656</t>
        </is>
      </c>
      <c r="AZ639" t="inlineStr">
        <is>
          <t>BOOK</t>
        </is>
      </c>
      <c r="BB639" t="inlineStr">
        <is>
          <t>9780398023249</t>
        </is>
      </c>
      <c r="BC639" t="inlineStr">
        <is>
          <t>32285000949239</t>
        </is>
      </c>
      <c r="BD639" t="inlineStr">
        <is>
          <t>893791716</t>
        </is>
      </c>
    </row>
    <row r="640">
      <c r="A640" t="inlineStr">
        <is>
          <t>No</t>
        </is>
      </c>
      <c r="B640" t="inlineStr">
        <is>
          <t>LB1139.L3 M65</t>
        </is>
      </c>
      <c r="C640" t="inlineStr">
        <is>
          <t>0                      LB 1139000L  3                  M  65</t>
        </is>
      </c>
      <c r="D640" t="inlineStr">
        <is>
          <t>The vocabulary of first-grade children / by Alden J. Moe, Carol J. Hopkins, R. Timothy Rush ; with a foreword by John M. Kean.</t>
        </is>
      </c>
      <c r="F640" t="inlineStr">
        <is>
          <t>No</t>
        </is>
      </c>
      <c r="G640" t="inlineStr">
        <is>
          <t>1</t>
        </is>
      </c>
      <c r="H640" t="inlineStr">
        <is>
          <t>No</t>
        </is>
      </c>
      <c r="I640" t="inlineStr">
        <is>
          <t>No</t>
        </is>
      </c>
      <c r="J640" t="inlineStr">
        <is>
          <t>0</t>
        </is>
      </c>
      <c r="K640" t="inlineStr">
        <is>
          <t>Moe, Alden J.</t>
        </is>
      </c>
      <c r="L640" t="inlineStr">
        <is>
          <t>Springfield, Ill. : Thomas, c1982.</t>
        </is>
      </c>
      <c r="M640" t="inlineStr">
        <is>
          <t>1982</t>
        </is>
      </c>
      <c r="O640" t="inlineStr">
        <is>
          <t>eng</t>
        </is>
      </c>
      <c r="P640" t="inlineStr">
        <is>
          <t>ilu</t>
        </is>
      </c>
      <c r="R640" t="inlineStr">
        <is>
          <t xml:space="preserve">LB </t>
        </is>
      </c>
      <c r="S640" t="n">
        <v>4</v>
      </c>
      <c r="T640" t="n">
        <v>4</v>
      </c>
      <c r="U640" t="inlineStr">
        <is>
          <t>2000-05-25</t>
        </is>
      </c>
      <c r="V640" t="inlineStr">
        <is>
          <t>2000-05-25</t>
        </is>
      </c>
      <c r="W640" t="inlineStr">
        <is>
          <t>1993-01-15</t>
        </is>
      </c>
      <c r="X640" t="inlineStr">
        <is>
          <t>1993-01-15</t>
        </is>
      </c>
      <c r="Y640" t="n">
        <v>244</v>
      </c>
      <c r="Z640" t="n">
        <v>220</v>
      </c>
      <c r="AA640" t="n">
        <v>221</v>
      </c>
      <c r="AB640" t="n">
        <v>3</v>
      </c>
      <c r="AC640" t="n">
        <v>3</v>
      </c>
      <c r="AD640" t="n">
        <v>9</v>
      </c>
      <c r="AE640" t="n">
        <v>9</v>
      </c>
      <c r="AF640" t="n">
        <v>5</v>
      </c>
      <c r="AG640" t="n">
        <v>5</v>
      </c>
      <c r="AH640" t="n">
        <v>1</v>
      </c>
      <c r="AI640" t="n">
        <v>1</v>
      </c>
      <c r="AJ640" t="n">
        <v>3</v>
      </c>
      <c r="AK640" t="n">
        <v>3</v>
      </c>
      <c r="AL640" t="n">
        <v>2</v>
      </c>
      <c r="AM640" t="n">
        <v>2</v>
      </c>
      <c r="AN640" t="n">
        <v>0</v>
      </c>
      <c r="AO640" t="n">
        <v>0</v>
      </c>
      <c r="AP640" t="inlineStr">
        <is>
          <t>No</t>
        </is>
      </c>
      <c r="AQ640" t="inlineStr">
        <is>
          <t>Yes</t>
        </is>
      </c>
      <c r="AR640">
        <f>HYPERLINK("http://catalog.hathitrust.org/Record/000231084","HathiTrust Record")</f>
        <v/>
      </c>
      <c r="AS640">
        <f>HYPERLINK("https://creighton-primo.hosted.exlibrisgroup.com/primo-explore/search?tab=default_tab&amp;search_scope=EVERYTHING&amp;vid=01CRU&amp;lang=en_US&amp;offset=0&amp;query=any,contains,991005153069702656","Catalog Record")</f>
        <v/>
      </c>
      <c r="AT640">
        <f>HYPERLINK("http://www.worldcat.org/oclc/7735240","WorldCat Record")</f>
        <v/>
      </c>
      <c r="AU640" t="inlineStr">
        <is>
          <t>472492:eng</t>
        </is>
      </c>
      <c r="AV640" t="inlineStr">
        <is>
          <t>7735240</t>
        </is>
      </c>
      <c r="AW640" t="inlineStr">
        <is>
          <t>991005153069702656</t>
        </is>
      </c>
      <c r="AX640" t="inlineStr">
        <is>
          <t>991005153069702656</t>
        </is>
      </c>
      <c r="AY640" t="inlineStr">
        <is>
          <t>2254984150002656</t>
        </is>
      </c>
      <c r="AZ640" t="inlineStr">
        <is>
          <t>BOOK</t>
        </is>
      </c>
      <c r="BB640" t="inlineStr">
        <is>
          <t>9780398046231</t>
        </is>
      </c>
      <c r="BC640" t="inlineStr">
        <is>
          <t>32285001475846</t>
        </is>
      </c>
      <c r="BD640" t="inlineStr">
        <is>
          <t>893254556</t>
        </is>
      </c>
    </row>
    <row r="641">
      <c r="A641" t="inlineStr">
        <is>
          <t>No</t>
        </is>
      </c>
      <c r="B641" t="inlineStr">
        <is>
          <t>LB1139.L3 P43</t>
        </is>
      </c>
      <c r="C641" t="inlineStr">
        <is>
          <t>0                      LB 1139000L  3                  P  43</t>
        </is>
      </c>
      <c r="D641" t="inlineStr">
        <is>
          <t>The development of language and reading in the young child.</t>
        </is>
      </c>
      <c r="F641" t="inlineStr">
        <is>
          <t>No</t>
        </is>
      </c>
      <c r="G641" t="inlineStr">
        <is>
          <t>1</t>
        </is>
      </c>
      <c r="H641" t="inlineStr">
        <is>
          <t>No</t>
        </is>
      </c>
      <c r="I641" t="inlineStr">
        <is>
          <t>No</t>
        </is>
      </c>
      <c r="J641" t="inlineStr">
        <is>
          <t>0</t>
        </is>
      </c>
      <c r="K641" t="inlineStr">
        <is>
          <t>Pflaum, Susanna W.</t>
        </is>
      </c>
      <c r="L641" t="inlineStr">
        <is>
          <t>Columbus, Ohio, Merrill [1974]</t>
        </is>
      </c>
      <c r="M641" t="inlineStr">
        <is>
          <t>1974</t>
        </is>
      </c>
      <c r="O641" t="inlineStr">
        <is>
          <t>eng</t>
        </is>
      </c>
      <c r="P641" t="inlineStr">
        <is>
          <t>ohu</t>
        </is>
      </c>
      <c r="Q641" t="inlineStr">
        <is>
          <t>The Charles E. Merrill comprehensive reading program</t>
        </is>
      </c>
      <c r="R641" t="inlineStr">
        <is>
          <t xml:space="preserve">LB </t>
        </is>
      </c>
      <c r="S641" t="n">
        <v>1</v>
      </c>
      <c r="T641" t="n">
        <v>1</v>
      </c>
      <c r="U641" t="inlineStr">
        <is>
          <t>2001-04-18</t>
        </is>
      </c>
      <c r="V641" t="inlineStr">
        <is>
          <t>2001-04-18</t>
        </is>
      </c>
      <c r="W641" t="inlineStr">
        <is>
          <t>1997-05-07</t>
        </is>
      </c>
      <c r="X641" t="inlineStr">
        <is>
          <t>1997-05-07</t>
        </is>
      </c>
      <c r="Y641" t="n">
        <v>406</v>
      </c>
      <c r="Z641" t="n">
        <v>356</v>
      </c>
      <c r="AA641" t="n">
        <v>364</v>
      </c>
      <c r="AB641" t="n">
        <v>3</v>
      </c>
      <c r="AC641" t="n">
        <v>3</v>
      </c>
      <c r="AD641" t="n">
        <v>14</v>
      </c>
      <c r="AE641" t="n">
        <v>14</v>
      </c>
      <c r="AF641" t="n">
        <v>4</v>
      </c>
      <c r="AG641" t="n">
        <v>4</v>
      </c>
      <c r="AH641" t="n">
        <v>3</v>
      </c>
      <c r="AI641" t="n">
        <v>3</v>
      </c>
      <c r="AJ641" t="n">
        <v>7</v>
      </c>
      <c r="AK641" t="n">
        <v>7</v>
      </c>
      <c r="AL641" t="n">
        <v>2</v>
      </c>
      <c r="AM641" t="n">
        <v>2</v>
      </c>
      <c r="AN641" t="n">
        <v>0</v>
      </c>
      <c r="AO641" t="n">
        <v>0</v>
      </c>
      <c r="AP641" t="inlineStr">
        <is>
          <t>No</t>
        </is>
      </c>
      <c r="AQ641" t="inlineStr">
        <is>
          <t>Yes</t>
        </is>
      </c>
      <c r="AR641">
        <f>HYPERLINK("http://catalog.hathitrust.org/Record/000012923","HathiTrust Record")</f>
        <v/>
      </c>
      <c r="AS641">
        <f>HYPERLINK("https://creighton-primo.hosted.exlibrisgroup.com/primo-explore/search?tab=default_tab&amp;search_scope=EVERYTHING&amp;vid=01CRU&amp;lang=en_US&amp;offset=0&amp;query=any,contains,991003316809702656","Catalog Record")</f>
        <v/>
      </c>
      <c r="AT641">
        <f>HYPERLINK("http://www.worldcat.org/oclc/841422","WorldCat Record")</f>
        <v/>
      </c>
      <c r="AU641" t="inlineStr">
        <is>
          <t>431115:eng</t>
        </is>
      </c>
      <c r="AV641" t="inlineStr">
        <is>
          <t>841422</t>
        </is>
      </c>
      <c r="AW641" t="inlineStr">
        <is>
          <t>991003316809702656</t>
        </is>
      </c>
      <c r="AX641" t="inlineStr">
        <is>
          <t>991003316809702656</t>
        </is>
      </c>
      <c r="AY641" t="inlineStr">
        <is>
          <t>2265085680002656</t>
        </is>
      </c>
      <c r="AZ641" t="inlineStr">
        <is>
          <t>BOOK</t>
        </is>
      </c>
      <c r="BB641" t="inlineStr">
        <is>
          <t>9780675088794</t>
        </is>
      </c>
      <c r="BC641" t="inlineStr">
        <is>
          <t>32285002634441</t>
        </is>
      </c>
      <c r="BD641" t="inlineStr">
        <is>
          <t>893348549</t>
        </is>
      </c>
    </row>
    <row r="642">
      <c r="A642" t="inlineStr">
        <is>
          <t>No</t>
        </is>
      </c>
      <c r="B642" t="inlineStr">
        <is>
          <t>LB1139.L3 R384 1978</t>
        </is>
      </c>
      <c r="C642" t="inlineStr">
        <is>
          <t>0                      LB 1139000L  3                  R  384         1978</t>
        </is>
      </c>
      <c r="D642" t="inlineStr">
        <is>
          <t>Readings in language development / Lois Bloom, editor.</t>
        </is>
      </c>
      <c r="F642" t="inlineStr">
        <is>
          <t>No</t>
        </is>
      </c>
      <c r="G642" t="inlineStr">
        <is>
          <t>1</t>
        </is>
      </c>
      <c r="H642" t="inlineStr">
        <is>
          <t>No</t>
        </is>
      </c>
      <c r="I642" t="inlineStr">
        <is>
          <t>No</t>
        </is>
      </c>
      <c r="J642" t="inlineStr">
        <is>
          <t>0</t>
        </is>
      </c>
      <c r="L642" t="inlineStr">
        <is>
          <t>New York : Wiley, c1978.</t>
        </is>
      </c>
      <c r="M642" t="inlineStr">
        <is>
          <t>1978</t>
        </is>
      </c>
      <c r="O642" t="inlineStr">
        <is>
          <t>eng</t>
        </is>
      </c>
      <c r="P642" t="inlineStr">
        <is>
          <t>nyu</t>
        </is>
      </c>
      <c r="Q642" t="inlineStr">
        <is>
          <t>Wiley series on communication disorders</t>
        </is>
      </c>
      <c r="R642" t="inlineStr">
        <is>
          <t xml:space="preserve">LB </t>
        </is>
      </c>
      <c r="S642" t="n">
        <v>3</v>
      </c>
      <c r="T642" t="n">
        <v>3</v>
      </c>
      <c r="U642" t="inlineStr">
        <is>
          <t>2001-04-18</t>
        </is>
      </c>
      <c r="V642" t="inlineStr">
        <is>
          <t>2001-04-18</t>
        </is>
      </c>
      <c r="W642" t="inlineStr">
        <is>
          <t>1993-01-15</t>
        </is>
      </c>
      <c r="X642" t="inlineStr">
        <is>
          <t>1993-01-15</t>
        </is>
      </c>
      <c r="Y642" t="n">
        <v>423</v>
      </c>
      <c r="Z642" t="n">
        <v>288</v>
      </c>
      <c r="AA642" t="n">
        <v>306</v>
      </c>
      <c r="AB642" t="n">
        <v>2</v>
      </c>
      <c r="AC642" t="n">
        <v>2</v>
      </c>
      <c r="AD642" t="n">
        <v>10</v>
      </c>
      <c r="AE642" t="n">
        <v>12</v>
      </c>
      <c r="AF642" t="n">
        <v>4</v>
      </c>
      <c r="AG642" t="n">
        <v>5</v>
      </c>
      <c r="AH642" t="n">
        <v>3</v>
      </c>
      <c r="AI642" t="n">
        <v>4</v>
      </c>
      <c r="AJ642" t="n">
        <v>7</v>
      </c>
      <c r="AK642" t="n">
        <v>7</v>
      </c>
      <c r="AL642" t="n">
        <v>1</v>
      </c>
      <c r="AM642" t="n">
        <v>1</v>
      </c>
      <c r="AN642" t="n">
        <v>0</v>
      </c>
      <c r="AO642" t="n">
        <v>0</v>
      </c>
      <c r="AP642" t="inlineStr">
        <is>
          <t>No</t>
        </is>
      </c>
      <c r="AQ642" t="inlineStr">
        <is>
          <t>Yes</t>
        </is>
      </c>
      <c r="AR642">
        <f>HYPERLINK("http://catalog.hathitrust.org/Record/000294825","HathiTrust Record")</f>
        <v/>
      </c>
      <c r="AS642">
        <f>HYPERLINK("https://creighton-primo.hosted.exlibrisgroup.com/primo-explore/search?tab=default_tab&amp;search_scope=EVERYTHING&amp;vid=01CRU&amp;lang=en_US&amp;offset=0&amp;query=any,contains,991004374929702656","Catalog Record")</f>
        <v/>
      </c>
      <c r="AT642">
        <f>HYPERLINK("http://www.worldcat.org/oclc/3204163","WorldCat Record")</f>
        <v/>
      </c>
      <c r="AU642" t="inlineStr">
        <is>
          <t>3901752324:eng</t>
        </is>
      </c>
      <c r="AV642" t="inlineStr">
        <is>
          <t>3204163</t>
        </is>
      </c>
      <c r="AW642" t="inlineStr">
        <is>
          <t>991004374929702656</t>
        </is>
      </c>
      <c r="AX642" t="inlineStr">
        <is>
          <t>991004374929702656</t>
        </is>
      </c>
      <c r="AY642" t="inlineStr">
        <is>
          <t>2270699250002656</t>
        </is>
      </c>
      <c r="AZ642" t="inlineStr">
        <is>
          <t>BOOK</t>
        </is>
      </c>
      <c r="BB642" t="inlineStr">
        <is>
          <t>9780471082217</t>
        </is>
      </c>
      <c r="BC642" t="inlineStr">
        <is>
          <t>32285001475861</t>
        </is>
      </c>
      <c r="BD642" t="inlineStr">
        <is>
          <t>893319145</t>
        </is>
      </c>
    </row>
    <row r="643">
      <c r="A643" t="inlineStr">
        <is>
          <t>No</t>
        </is>
      </c>
      <c r="B643" t="inlineStr">
        <is>
          <t>LB1139.W7 H54 1994</t>
        </is>
      </c>
      <c r="C643" t="inlineStr">
        <is>
          <t>0                      LB 1139000W  7                  H  54          1994</t>
        </is>
      </c>
      <c r="D643" t="inlineStr">
        <is>
          <t>Practical aspects of authentic assessment : putting the pieces together / Bonnie Campbell Hill, Cynthia A. Ruptic.</t>
        </is>
      </c>
      <c r="F643" t="inlineStr">
        <is>
          <t>No</t>
        </is>
      </c>
      <c r="G643" t="inlineStr">
        <is>
          <t>1</t>
        </is>
      </c>
      <c r="H643" t="inlineStr">
        <is>
          <t>No</t>
        </is>
      </c>
      <c r="I643" t="inlineStr">
        <is>
          <t>No</t>
        </is>
      </c>
      <c r="J643" t="inlineStr">
        <is>
          <t>0</t>
        </is>
      </c>
      <c r="K643" t="inlineStr">
        <is>
          <t>Hill, Bonnie Campbell, 1955-</t>
        </is>
      </c>
      <c r="L643" t="inlineStr">
        <is>
          <t>Norwood, MA : Christopher-Gordon Pub., Inc., 1994.</t>
        </is>
      </c>
      <c r="M643" t="inlineStr">
        <is>
          <t>1994</t>
        </is>
      </c>
      <c r="O643" t="inlineStr">
        <is>
          <t>eng</t>
        </is>
      </c>
      <c r="P643" t="inlineStr">
        <is>
          <t>mau</t>
        </is>
      </c>
      <c r="R643" t="inlineStr">
        <is>
          <t xml:space="preserve">LB </t>
        </is>
      </c>
      <c r="S643" t="n">
        <v>4</v>
      </c>
      <c r="T643" t="n">
        <v>4</v>
      </c>
      <c r="U643" t="inlineStr">
        <is>
          <t>2010-01-20</t>
        </is>
      </c>
      <c r="V643" t="inlineStr">
        <is>
          <t>2010-01-20</t>
        </is>
      </c>
      <c r="W643" t="inlineStr">
        <is>
          <t>1994-08-08</t>
        </is>
      </c>
      <c r="X643" t="inlineStr">
        <is>
          <t>1994-08-08</t>
        </is>
      </c>
      <c r="Y643" t="n">
        <v>428</v>
      </c>
      <c r="Z643" t="n">
        <v>393</v>
      </c>
      <c r="AA643" t="n">
        <v>402</v>
      </c>
      <c r="AB643" t="n">
        <v>5</v>
      </c>
      <c r="AC643" t="n">
        <v>5</v>
      </c>
      <c r="AD643" t="n">
        <v>21</v>
      </c>
      <c r="AE643" t="n">
        <v>21</v>
      </c>
      <c r="AF643" t="n">
        <v>10</v>
      </c>
      <c r="AG643" t="n">
        <v>10</v>
      </c>
      <c r="AH643" t="n">
        <v>3</v>
      </c>
      <c r="AI643" t="n">
        <v>3</v>
      </c>
      <c r="AJ643" t="n">
        <v>10</v>
      </c>
      <c r="AK643" t="n">
        <v>10</v>
      </c>
      <c r="AL643" t="n">
        <v>3</v>
      </c>
      <c r="AM643" t="n">
        <v>3</v>
      </c>
      <c r="AN643" t="n">
        <v>0</v>
      </c>
      <c r="AO643" t="n">
        <v>0</v>
      </c>
      <c r="AP643" t="inlineStr">
        <is>
          <t>No</t>
        </is>
      </c>
      <c r="AQ643" t="inlineStr">
        <is>
          <t>Yes</t>
        </is>
      </c>
      <c r="AR643">
        <f>HYPERLINK("http://catalog.hathitrust.org/Record/004535138","HathiTrust Record")</f>
        <v/>
      </c>
      <c r="AS643">
        <f>HYPERLINK("https://creighton-primo.hosted.exlibrisgroup.com/primo-explore/search?tab=default_tab&amp;search_scope=EVERYTHING&amp;vid=01CRU&amp;lang=en_US&amp;offset=0&amp;query=any,contains,991002298289702656","Catalog Record")</f>
        <v/>
      </c>
      <c r="AT643">
        <f>HYPERLINK("http://www.worldcat.org/oclc/29831167","WorldCat Record")</f>
        <v/>
      </c>
      <c r="AU643" t="inlineStr">
        <is>
          <t>917258059:eng</t>
        </is>
      </c>
      <c r="AV643" t="inlineStr">
        <is>
          <t>29831167</t>
        </is>
      </c>
      <c r="AW643" t="inlineStr">
        <is>
          <t>991002298289702656</t>
        </is>
      </c>
      <c r="AX643" t="inlineStr">
        <is>
          <t>991002298289702656</t>
        </is>
      </c>
      <c r="AY643" t="inlineStr">
        <is>
          <t>2268339200002656</t>
        </is>
      </c>
      <c r="AZ643" t="inlineStr">
        <is>
          <t>BOOK</t>
        </is>
      </c>
      <c r="BB643" t="inlineStr">
        <is>
          <t>9780926842366</t>
        </is>
      </c>
      <c r="BC643" t="inlineStr">
        <is>
          <t>32285001941946</t>
        </is>
      </c>
      <c r="BD643" t="inlineStr">
        <is>
          <t>893691466</t>
        </is>
      </c>
    </row>
    <row r="644">
      <c r="A644" t="inlineStr">
        <is>
          <t>No</t>
        </is>
      </c>
      <c r="B644" t="inlineStr">
        <is>
          <t>LB1140 .T34 1981</t>
        </is>
      </c>
      <c r="C644" t="inlineStr">
        <is>
          <t>0                      LB 1140000T  34          1981</t>
        </is>
      </c>
      <c r="D644" t="inlineStr">
        <is>
          <t>Parents and children learn together / Katharine Whiteside Taylor.</t>
        </is>
      </c>
      <c r="F644" t="inlineStr">
        <is>
          <t>No</t>
        </is>
      </c>
      <c r="G644" t="inlineStr">
        <is>
          <t>1</t>
        </is>
      </c>
      <c r="H644" t="inlineStr">
        <is>
          <t>No</t>
        </is>
      </c>
      <c r="I644" t="inlineStr">
        <is>
          <t>No</t>
        </is>
      </c>
      <c r="J644" t="inlineStr">
        <is>
          <t>0</t>
        </is>
      </c>
      <c r="K644" t="inlineStr">
        <is>
          <t>Taylor, Katharine Whiteside.</t>
        </is>
      </c>
      <c r="L644" t="inlineStr">
        <is>
          <t>New York : Teachers College Press, 1981.</t>
        </is>
      </c>
      <c r="M644" t="inlineStr">
        <is>
          <t>1981</t>
        </is>
      </c>
      <c r="N644" t="inlineStr">
        <is>
          <t>3rd ed.</t>
        </is>
      </c>
      <c r="O644" t="inlineStr">
        <is>
          <t>eng</t>
        </is>
      </c>
      <c r="P644" t="inlineStr">
        <is>
          <t>nyu</t>
        </is>
      </c>
      <c r="R644" t="inlineStr">
        <is>
          <t xml:space="preserve">LB </t>
        </is>
      </c>
      <c r="S644" t="n">
        <v>3</v>
      </c>
      <c r="T644" t="n">
        <v>3</v>
      </c>
      <c r="U644" t="inlineStr">
        <is>
          <t>2001-03-25</t>
        </is>
      </c>
      <c r="V644" t="inlineStr">
        <is>
          <t>2001-03-25</t>
        </is>
      </c>
      <c r="W644" t="inlineStr">
        <is>
          <t>1992-02-24</t>
        </is>
      </c>
      <c r="X644" t="inlineStr">
        <is>
          <t>1992-02-24</t>
        </is>
      </c>
      <c r="Y644" t="n">
        <v>343</v>
      </c>
      <c r="Z644" t="n">
        <v>315</v>
      </c>
      <c r="AA644" t="n">
        <v>534</v>
      </c>
      <c r="AB644" t="n">
        <v>2</v>
      </c>
      <c r="AC644" t="n">
        <v>5</v>
      </c>
      <c r="AD644" t="n">
        <v>6</v>
      </c>
      <c r="AE644" t="n">
        <v>15</v>
      </c>
      <c r="AF644" t="n">
        <v>1</v>
      </c>
      <c r="AG644" t="n">
        <v>5</v>
      </c>
      <c r="AH644" t="n">
        <v>2</v>
      </c>
      <c r="AI644" t="n">
        <v>4</v>
      </c>
      <c r="AJ644" t="n">
        <v>3</v>
      </c>
      <c r="AK644" t="n">
        <v>5</v>
      </c>
      <c r="AL644" t="n">
        <v>1</v>
      </c>
      <c r="AM644" t="n">
        <v>4</v>
      </c>
      <c r="AN644" t="n">
        <v>0</v>
      </c>
      <c r="AO644" t="n">
        <v>0</v>
      </c>
      <c r="AP644" t="inlineStr">
        <is>
          <t>No</t>
        </is>
      </c>
      <c r="AQ644" t="inlineStr">
        <is>
          <t>No</t>
        </is>
      </c>
      <c r="AS644">
        <f>HYPERLINK("https://creighton-primo.hosted.exlibrisgroup.com/primo-explore/search?tab=default_tab&amp;search_scope=EVERYTHING&amp;vid=01CRU&amp;lang=en_US&amp;offset=0&amp;query=any,contains,991005123739702656","Catalog Record")</f>
        <v/>
      </c>
      <c r="AT644">
        <f>HYPERLINK("http://www.worldcat.org/oclc/7551416","WorldCat Record")</f>
        <v/>
      </c>
      <c r="AU644" t="inlineStr">
        <is>
          <t>2287329237:eng</t>
        </is>
      </c>
      <c r="AV644" t="inlineStr">
        <is>
          <t>7551416</t>
        </is>
      </c>
      <c r="AW644" t="inlineStr">
        <is>
          <t>991005123739702656</t>
        </is>
      </c>
      <c r="AX644" t="inlineStr">
        <is>
          <t>991005123739702656</t>
        </is>
      </c>
      <c r="AY644" t="inlineStr">
        <is>
          <t>2266096720002656</t>
        </is>
      </c>
      <c r="AZ644" t="inlineStr">
        <is>
          <t>BOOK</t>
        </is>
      </c>
      <c r="BB644" t="inlineStr">
        <is>
          <t>9780807726389</t>
        </is>
      </c>
      <c r="BC644" t="inlineStr">
        <is>
          <t>32285000974799</t>
        </is>
      </c>
      <c r="BD644" t="inlineStr">
        <is>
          <t>893701055</t>
        </is>
      </c>
    </row>
    <row r="645">
      <c r="A645" t="inlineStr">
        <is>
          <t>No</t>
        </is>
      </c>
      <c r="B645" t="inlineStr">
        <is>
          <t>LB1140.2 .A32 1983</t>
        </is>
      </c>
      <c r="C645" t="inlineStr">
        <is>
          <t>0                      LB 1140200A  32          1983</t>
        </is>
      </c>
      <c r="D645" t="inlineStr">
        <is>
          <t>Play together grow together : a cooperative curriculum for teachers of young children / Don Adcock, Marilyn Segal.</t>
        </is>
      </c>
      <c r="F645" t="inlineStr">
        <is>
          <t>No</t>
        </is>
      </c>
      <c r="G645" t="inlineStr">
        <is>
          <t>1</t>
        </is>
      </c>
      <c r="H645" t="inlineStr">
        <is>
          <t>No</t>
        </is>
      </c>
      <c r="I645" t="inlineStr">
        <is>
          <t>No</t>
        </is>
      </c>
      <c r="J645" t="inlineStr">
        <is>
          <t>0</t>
        </is>
      </c>
      <c r="K645" t="inlineStr">
        <is>
          <t>Adcock, Don.</t>
        </is>
      </c>
      <c r="L645" t="inlineStr">
        <is>
          <t>White Plains, N. Y. : Mailman Family Press ; Mt. Rainier, Md. : distributed by Gryphon House, c1983.</t>
        </is>
      </c>
      <c r="M645" t="inlineStr">
        <is>
          <t>1983</t>
        </is>
      </c>
      <c r="O645" t="inlineStr">
        <is>
          <t>eng</t>
        </is>
      </c>
      <c r="P645" t="inlineStr">
        <is>
          <t>nyu</t>
        </is>
      </c>
      <c r="R645" t="inlineStr">
        <is>
          <t xml:space="preserve">LB </t>
        </is>
      </c>
      <c r="S645" t="n">
        <v>3</v>
      </c>
      <c r="T645" t="n">
        <v>3</v>
      </c>
      <c r="U645" t="inlineStr">
        <is>
          <t>1997-01-23</t>
        </is>
      </c>
      <c r="V645" t="inlineStr">
        <is>
          <t>1997-01-23</t>
        </is>
      </c>
      <c r="W645" t="inlineStr">
        <is>
          <t>1993-07-26</t>
        </is>
      </c>
      <c r="X645" t="inlineStr">
        <is>
          <t>1993-07-26</t>
        </is>
      </c>
      <c r="Y645" t="n">
        <v>161</v>
      </c>
      <c r="Z645" t="n">
        <v>144</v>
      </c>
      <c r="AA645" t="n">
        <v>197</v>
      </c>
      <c r="AB645" t="n">
        <v>1</v>
      </c>
      <c r="AC645" t="n">
        <v>2</v>
      </c>
      <c r="AD645" t="n">
        <v>3</v>
      </c>
      <c r="AE645" t="n">
        <v>5</v>
      </c>
      <c r="AF645" t="n">
        <v>2</v>
      </c>
      <c r="AG645" t="n">
        <v>2</v>
      </c>
      <c r="AH645" t="n">
        <v>0</v>
      </c>
      <c r="AI645" t="n">
        <v>1</v>
      </c>
      <c r="AJ645" t="n">
        <v>2</v>
      </c>
      <c r="AK645" t="n">
        <v>2</v>
      </c>
      <c r="AL645" t="n">
        <v>0</v>
      </c>
      <c r="AM645" t="n">
        <v>1</v>
      </c>
      <c r="AN645" t="n">
        <v>0</v>
      </c>
      <c r="AO645" t="n">
        <v>0</v>
      </c>
      <c r="AP645" t="inlineStr">
        <is>
          <t>No</t>
        </is>
      </c>
      <c r="AQ645" t="inlineStr">
        <is>
          <t>Yes</t>
        </is>
      </c>
      <c r="AR645">
        <f>HYPERLINK("http://catalog.hathitrust.org/Record/009918743","HathiTrust Record")</f>
        <v/>
      </c>
      <c r="AS645">
        <f>HYPERLINK("https://creighton-primo.hosted.exlibrisgroup.com/primo-explore/search?tab=default_tab&amp;search_scope=EVERYTHING&amp;vid=01CRU&amp;lang=en_US&amp;offset=0&amp;query=any,contains,991000405719702656","Catalog Record")</f>
        <v/>
      </c>
      <c r="AT645">
        <f>HYPERLINK("http://www.worldcat.org/oclc/10683225","WorldCat Record")</f>
        <v/>
      </c>
      <c r="AU645" t="inlineStr">
        <is>
          <t>32213586:eng</t>
        </is>
      </c>
      <c r="AV645" t="inlineStr">
        <is>
          <t>10683225</t>
        </is>
      </c>
      <c r="AW645" t="inlineStr">
        <is>
          <t>991000405719702656</t>
        </is>
      </c>
      <c r="AX645" t="inlineStr">
        <is>
          <t>991000405719702656</t>
        </is>
      </c>
      <c r="AY645" t="inlineStr">
        <is>
          <t>2267424920002656</t>
        </is>
      </c>
      <c r="AZ645" t="inlineStr">
        <is>
          <t>BOOK</t>
        </is>
      </c>
      <c r="BB645" t="inlineStr">
        <is>
          <t>9780914799009</t>
        </is>
      </c>
      <c r="BC645" t="inlineStr">
        <is>
          <t>32285001746378</t>
        </is>
      </c>
      <c r="BD645" t="inlineStr">
        <is>
          <t>893438221</t>
        </is>
      </c>
    </row>
    <row r="646">
      <c r="A646" t="inlineStr">
        <is>
          <t>No</t>
        </is>
      </c>
      <c r="B646" t="inlineStr">
        <is>
          <t>LB1140.2 .B523 1984</t>
        </is>
      </c>
      <c r="C646" t="inlineStr">
        <is>
          <t>0                      LB 1140200B  523         1984</t>
        </is>
      </c>
      <c r="D646" t="inlineStr">
        <is>
          <t>Early education and psychological development / Barbara Biber.</t>
        </is>
      </c>
      <c r="F646" t="inlineStr">
        <is>
          <t>No</t>
        </is>
      </c>
      <c r="G646" t="inlineStr">
        <is>
          <t>1</t>
        </is>
      </c>
      <c r="H646" t="inlineStr">
        <is>
          <t>No</t>
        </is>
      </c>
      <c r="I646" t="inlineStr">
        <is>
          <t>No</t>
        </is>
      </c>
      <c r="J646" t="inlineStr">
        <is>
          <t>0</t>
        </is>
      </c>
      <c r="K646" t="inlineStr">
        <is>
          <t>Biber, Barbara, 1903-1993.</t>
        </is>
      </c>
      <c r="L646" t="inlineStr">
        <is>
          <t>New Haven : Yale University Press, c1984.</t>
        </is>
      </c>
      <c r="M646" t="inlineStr">
        <is>
          <t>1984</t>
        </is>
      </c>
      <c r="O646" t="inlineStr">
        <is>
          <t>eng</t>
        </is>
      </c>
      <c r="P646" t="inlineStr">
        <is>
          <t>ctu</t>
        </is>
      </c>
      <c r="R646" t="inlineStr">
        <is>
          <t xml:space="preserve">LB </t>
        </is>
      </c>
      <c r="S646" t="n">
        <v>3</v>
      </c>
      <c r="T646" t="n">
        <v>3</v>
      </c>
      <c r="U646" t="inlineStr">
        <is>
          <t>1997-10-27</t>
        </is>
      </c>
      <c r="V646" t="inlineStr">
        <is>
          <t>1997-10-27</t>
        </is>
      </c>
      <c r="W646" t="inlineStr">
        <is>
          <t>1992-12-15</t>
        </is>
      </c>
      <c r="X646" t="inlineStr">
        <is>
          <t>1992-12-15</t>
        </is>
      </c>
      <c r="Y646" t="n">
        <v>845</v>
      </c>
      <c r="Z646" t="n">
        <v>710</v>
      </c>
      <c r="AA646" t="n">
        <v>711</v>
      </c>
      <c r="AB646" t="n">
        <v>6</v>
      </c>
      <c r="AC646" t="n">
        <v>6</v>
      </c>
      <c r="AD646" t="n">
        <v>33</v>
      </c>
      <c r="AE646" t="n">
        <v>33</v>
      </c>
      <c r="AF646" t="n">
        <v>13</v>
      </c>
      <c r="AG646" t="n">
        <v>13</v>
      </c>
      <c r="AH646" t="n">
        <v>8</v>
      </c>
      <c r="AI646" t="n">
        <v>8</v>
      </c>
      <c r="AJ646" t="n">
        <v>17</v>
      </c>
      <c r="AK646" t="n">
        <v>17</v>
      </c>
      <c r="AL646" t="n">
        <v>5</v>
      </c>
      <c r="AM646" t="n">
        <v>5</v>
      </c>
      <c r="AN646" t="n">
        <v>0</v>
      </c>
      <c r="AO646" t="n">
        <v>0</v>
      </c>
      <c r="AP646" t="inlineStr">
        <is>
          <t>No</t>
        </is>
      </c>
      <c r="AQ646" t="inlineStr">
        <is>
          <t>No</t>
        </is>
      </c>
      <c r="AS646">
        <f>HYPERLINK("https://creighton-primo.hosted.exlibrisgroup.com/primo-explore/search?tab=default_tab&amp;search_scope=EVERYTHING&amp;vid=01CRU&amp;lang=en_US&amp;offset=0&amp;query=any,contains,991000415109702656","Catalog Record")</f>
        <v/>
      </c>
      <c r="AT646">
        <f>HYPERLINK("http://www.worldcat.org/oclc/10724048","WorldCat Record")</f>
        <v/>
      </c>
      <c r="AU646" t="inlineStr">
        <is>
          <t>3366663:eng</t>
        </is>
      </c>
      <c r="AV646" t="inlineStr">
        <is>
          <t>10724048</t>
        </is>
      </c>
      <c r="AW646" t="inlineStr">
        <is>
          <t>991000415109702656</t>
        </is>
      </c>
      <c r="AX646" t="inlineStr">
        <is>
          <t>991000415109702656</t>
        </is>
      </c>
      <c r="AY646" t="inlineStr">
        <is>
          <t>2263237380002656</t>
        </is>
      </c>
      <c r="AZ646" t="inlineStr">
        <is>
          <t>BOOK</t>
        </is>
      </c>
      <c r="BB646" t="inlineStr">
        <is>
          <t>9780300028027</t>
        </is>
      </c>
      <c r="BC646" t="inlineStr">
        <is>
          <t>32285001442150</t>
        </is>
      </c>
      <c r="BD646" t="inlineStr">
        <is>
          <t>893896856</t>
        </is>
      </c>
    </row>
    <row r="647">
      <c r="A647" t="inlineStr">
        <is>
          <t>No</t>
        </is>
      </c>
      <c r="B647" t="inlineStr">
        <is>
          <t>LB1140.2 .G578 1989</t>
        </is>
      </c>
      <c r="C647" t="inlineStr">
        <is>
          <t>0                      LB 1140200G  578         1989</t>
        </is>
      </c>
      <c r="D647" t="inlineStr">
        <is>
          <t>Beginnings &amp; beyond : foundations in early childhood education / Ann Miles Gordon, Kathryn Williams Browne.</t>
        </is>
      </c>
      <c r="F647" t="inlineStr">
        <is>
          <t>No</t>
        </is>
      </c>
      <c r="G647" t="inlineStr">
        <is>
          <t>1</t>
        </is>
      </c>
      <c r="H647" t="inlineStr">
        <is>
          <t>No</t>
        </is>
      </c>
      <c r="I647" t="inlineStr">
        <is>
          <t>No</t>
        </is>
      </c>
      <c r="J647" t="inlineStr">
        <is>
          <t>0</t>
        </is>
      </c>
      <c r="K647" t="inlineStr">
        <is>
          <t>Gordon, Ann Miles.</t>
        </is>
      </c>
      <c r="L647" t="inlineStr">
        <is>
          <t>Albany, N.Y. : Delmar Publishers, c1989.</t>
        </is>
      </c>
      <c r="M647" t="inlineStr">
        <is>
          <t>1989</t>
        </is>
      </c>
      <c r="N647" t="inlineStr">
        <is>
          <t>[2nd ed.].</t>
        </is>
      </c>
      <c r="O647" t="inlineStr">
        <is>
          <t>eng</t>
        </is>
      </c>
      <c r="P647" t="inlineStr">
        <is>
          <t>nyu</t>
        </is>
      </c>
      <c r="R647" t="inlineStr">
        <is>
          <t xml:space="preserve">LB </t>
        </is>
      </c>
      <c r="S647" t="n">
        <v>7</v>
      </c>
      <c r="T647" t="n">
        <v>7</v>
      </c>
      <c r="U647" t="inlineStr">
        <is>
          <t>2001-04-09</t>
        </is>
      </c>
      <c r="V647" t="inlineStr">
        <is>
          <t>2001-04-09</t>
        </is>
      </c>
      <c r="W647" t="inlineStr">
        <is>
          <t>1990-04-06</t>
        </is>
      </c>
      <c r="X647" t="inlineStr">
        <is>
          <t>1990-04-06</t>
        </is>
      </c>
      <c r="Y647" t="n">
        <v>144</v>
      </c>
      <c r="Z647" t="n">
        <v>114</v>
      </c>
      <c r="AA647" t="n">
        <v>581</v>
      </c>
      <c r="AB647" t="n">
        <v>2</v>
      </c>
      <c r="AC647" t="n">
        <v>5</v>
      </c>
      <c r="AD647" t="n">
        <v>3</v>
      </c>
      <c r="AE647" t="n">
        <v>9</v>
      </c>
      <c r="AF647" t="n">
        <v>1</v>
      </c>
      <c r="AG647" t="n">
        <v>3</v>
      </c>
      <c r="AH647" t="n">
        <v>0</v>
      </c>
      <c r="AI647" t="n">
        <v>0</v>
      </c>
      <c r="AJ647" t="n">
        <v>1</v>
      </c>
      <c r="AK647" t="n">
        <v>2</v>
      </c>
      <c r="AL647" t="n">
        <v>1</v>
      </c>
      <c r="AM647" t="n">
        <v>4</v>
      </c>
      <c r="AN647" t="n">
        <v>0</v>
      </c>
      <c r="AO647" t="n">
        <v>0</v>
      </c>
      <c r="AP647" t="inlineStr">
        <is>
          <t>No</t>
        </is>
      </c>
      <c r="AQ647" t="inlineStr">
        <is>
          <t>No</t>
        </is>
      </c>
      <c r="AS647">
        <f>HYPERLINK("https://creighton-primo.hosted.exlibrisgroup.com/primo-explore/search?tab=default_tab&amp;search_scope=EVERYTHING&amp;vid=01CRU&amp;lang=en_US&amp;offset=0&amp;query=any,contains,991001361139702656","Catalog Record")</f>
        <v/>
      </c>
      <c r="AT647">
        <f>HYPERLINK("http://www.worldcat.org/oclc/18521274","WorldCat Record")</f>
        <v/>
      </c>
      <c r="AU647" t="inlineStr">
        <is>
          <t>9410383:eng</t>
        </is>
      </c>
      <c r="AV647" t="inlineStr">
        <is>
          <t>18521274</t>
        </is>
      </c>
      <c r="AW647" t="inlineStr">
        <is>
          <t>991001361139702656</t>
        </is>
      </c>
      <c r="AX647" t="inlineStr">
        <is>
          <t>991001361139702656</t>
        </is>
      </c>
      <c r="AY647" t="inlineStr">
        <is>
          <t>2268278550002656</t>
        </is>
      </c>
      <c r="AZ647" t="inlineStr">
        <is>
          <t>BOOK</t>
        </is>
      </c>
      <c r="BB647" t="inlineStr">
        <is>
          <t>9780827334113</t>
        </is>
      </c>
      <c r="BC647" t="inlineStr">
        <is>
          <t>32285000111814</t>
        </is>
      </c>
      <c r="BD647" t="inlineStr">
        <is>
          <t>893797511</t>
        </is>
      </c>
    </row>
    <row r="648">
      <c r="A648" t="inlineStr">
        <is>
          <t>No</t>
        </is>
      </c>
      <c r="B648" t="inlineStr">
        <is>
          <t>LB1140.2 .L59 1983</t>
        </is>
      </c>
      <c r="C648" t="inlineStr">
        <is>
          <t>0                      LB 1140200L  59          1983</t>
        </is>
      </c>
      <c r="D648" t="inlineStr">
        <is>
          <t>Developing and administering early childhood programs / by Victor S. Lombardo and Edith Foran Lombardo.</t>
        </is>
      </c>
      <c r="F648" t="inlineStr">
        <is>
          <t>No</t>
        </is>
      </c>
      <c r="G648" t="inlineStr">
        <is>
          <t>1</t>
        </is>
      </c>
      <c r="H648" t="inlineStr">
        <is>
          <t>No</t>
        </is>
      </c>
      <c r="I648" t="inlineStr">
        <is>
          <t>No</t>
        </is>
      </c>
      <c r="J648" t="inlineStr">
        <is>
          <t>0</t>
        </is>
      </c>
      <c r="K648" t="inlineStr">
        <is>
          <t>Lombardo, Victor S.</t>
        </is>
      </c>
      <c r="L648" t="inlineStr">
        <is>
          <t>Springfield, Ill. : C.C. Thomas, c1983.</t>
        </is>
      </c>
      <c r="M648" t="inlineStr">
        <is>
          <t>1983</t>
        </is>
      </c>
      <c r="O648" t="inlineStr">
        <is>
          <t>eng</t>
        </is>
      </c>
      <c r="P648" t="inlineStr">
        <is>
          <t>ilu</t>
        </is>
      </c>
      <c r="R648" t="inlineStr">
        <is>
          <t xml:space="preserve">LB </t>
        </is>
      </c>
      <c r="S648" t="n">
        <v>2</v>
      </c>
      <c r="T648" t="n">
        <v>2</v>
      </c>
      <c r="U648" t="inlineStr">
        <is>
          <t>1999-07-16</t>
        </is>
      </c>
      <c r="V648" t="inlineStr">
        <is>
          <t>1999-07-16</t>
        </is>
      </c>
      <c r="W648" t="inlineStr">
        <is>
          <t>1992-08-19</t>
        </is>
      </c>
      <c r="X648" t="inlineStr">
        <is>
          <t>1992-08-19</t>
        </is>
      </c>
      <c r="Y648" t="n">
        <v>231</v>
      </c>
      <c r="Z648" t="n">
        <v>200</v>
      </c>
      <c r="AA648" t="n">
        <v>201</v>
      </c>
      <c r="AB648" t="n">
        <v>3</v>
      </c>
      <c r="AC648" t="n">
        <v>3</v>
      </c>
      <c r="AD648" t="n">
        <v>5</v>
      </c>
      <c r="AE648" t="n">
        <v>5</v>
      </c>
      <c r="AF648" t="n">
        <v>1</v>
      </c>
      <c r="AG648" t="n">
        <v>1</v>
      </c>
      <c r="AH648" t="n">
        <v>1</v>
      </c>
      <c r="AI648" t="n">
        <v>1</v>
      </c>
      <c r="AJ648" t="n">
        <v>2</v>
      </c>
      <c r="AK648" t="n">
        <v>2</v>
      </c>
      <c r="AL648" t="n">
        <v>2</v>
      </c>
      <c r="AM648" t="n">
        <v>2</v>
      </c>
      <c r="AN648" t="n">
        <v>0</v>
      </c>
      <c r="AO648" t="n">
        <v>0</v>
      </c>
      <c r="AP648" t="inlineStr">
        <is>
          <t>No</t>
        </is>
      </c>
      <c r="AQ648" t="inlineStr">
        <is>
          <t>Yes</t>
        </is>
      </c>
      <c r="AR648">
        <f>HYPERLINK("http://catalog.hathitrust.org/Record/000239887","HathiTrust Record")</f>
        <v/>
      </c>
      <c r="AS648">
        <f>HYPERLINK("https://creighton-primo.hosted.exlibrisgroup.com/primo-explore/search?tab=default_tab&amp;search_scope=EVERYTHING&amp;vid=01CRU&amp;lang=en_US&amp;offset=0&amp;query=any,contains,991000076049702656","Catalog Record")</f>
        <v/>
      </c>
      <c r="AT648">
        <f>HYPERLINK("http://www.worldcat.org/oclc/8806045","WorldCat Record")</f>
        <v/>
      </c>
      <c r="AU648" t="inlineStr">
        <is>
          <t>42728223:eng</t>
        </is>
      </c>
      <c r="AV648" t="inlineStr">
        <is>
          <t>8806045</t>
        </is>
      </c>
      <c r="AW648" t="inlineStr">
        <is>
          <t>991000076049702656</t>
        </is>
      </c>
      <c r="AX648" t="inlineStr">
        <is>
          <t>991000076049702656</t>
        </is>
      </c>
      <c r="AY648" t="inlineStr">
        <is>
          <t>2267261820002656</t>
        </is>
      </c>
      <c r="AZ648" t="inlineStr">
        <is>
          <t>BOOK</t>
        </is>
      </c>
      <c r="BB648" t="inlineStr">
        <is>
          <t>9780398047733</t>
        </is>
      </c>
      <c r="BC648" t="inlineStr">
        <is>
          <t>32285001246643</t>
        </is>
      </c>
      <c r="BD648" t="inlineStr">
        <is>
          <t>893689391</t>
        </is>
      </c>
    </row>
    <row r="649">
      <c r="A649" t="inlineStr">
        <is>
          <t>No</t>
        </is>
      </c>
      <c r="B649" t="inlineStr">
        <is>
          <t>LB1140.2 .R69</t>
        </is>
      </c>
      <c r="C649" t="inlineStr">
        <is>
          <t>0                      LB 1140200R  69</t>
        </is>
      </c>
      <c r="D649" t="inlineStr">
        <is>
          <t>The learning match : a developmental guide to teaching young children / Betty Rowen, Joan Byrne, Lois Winter.</t>
        </is>
      </c>
      <c r="F649" t="inlineStr">
        <is>
          <t>No</t>
        </is>
      </c>
      <c r="G649" t="inlineStr">
        <is>
          <t>1</t>
        </is>
      </c>
      <c r="H649" t="inlineStr">
        <is>
          <t>No</t>
        </is>
      </c>
      <c r="I649" t="inlineStr">
        <is>
          <t>No</t>
        </is>
      </c>
      <c r="J649" t="inlineStr">
        <is>
          <t>0</t>
        </is>
      </c>
      <c r="K649" t="inlineStr">
        <is>
          <t>Rowen, Betty.</t>
        </is>
      </c>
      <c r="L649" t="inlineStr">
        <is>
          <t>Englewood Cliffs, N.J. : Prentice-Hall, c1980.</t>
        </is>
      </c>
      <c r="M649" t="inlineStr">
        <is>
          <t>1980</t>
        </is>
      </c>
      <c r="O649" t="inlineStr">
        <is>
          <t>eng</t>
        </is>
      </c>
      <c r="P649" t="inlineStr">
        <is>
          <t>nju</t>
        </is>
      </c>
      <c r="R649" t="inlineStr">
        <is>
          <t xml:space="preserve">LB </t>
        </is>
      </c>
      <c r="S649" t="n">
        <v>2</v>
      </c>
      <c r="T649" t="n">
        <v>2</v>
      </c>
      <c r="U649" t="inlineStr">
        <is>
          <t>1995-12-10</t>
        </is>
      </c>
      <c r="V649" t="inlineStr">
        <is>
          <t>1995-12-10</t>
        </is>
      </c>
      <c r="W649" t="inlineStr">
        <is>
          <t>1993-01-15</t>
        </is>
      </c>
      <c r="X649" t="inlineStr">
        <is>
          <t>1993-01-15</t>
        </is>
      </c>
      <c r="Y649" t="n">
        <v>241</v>
      </c>
      <c r="Z649" t="n">
        <v>181</v>
      </c>
      <c r="AA649" t="n">
        <v>182</v>
      </c>
      <c r="AB649" t="n">
        <v>3</v>
      </c>
      <c r="AC649" t="n">
        <v>3</v>
      </c>
      <c r="AD649" t="n">
        <v>6</v>
      </c>
      <c r="AE649" t="n">
        <v>6</v>
      </c>
      <c r="AF649" t="n">
        <v>1</v>
      </c>
      <c r="AG649" t="n">
        <v>1</v>
      </c>
      <c r="AH649" t="n">
        <v>1</v>
      </c>
      <c r="AI649" t="n">
        <v>1</v>
      </c>
      <c r="AJ649" t="n">
        <v>4</v>
      </c>
      <c r="AK649" t="n">
        <v>4</v>
      </c>
      <c r="AL649" t="n">
        <v>2</v>
      </c>
      <c r="AM649" t="n">
        <v>2</v>
      </c>
      <c r="AN649" t="n">
        <v>0</v>
      </c>
      <c r="AO649" t="n">
        <v>0</v>
      </c>
      <c r="AP649" t="inlineStr">
        <is>
          <t>No</t>
        </is>
      </c>
      <c r="AQ649" t="inlineStr">
        <is>
          <t>Yes</t>
        </is>
      </c>
      <c r="AR649">
        <f>HYPERLINK("http://catalog.hathitrust.org/Record/101975676","HathiTrust Record")</f>
        <v/>
      </c>
      <c r="AS649">
        <f>HYPERLINK("https://creighton-primo.hosted.exlibrisgroup.com/primo-explore/search?tab=default_tab&amp;search_scope=EVERYTHING&amp;vid=01CRU&amp;lang=en_US&amp;offset=0&amp;query=any,contains,991004888269702656","Catalog Record")</f>
        <v/>
      </c>
      <c r="AT649">
        <f>HYPERLINK("http://www.worldcat.org/oclc/5846744","WorldCat Record")</f>
        <v/>
      </c>
      <c r="AU649" t="inlineStr">
        <is>
          <t>196505186:eng</t>
        </is>
      </c>
      <c r="AV649" t="inlineStr">
        <is>
          <t>5846744</t>
        </is>
      </c>
      <c r="AW649" t="inlineStr">
        <is>
          <t>991004888269702656</t>
        </is>
      </c>
      <c r="AX649" t="inlineStr">
        <is>
          <t>991004888269702656</t>
        </is>
      </c>
      <c r="AY649" t="inlineStr">
        <is>
          <t>2255168810002656</t>
        </is>
      </c>
      <c r="AZ649" t="inlineStr">
        <is>
          <t>BOOK</t>
        </is>
      </c>
      <c r="BC649" t="inlineStr">
        <is>
          <t>32285001476158</t>
        </is>
      </c>
      <c r="BD649" t="inlineStr">
        <is>
          <t>893532899</t>
        </is>
      </c>
    </row>
    <row r="650">
      <c r="A650" t="inlineStr">
        <is>
          <t>No</t>
        </is>
      </c>
      <c r="B650" t="inlineStr">
        <is>
          <t>LB1140.23 .B43 1995</t>
        </is>
      </c>
      <c r="C650" t="inlineStr">
        <is>
          <t>0                      LB 1140230B  43          1995</t>
        </is>
      </c>
      <c r="D650" t="inlineStr">
        <is>
          <t>Preschool education in America : the culture of young children from the colonial era to the present / Barbara Beatty.</t>
        </is>
      </c>
      <c r="F650" t="inlineStr">
        <is>
          <t>No</t>
        </is>
      </c>
      <c r="G650" t="inlineStr">
        <is>
          <t>1</t>
        </is>
      </c>
      <c r="H650" t="inlineStr">
        <is>
          <t>No</t>
        </is>
      </c>
      <c r="I650" t="inlineStr">
        <is>
          <t>No</t>
        </is>
      </c>
      <c r="J650" t="inlineStr">
        <is>
          <t>0</t>
        </is>
      </c>
      <c r="K650" t="inlineStr">
        <is>
          <t>Beatty, Barbara, 1946-</t>
        </is>
      </c>
      <c r="L650" t="inlineStr">
        <is>
          <t>New Haven : Yale University Press, c1995.</t>
        </is>
      </c>
      <c r="M650" t="inlineStr">
        <is>
          <t>1995</t>
        </is>
      </c>
      <c r="O650" t="inlineStr">
        <is>
          <t>eng</t>
        </is>
      </c>
      <c r="P650" t="inlineStr">
        <is>
          <t>ctu</t>
        </is>
      </c>
      <c r="R650" t="inlineStr">
        <is>
          <t xml:space="preserve">LB </t>
        </is>
      </c>
      <c r="S650" t="n">
        <v>2</v>
      </c>
      <c r="T650" t="n">
        <v>2</v>
      </c>
      <c r="U650" t="inlineStr">
        <is>
          <t>2009-05-18</t>
        </is>
      </c>
      <c r="V650" t="inlineStr">
        <is>
          <t>2009-05-18</t>
        </is>
      </c>
      <c r="W650" t="inlineStr">
        <is>
          <t>1997-05-06</t>
        </is>
      </c>
      <c r="X650" t="inlineStr">
        <is>
          <t>1997-05-06</t>
        </is>
      </c>
      <c r="Y650" t="n">
        <v>1085</v>
      </c>
      <c r="Z650" t="n">
        <v>1009</v>
      </c>
      <c r="AA650" t="n">
        <v>1272</v>
      </c>
      <c r="AB650" t="n">
        <v>8</v>
      </c>
      <c r="AC650" t="n">
        <v>11</v>
      </c>
      <c r="AD650" t="n">
        <v>39</v>
      </c>
      <c r="AE650" t="n">
        <v>45</v>
      </c>
      <c r="AF650" t="n">
        <v>17</v>
      </c>
      <c r="AG650" t="n">
        <v>19</v>
      </c>
      <c r="AH650" t="n">
        <v>8</v>
      </c>
      <c r="AI650" t="n">
        <v>9</v>
      </c>
      <c r="AJ650" t="n">
        <v>18</v>
      </c>
      <c r="AK650" t="n">
        <v>22</v>
      </c>
      <c r="AL650" t="n">
        <v>6</v>
      </c>
      <c r="AM650" t="n">
        <v>7</v>
      </c>
      <c r="AN650" t="n">
        <v>0</v>
      </c>
      <c r="AO650" t="n">
        <v>0</v>
      </c>
      <c r="AP650" t="inlineStr">
        <is>
          <t>No</t>
        </is>
      </c>
      <c r="AQ650" t="inlineStr">
        <is>
          <t>No</t>
        </is>
      </c>
      <c r="AS650">
        <f>HYPERLINK("https://creighton-primo.hosted.exlibrisgroup.com/primo-explore/search?tab=default_tab&amp;search_scope=EVERYTHING&amp;vid=01CRU&amp;lang=en_US&amp;offset=0&amp;query=any,contains,991002409919702656","Catalog Record")</f>
        <v/>
      </c>
      <c r="AT650">
        <f>HYPERLINK("http://www.worldcat.org/oclc/31374422","WorldCat Record")</f>
        <v/>
      </c>
      <c r="AU650" t="inlineStr">
        <is>
          <t>606175:eng</t>
        </is>
      </c>
      <c r="AV650" t="inlineStr">
        <is>
          <t>31374422</t>
        </is>
      </c>
      <c r="AW650" t="inlineStr">
        <is>
          <t>991002409919702656</t>
        </is>
      </c>
      <c r="AX650" t="inlineStr">
        <is>
          <t>991002409919702656</t>
        </is>
      </c>
      <c r="AY650" t="inlineStr">
        <is>
          <t>2255451850002656</t>
        </is>
      </c>
      <c r="AZ650" t="inlineStr">
        <is>
          <t>BOOK</t>
        </is>
      </c>
      <c r="BB650" t="inlineStr">
        <is>
          <t>9780300060270</t>
        </is>
      </c>
      <c r="BC650" t="inlineStr">
        <is>
          <t>32285002544566</t>
        </is>
      </c>
      <c r="BD650" t="inlineStr">
        <is>
          <t>893329037</t>
        </is>
      </c>
    </row>
    <row r="651">
      <c r="A651" t="inlineStr">
        <is>
          <t>No</t>
        </is>
      </c>
      <c r="B651" t="inlineStr">
        <is>
          <t>LB1140.23 .B47 1988</t>
        </is>
      </c>
      <c r="C651" t="inlineStr">
        <is>
          <t>0                      LB 1140230B  47          1988</t>
        </is>
      </c>
      <c r="D651" t="inlineStr">
        <is>
          <t>Early childhood education : an introduction : bridging the gap / Hulda G. Berk.</t>
        </is>
      </c>
      <c r="F651" t="inlineStr">
        <is>
          <t>No</t>
        </is>
      </c>
      <c r="G651" t="inlineStr">
        <is>
          <t>1</t>
        </is>
      </c>
      <c r="H651" t="inlineStr">
        <is>
          <t>No</t>
        </is>
      </c>
      <c r="I651" t="inlineStr">
        <is>
          <t>No</t>
        </is>
      </c>
      <c r="J651" t="inlineStr">
        <is>
          <t>0</t>
        </is>
      </c>
      <c r="K651" t="inlineStr">
        <is>
          <t>Berk, Hulda G.</t>
        </is>
      </c>
      <c r="L651" t="inlineStr">
        <is>
          <t>Buffalo, N.Y. : Prometheus Books, 1988.</t>
        </is>
      </c>
      <c r="M651" t="inlineStr">
        <is>
          <t>1988</t>
        </is>
      </c>
      <c r="O651" t="inlineStr">
        <is>
          <t>eng</t>
        </is>
      </c>
      <c r="P651" t="inlineStr">
        <is>
          <t>nyu</t>
        </is>
      </c>
      <c r="Q651" t="inlineStr">
        <is>
          <t>Frontiers of education</t>
        </is>
      </c>
      <c r="R651" t="inlineStr">
        <is>
          <t xml:space="preserve">LB </t>
        </is>
      </c>
      <c r="S651" t="n">
        <v>2</v>
      </c>
      <c r="T651" t="n">
        <v>2</v>
      </c>
      <c r="U651" t="inlineStr">
        <is>
          <t>1997-01-23</t>
        </is>
      </c>
      <c r="V651" t="inlineStr">
        <is>
          <t>1997-01-23</t>
        </is>
      </c>
      <c r="W651" t="inlineStr">
        <is>
          <t>1990-02-26</t>
        </is>
      </c>
      <c r="X651" t="inlineStr">
        <is>
          <t>1990-02-26</t>
        </is>
      </c>
      <c r="Y651" t="n">
        <v>178</v>
      </c>
      <c r="Z651" t="n">
        <v>147</v>
      </c>
      <c r="AA651" t="n">
        <v>148</v>
      </c>
      <c r="AB651" t="n">
        <v>1</v>
      </c>
      <c r="AC651" t="n">
        <v>1</v>
      </c>
      <c r="AD651" t="n">
        <v>5</v>
      </c>
      <c r="AE651" t="n">
        <v>5</v>
      </c>
      <c r="AF651" t="n">
        <v>1</v>
      </c>
      <c r="AG651" t="n">
        <v>1</v>
      </c>
      <c r="AH651" t="n">
        <v>0</v>
      </c>
      <c r="AI651" t="n">
        <v>0</v>
      </c>
      <c r="AJ651" t="n">
        <v>4</v>
      </c>
      <c r="AK651" t="n">
        <v>4</v>
      </c>
      <c r="AL651" t="n">
        <v>0</v>
      </c>
      <c r="AM651" t="n">
        <v>0</v>
      </c>
      <c r="AN651" t="n">
        <v>0</v>
      </c>
      <c r="AO651" t="n">
        <v>0</v>
      </c>
      <c r="AP651" t="inlineStr">
        <is>
          <t>No</t>
        </is>
      </c>
      <c r="AQ651" t="inlineStr">
        <is>
          <t>No</t>
        </is>
      </c>
      <c r="AS651">
        <f>HYPERLINK("https://creighton-primo.hosted.exlibrisgroup.com/primo-explore/search?tab=default_tab&amp;search_scope=EVERYTHING&amp;vid=01CRU&amp;lang=en_US&amp;offset=0&amp;query=any,contains,991001193919702656","Catalog Record")</f>
        <v/>
      </c>
      <c r="AT651">
        <f>HYPERLINK("http://www.worldcat.org/oclc/17263920","WorldCat Record")</f>
        <v/>
      </c>
      <c r="AU651" t="inlineStr">
        <is>
          <t>475736338:eng</t>
        </is>
      </c>
      <c r="AV651" t="inlineStr">
        <is>
          <t>17263920</t>
        </is>
      </c>
      <c r="AW651" t="inlineStr">
        <is>
          <t>991001193919702656</t>
        </is>
      </c>
      <c r="AX651" t="inlineStr">
        <is>
          <t>991001193919702656</t>
        </is>
      </c>
      <c r="AY651" t="inlineStr">
        <is>
          <t>2266770580002656</t>
        </is>
      </c>
      <c r="AZ651" t="inlineStr">
        <is>
          <t>BOOK</t>
        </is>
      </c>
      <c r="BB651" t="inlineStr">
        <is>
          <t>9780879754174</t>
        </is>
      </c>
      <c r="BC651" t="inlineStr">
        <is>
          <t>32285000059567</t>
        </is>
      </c>
      <c r="BD651" t="inlineStr">
        <is>
          <t>893878708</t>
        </is>
      </c>
    </row>
    <row r="652">
      <c r="A652" t="inlineStr">
        <is>
          <t>No</t>
        </is>
      </c>
      <c r="B652" t="inlineStr">
        <is>
          <t>LB1140.23 .D43 1988</t>
        </is>
      </c>
      <c r="C652" t="inlineStr">
        <is>
          <t>0                      LB 1140230D  43          1988</t>
        </is>
      </c>
      <c r="D652" t="inlineStr">
        <is>
          <t>Planning and administering early childhood programs / Celia Anita Decker, John R. Decker.</t>
        </is>
      </c>
      <c r="F652" t="inlineStr">
        <is>
          <t>No</t>
        </is>
      </c>
      <c r="G652" t="inlineStr">
        <is>
          <t>1</t>
        </is>
      </c>
      <c r="H652" t="inlineStr">
        <is>
          <t>No</t>
        </is>
      </c>
      <c r="I652" t="inlineStr">
        <is>
          <t>No</t>
        </is>
      </c>
      <c r="J652" t="inlineStr">
        <is>
          <t>0</t>
        </is>
      </c>
      <c r="K652" t="inlineStr">
        <is>
          <t>Decker, Celia Anita.</t>
        </is>
      </c>
      <c r="L652" t="inlineStr">
        <is>
          <t>Columbus : Merrill Pub. Co., c1988.</t>
        </is>
      </c>
      <c r="M652" t="inlineStr">
        <is>
          <t>1988</t>
        </is>
      </c>
      <c r="N652" t="inlineStr">
        <is>
          <t>4th ed.</t>
        </is>
      </c>
      <c r="O652" t="inlineStr">
        <is>
          <t>eng</t>
        </is>
      </c>
      <c r="P652" t="inlineStr">
        <is>
          <t>ohu</t>
        </is>
      </c>
      <c r="R652" t="inlineStr">
        <is>
          <t xml:space="preserve">LB </t>
        </is>
      </c>
      <c r="S652" t="n">
        <v>4</v>
      </c>
      <c r="T652" t="n">
        <v>4</v>
      </c>
      <c r="U652" t="inlineStr">
        <is>
          <t>2002-09-30</t>
        </is>
      </c>
      <c r="V652" t="inlineStr">
        <is>
          <t>2002-09-30</t>
        </is>
      </c>
      <c r="W652" t="inlineStr">
        <is>
          <t>1990-01-30</t>
        </is>
      </c>
      <c r="X652" t="inlineStr">
        <is>
          <t>1990-01-30</t>
        </is>
      </c>
      <c r="Y652" t="n">
        <v>217</v>
      </c>
      <c r="Z652" t="n">
        <v>171</v>
      </c>
      <c r="AA652" t="n">
        <v>759</v>
      </c>
      <c r="AB652" t="n">
        <v>2</v>
      </c>
      <c r="AC652" t="n">
        <v>8</v>
      </c>
      <c r="AD652" t="n">
        <v>6</v>
      </c>
      <c r="AE652" t="n">
        <v>29</v>
      </c>
      <c r="AF652" t="n">
        <v>3</v>
      </c>
      <c r="AG652" t="n">
        <v>13</v>
      </c>
      <c r="AH652" t="n">
        <v>2</v>
      </c>
      <c r="AI652" t="n">
        <v>5</v>
      </c>
      <c r="AJ652" t="n">
        <v>1</v>
      </c>
      <c r="AK652" t="n">
        <v>11</v>
      </c>
      <c r="AL652" t="n">
        <v>1</v>
      </c>
      <c r="AM652" t="n">
        <v>7</v>
      </c>
      <c r="AN652" t="n">
        <v>0</v>
      </c>
      <c r="AO652" t="n">
        <v>0</v>
      </c>
      <c r="AP652" t="inlineStr">
        <is>
          <t>No</t>
        </is>
      </c>
      <c r="AQ652" t="inlineStr">
        <is>
          <t>Yes</t>
        </is>
      </c>
      <c r="AR652">
        <f>HYPERLINK("http://catalog.hathitrust.org/Record/101914332","HathiTrust Record")</f>
        <v/>
      </c>
      <c r="AS652">
        <f>HYPERLINK("https://creighton-primo.hosted.exlibrisgroup.com/primo-explore/search?tab=default_tab&amp;search_scope=EVERYTHING&amp;vid=01CRU&amp;lang=en_US&amp;offset=0&amp;query=any,contains,991001224519702656","Catalog Record")</f>
        <v/>
      </c>
      <c r="AT652">
        <f>HYPERLINK("http://www.worldcat.org/oclc/17505350","WorldCat Record")</f>
        <v/>
      </c>
      <c r="AU652" t="inlineStr">
        <is>
          <t>657490:eng</t>
        </is>
      </c>
      <c r="AV652" t="inlineStr">
        <is>
          <t>17505350</t>
        </is>
      </c>
      <c r="AW652" t="inlineStr">
        <is>
          <t>991001224519702656</t>
        </is>
      </c>
      <c r="AX652" t="inlineStr">
        <is>
          <t>991001224519702656</t>
        </is>
      </c>
      <c r="AY652" t="inlineStr">
        <is>
          <t>2271804850002656</t>
        </is>
      </c>
      <c r="AZ652" t="inlineStr">
        <is>
          <t>BOOK</t>
        </is>
      </c>
      <c r="BB652" t="inlineStr">
        <is>
          <t>9780675208000</t>
        </is>
      </c>
      <c r="BC652" t="inlineStr">
        <is>
          <t>32285000035989</t>
        </is>
      </c>
      <c r="BD652" t="inlineStr">
        <is>
          <t>893407957</t>
        </is>
      </c>
    </row>
    <row r="653">
      <c r="A653" t="inlineStr">
        <is>
          <t>No</t>
        </is>
      </c>
      <c r="B653" t="inlineStr">
        <is>
          <t>LB1140.23 .E18 1988</t>
        </is>
      </c>
      <c r="C653" t="inlineStr">
        <is>
          <t>0                      LB 1140230E  18          1988</t>
        </is>
      </c>
      <c r="D653" t="inlineStr">
        <is>
          <t>Early childhood education in the schools / Jerold P. Bauch, editor.</t>
        </is>
      </c>
      <c r="F653" t="inlineStr">
        <is>
          <t>No</t>
        </is>
      </c>
      <c r="G653" t="inlineStr">
        <is>
          <t>1</t>
        </is>
      </c>
      <c r="H653" t="inlineStr">
        <is>
          <t>No</t>
        </is>
      </c>
      <c r="I653" t="inlineStr">
        <is>
          <t>No</t>
        </is>
      </c>
      <c r="J653" t="inlineStr">
        <is>
          <t>0</t>
        </is>
      </c>
      <c r="L653" t="inlineStr">
        <is>
          <t>Washington, D.C. : National Education Association, c1988.</t>
        </is>
      </c>
      <c r="M653" t="inlineStr">
        <is>
          <t>1988</t>
        </is>
      </c>
      <c r="O653" t="inlineStr">
        <is>
          <t>eng</t>
        </is>
      </c>
      <c r="P653" t="inlineStr">
        <is>
          <t>dcu</t>
        </is>
      </c>
      <c r="Q653" t="inlineStr">
        <is>
          <t>NEA aspects of learning</t>
        </is>
      </c>
      <c r="R653" t="inlineStr">
        <is>
          <t xml:space="preserve">LB </t>
        </is>
      </c>
      <c r="S653" t="n">
        <v>5</v>
      </c>
      <c r="T653" t="n">
        <v>5</v>
      </c>
      <c r="U653" t="inlineStr">
        <is>
          <t>1997-04-30</t>
        </is>
      </c>
      <c r="V653" t="inlineStr">
        <is>
          <t>1997-04-30</t>
        </is>
      </c>
      <c r="W653" t="inlineStr">
        <is>
          <t>1990-04-06</t>
        </is>
      </c>
      <c r="X653" t="inlineStr">
        <is>
          <t>1990-04-06</t>
        </is>
      </c>
      <c r="Y653" t="n">
        <v>503</v>
      </c>
      <c r="Z653" t="n">
        <v>477</v>
      </c>
      <c r="AA653" t="n">
        <v>481</v>
      </c>
      <c r="AB653" t="n">
        <v>5</v>
      </c>
      <c r="AC653" t="n">
        <v>5</v>
      </c>
      <c r="AD653" t="n">
        <v>21</v>
      </c>
      <c r="AE653" t="n">
        <v>21</v>
      </c>
      <c r="AF653" t="n">
        <v>10</v>
      </c>
      <c r="AG653" t="n">
        <v>10</v>
      </c>
      <c r="AH653" t="n">
        <v>3</v>
      </c>
      <c r="AI653" t="n">
        <v>3</v>
      </c>
      <c r="AJ653" t="n">
        <v>10</v>
      </c>
      <c r="AK653" t="n">
        <v>10</v>
      </c>
      <c r="AL653" t="n">
        <v>4</v>
      </c>
      <c r="AM653" t="n">
        <v>4</v>
      </c>
      <c r="AN653" t="n">
        <v>0</v>
      </c>
      <c r="AO653" t="n">
        <v>0</v>
      </c>
      <c r="AP653" t="inlineStr">
        <is>
          <t>No</t>
        </is>
      </c>
      <c r="AQ653" t="inlineStr">
        <is>
          <t>Yes</t>
        </is>
      </c>
      <c r="AR653">
        <f>HYPERLINK("http://catalog.hathitrust.org/Record/000950834","HathiTrust Record")</f>
        <v/>
      </c>
      <c r="AS653">
        <f>HYPERLINK("https://creighton-primo.hosted.exlibrisgroup.com/primo-explore/search?tab=default_tab&amp;search_scope=EVERYTHING&amp;vid=01CRU&amp;lang=en_US&amp;offset=0&amp;query=any,contains,991001308649702656","Catalog Record")</f>
        <v/>
      </c>
      <c r="AT653">
        <f>HYPERLINK("http://www.worldcat.org/oclc/18134976","WorldCat Record")</f>
        <v/>
      </c>
      <c r="AU653" t="inlineStr">
        <is>
          <t>445216334:eng</t>
        </is>
      </c>
      <c r="AV653" t="inlineStr">
        <is>
          <t>18134976</t>
        </is>
      </c>
      <c r="AW653" t="inlineStr">
        <is>
          <t>991001308649702656</t>
        </is>
      </c>
      <c r="AX653" t="inlineStr">
        <is>
          <t>991001308649702656</t>
        </is>
      </c>
      <c r="AY653" t="inlineStr">
        <is>
          <t>2259887270002656</t>
        </is>
      </c>
      <c r="AZ653" t="inlineStr">
        <is>
          <t>BOOK</t>
        </is>
      </c>
      <c r="BB653" t="inlineStr">
        <is>
          <t>9780810614642</t>
        </is>
      </c>
      <c r="BC653" t="inlineStr">
        <is>
          <t>32285000111822</t>
        </is>
      </c>
      <c r="BD653" t="inlineStr">
        <is>
          <t>893315694</t>
        </is>
      </c>
    </row>
    <row r="654">
      <c r="A654" t="inlineStr">
        <is>
          <t>No</t>
        </is>
      </c>
      <c r="B654" t="inlineStr">
        <is>
          <t>LB1140.23 .E19 1987</t>
        </is>
      </c>
      <c r="C654" t="inlineStr">
        <is>
          <t>0                      LB 1140230E  19          1987</t>
        </is>
      </c>
      <c r="D654" t="inlineStr">
        <is>
          <t>Early schooling : the national debate / edited by Sharon L. Kagan and Edward F. Zigler.</t>
        </is>
      </c>
      <c r="F654" t="inlineStr">
        <is>
          <t>No</t>
        </is>
      </c>
      <c r="G654" t="inlineStr">
        <is>
          <t>1</t>
        </is>
      </c>
      <c r="H654" t="inlineStr">
        <is>
          <t>No</t>
        </is>
      </c>
      <c r="I654" t="inlineStr">
        <is>
          <t>No</t>
        </is>
      </c>
      <c r="J654" t="inlineStr">
        <is>
          <t>0</t>
        </is>
      </c>
      <c r="L654" t="inlineStr">
        <is>
          <t>New Haven : Yale University Press, c1987.</t>
        </is>
      </c>
      <c r="M654" t="inlineStr">
        <is>
          <t>1987</t>
        </is>
      </c>
      <c r="O654" t="inlineStr">
        <is>
          <t>eng</t>
        </is>
      </c>
      <c r="P654" t="inlineStr">
        <is>
          <t>ctu</t>
        </is>
      </c>
      <c r="R654" t="inlineStr">
        <is>
          <t xml:space="preserve">LB </t>
        </is>
      </c>
      <c r="S654" t="n">
        <v>3</v>
      </c>
      <c r="T654" t="n">
        <v>3</v>
      </c>
      <c r="U654" t="inlineStr">
        <is>
          <t>1993-10-23</t>
        </is>
      </c>
      <c r="V654" t="inlineStr">
        <is>
          <t>1993-10-23</t>
        </is>
      </c>
      <c r="W654" t="inlineStr">
        <is>
          <t>1990-02-26</t>
        </is>
      </c>
      <c r="X654" t="inlineStr">
        <is>
          <t>1990-02-26</t>
        </is>
      </c>
      <c r="Y654" t="n">
        <v>806</v>
      </c>
      <c r="Z654" t="n">
        <v>721</v>
      </c>
      <c r="AA654" t="n">
        <v>725</v>
      </c>
      <c r="AB654" t="n">
        <v>3</v>
      </c>
      <c r="AC654" t="n">
        <v>3</v>
      </c>
      <c r="AD654" t="n">
        <v>28</v>
      </c>
      <c r="AE654" t="n">
        <v>28</v>
      </c>
      <c r="AF654" t="n">
        <v>13</v>
      </c>
      <c r="AG654" t="n">
        <v>13</v>
      </c>
      <c r="AH654" t="n">
        <v>7</v>
      </c>
      <c r="AI654" t="n">
        <v>7</v>
      </c>
      <c r="AJ654" t="n">
        <v>15</v>
      </c>
      <c r="AK654" t="n">
        <v>15</v>
      </c>
      <c r="AL654" t="n">
        <v>2</v>
      </c>
      <c r="AM654" t="n">
        <v>2</v>
      </c>
      <c r="AN654" t="n">
        <v>1</v>
      </c>
      <c r="AO654" t="n">
        <v>1</v>
      </c>
      <c r="AP654" t="inlineStr">
        <is>
          <t>No</t>
        </is>
      </c>
      <c r="AQ654" t="inlineStr">
        <is>
          <t>No</t>
        </is>
      </c>
      <c r="AS654">
        <f>HYPERLINK("https://creighton-primo.hosted.exlibrisgroup.com/primo-explore/search?tab=default_tab&amp;search_scope=EVERYTHING&amp;vid=01CRU&amp;lang=en_US&amp;offset=0&amp;query=any,contains,991001123909702656","Catalog Record")</f>
        <v/>
      </c>
      <c r="AT654">
        <f>HYPERLINK("http://www.worldcat.org/oclc/16646418","WorldCat Record")</f>
        <v/>
      </c>
      <c r="AU654" t="inlineStr">
        <is>
          <t>836715374:eng</t>
        </is>
      </c>
      <c r="AV654" t="inlineStr">
        <is>
          <t>16646418</t>
        </is>
      </c>
      <c r="AW654" t="inlineStr">
        <is>
          <t>991001123909702656</t>
        </is>
      </c>
      <c r="AX654" t="inlineStr">
        <is>
          <t>991001123909702656</t>
        </is>
      </c>
      <c r="AY654" t="inlineStr">
        <is>
          <t>2262932670002656</t>
        </is>
      </c>
      <c r="AZ654" t="inlineStr">
        <is>
          <t>BOOK</t>
        </is>
      </c>
      <c r="BB654" t="inlineStr">
        <is>
          <t>9780300041248</t>
        </is>
      </c>
      <c r="BC654" t="inlineStr">
        <is>
          <t>32285000059526</t>
        </is>
      </c>
      <c r="BD654" t="inlineStr">
        <is>
          <t>893261738</t>
        </is>
      </c>
    </row>
    <row r="655">
      <c r="A655" t="inlineStr">
        <is>
          <t>No</t>
        </is>
      </c>
      <c r="B655" t="inlineStr">
        <is>
          <t>LB1140.23 .H46 1992</t>
        </is>
      </c>
      <c r="C655" t="inlineStr">
        <is>
          <t>0                      LB 1140230H  46          1992</t>
        </is>
      </c>
      <c r="D655" t="inlineStr">
        <is>
          <t>The whole child : developmental education for the early years / Joanne Hendrick.</t>
        </is>
      </c>
      <c r="F655" t="inlineStr">
        <is>
          <t>No</t>
        </is>
      </c>
      <c r="G655" t="inlineStr">
        <is>
          <t>1</t>
        </is>
      </c>
      <c r="H655" t="inlineStr">
        <is>
          <t>No</t>
        </is>
      </c>
      <c r="I655" t="inlineStr">
        <is>
          <t>No</t>
        </is>
      </c>
      <c r="J655" t="inlineStr">
        <is>
          <t>0</t>
        </is>
      </c>
      <c r="K655" t="inlineStr">
        <is>
          <t>Hendrick, Joanne, 1928-</t>
        </is>
      </c>
      <c r="L655" t="inlineStr">
        <is>
          <t>New York : Merrill ; Toronto : Maxwell Macmillan Canada ; New York : Maxwell Macmillan International, c1992.</t>
        </is>
      </c>
      <c r="M655" t="inlineStr">
        <is>
          <t>1992</t>
        </is>
      </c>
      <c r="N655" t="inlineStr">
        <is>
          <t>5th ed.</t>
        </is>
      </c>
      <c r="O655" t="inlineStr">
        <is>
          <t>eng</t>
        </is>
      </c>
      <c r="P655" t="inlineStr">
        <is>
          <t>nyu</t>
        </is>
      </c>
      <c r="R655" t="inlineStr">
        <is>
          <t xml:space="preserve">LB </t>
        </is>
      </c>
      <c r="S655" t="n">
        <v>9</v>
      </c>
      <c r="T655" t="n">
        <v>9</v>
      </c>
      <c r="U655" t="inlineStr">
        <is>
          <t>1995-11-21</t>
        </is>
      </c>
      <c r="V655" t="inlineStr">
        <is>
          <t>1995-11-21</t>
        </is>
      </c>
      <c r="W655" t="inlineStr">
        <is>
          <t>1992-04-22</t>
        </is>
      </c>
      <c r="X655" t="inlineStr">
        <is>
          <t>1992-04-22</t>
        </is>
      </c>
      <c r="Y655" t="n">
        <v>176</v>
      </c>
      <c r="Z655" t="n">
        <v>136</v>
      </c>
      <c r="AA655" t="n">
        <v>592</v>
      </c>
      <c r="AB655" t="n">
        <v>1</v>
      </c>
      <c r="AC655" t="n">
        <v>11</v>
      </c>
      <c r="AD655" t="n">
        <v>6</v>
      </c>
      <c r="AE655" t="n">
        <v>21</v>
      </c>
      <c r="AF655" t="n">
        <v>1</v>
      </c>
      <c r="AG655" t="n">
        <v>5</v>
      </c>
      <c r="AH655" t="n">
        <v>2</v>
      </c>
      <c r="AI655" t="n">
        <v>2</v>
      </c>
      <c r="AJ655" t="n">
        <v>5</v>
      </c>
      <c r="AK655" t="n">
        <v>9</v>
      </c>
      <c r="AL655" t="n">
        <v>0</v>
      </c>
      <c r="AM655" t="n">
        <v>8</v>
      </c>
      <c r="AN655" t="n">
        <v>0</v>
      </c>
      <c r="AO655" t="n">
        <v>0</v>
      </c>
      <c r="AP655" t="inlineStr">
        <is>
          <t>No</t>
        </is>
      </c>
      <c r="AQ655" t="inlineStr">
        <is>
          <t>Yes</t>
        </is>
      </c>
      <c r="AR655">
        <f>HYPERLINK("http://catalog.hathitrust.org/Record/007559527","HathiTrust Record")</f>
        <v/>
      </c>
      <c r="AS655">
        <f>HYPERLINK("https://creighton-primo.hosted.exlibrisgroup.com/primo-explore/search?tab=default_tab&amp;search_scope=EVERYTHING&amp;vid=01CRU&amp;lang=en_US&amp;offset=0&amp;query=any,contains,991001893039702656","Catalog Record")</f>
        <v/>
      </c>
      <c r="AT655">
        <f>HYPERLINK("http://www.worldcat.org/oclc/23901862","WorldCat Record")</f>
        <v/>
      </c>
      <c r="AU655" t="inlineStr">
        <is>
          <t>890433:eng</t>
        </is>
      </c>
      <c r="AV655" t="inlineStr">
        <is>
          <t>23901862</t>
        </is>
      </c>
      <c r="AW655" t="inlineStr">
        <is>
          <t>991001893039702656</t>
        </is>
      </c>
      <c r="AX655" t="inlineStr">
        <is>
          <t>991001893039702656</t>
        </is>
      </c>
      <c r="AY655" t="inlineStr">
        <is>
          <t>2262286180002656</t>
        </is>
      </c>
      <c r="AZ655" t="inlineStr">
        <is>
          <t>BOOK</t>
        </is>
      </c>
      <c r="BB655" t="inlineStr">
        <is>
          <t>9780023531507</t>
        </is>
      </c>
      <c r="BC655" t="inlineStr">
        <is>
          <t>32285001036390</t>
        </is>
      </c>
      <c r="BD655" t="inlineStr">
        <is>
          <t>893615448</t>
        </is>
      </c>
    </row>
    <row r="656">
      <c r="A656" t="inlineStr">
        <is>
          <t>No</t>
        </is>
      </c>
      <c r="B656" t="inlineStr">
        <is>
          <t>LB1140.25.G7 O73 1987</t>
        </is>
      </c>
      <c r="C656" t="inlineStr">
        <is>
          <t>0                      LB 1140250G  7                  O  73          1987</t>
        </is>
      </c>
      <c r="D656" t="inlineStr">
        <is>
          <t>The effects of early education : a report from the Child Health and Education Study / A.F. Osborn and J.E. Milbank.</t>
        </is>
      </c>
      <c r="F656" t="inlineStr">
        <is>
          <t>No</t>
        </is>
      </c>
      <c r="G656" t="inlineStr">
        <is>
          <t>1</t>
        </is>
      </c>
      <c r="H656" t="inlineStr">
        <is>
          <t>No</t>
        </is>
      </c>
      <c r="I656" t="inlineStr">
        <is>
          <t>No</t>
        </is>
      </c>
      <c r="J656" t="inlineStr">
        <is>
          <t>0</t>
        </is>
      </c>
      <c r="K656" t="inlineStr">
        <is>
          <t>Osborn, A. F. (Albert Francis), 1939-</t>
        </is>
      </c>
      <c r="L656" t="inlineStr">
        <is>
          <t>Oxford [Oxfordshire] ; New York : Clarendon Press, 1987.</t>
        </is>
      </c>
      <c r="M656" t="inlineStr">
        <is>
          <t>1987</t>
        </is>
      </c>
      <c r="O656" t="inlineStr">
        <is>
          <t>eng</t>
        </is>
      </c>
      <c r="P656" t="inlineStr">
        <is>
          <t>enk</t>
        </is>
      </c>
      <c r="R656" t="inlineStr">
        <is>
          <t xml:space="preserve">LB </t>
        </is>
      </c>
      <c r="S656" t="n">
        <v>5</v>
      </c>
      <c r="T656" t="n">
        <v>5</v>
      </c>
      <c r="U656" t="inlineStr">
        <is>
          <t>1997-10-27</t>
        </is>
      </c>
      <c r="V656" t="inlineStr">
        <is>
          <t>1997-10-27</t>
        </is>
      </c>
      <c r="W656" t="inlineStr">
        <is>
          <t>1990-02-26</t>
        </is>
      </c>
      <c r="X656" t="inlineStr">
        <is>
          <t>1990-02-26</t>
        </is>
      </c>
      <c r="Y656" t="n">
        <v>316</v>
      </c>
      <c r="Z656" t="n">
        <v>212</v>
      </c>
      <c r="AA656" t="n">
        <v>227</v>
      </c>
      <c r="AB656" t="n">
        <v>2</v>
      </c>
      <c r="AC656" t="n">
        <v>2</v>
      </c>
      <c r="AD656" t="n">
        <v>9</v>
      </c>
      <c r="AE656" t="n">
        <v>9</v>
      </c>
      <c r="AF656" t="n">
        <v>2</v>
      </c>
      <c r="AG656" t="n">
        <v>2</v>
      </c>
      <c r="AH656" t="n">
        <v>3</v>
      </c>
      <c r="AI656" t="n">
        <v>3</v>
      </c>
      <c r="AJ656" t="n">
        <v>6</v>
      </c>
      <c r="AK656" t="n">
        <v>6</v>
      </c>
      <c r="AL656" t="n">
        <v>1</v>
      </c>
      <c r="AM656" t="n">
        <v>1</v>
      </c>
      <c r="AN656" t="n">
        <v>0</v>
      </c>
      <c r="AO656" t="n">
        <v>0</v>
      </c>
      <c r="AP656" t="inlineStr">
        <is>
          <t>No</t>
        </is>
      </c>
      <c r="AQ656" t="inlineStr">
        <is>
          <t>Yes</t>
        </is>
      </c>
      <c r="AR656">
        <f>HYPERLINK("http://catalog.hathitrust.org/Record/000824383","HathiTrust Record")</f>
        <v/>
      </c>
      <c r="AS656">
        <f>HYPERLINK("https://creighton-primo.hosted.exlibrisgroup.com/primo-explore/search?tab=default_tab&amp;search_scope=EVERYTHING&amp;vid=01CRU&amp;lang=en_US&amp;offset=0&amp;query=any,contains,991000968389702656","Catalog Record")</f>
        <v/>
      </c>
      <c r="AT656">
        <f>HYPERLINK("http://www.worldcat.org/oclc/14932237","WorldCat Record")</f>
        <v/>
      </c>
      <c r="AU656" t="inlineStr">
        <is>
          <t>20273116:eng</t>
        </is>
      </c>
      <c r="AV656" t="inlineStr">
        <is>
          <t>14932237</t>
        </is>
      </c>
      <c r="AW656" t="inlineStr">
        <is>
          <t>991000968389702656</t>
        </is>
      </c>
      <c r="AX656" t="inlineStr">
        <is>
          <t>991000968389702656</t>
        </is>
      </c>
      <c r="AY656" t="inlineStr">
        <is>
          <t>2263603280002656</t>
        </is>
      </c>
      <c r="AZ656" t="inlineStr">
        <is>
          <t>BOOK</t>
        </is>
      </c>
      <c r="BB656" t="inlineStr">
        <is>
          <t>9780198278009</t>
        </is>
      </c>
      <c r="BC656" t="inlineStr">
        <is>
          <t>32285000059534</t>
        </is>
      </c>
      <c r="BD656" t="inlineStr">
        <is>
          <t>893346134</t>
        </is>
      </c>
    </row>
    <row r="657">
      <c r="A657" t="inlineStr">
        <is>
          <t>No</t>
        </is>
      </c>
      <c r="B657" t="inlineStr">
        <is>
          <t>LB1140.26 .H54 1984</t>
        </is>
      </c>
      <c r="C657" t="inlineStr">
        <is>
          <t>0                      LB 1140260H  54          1984</t>
        </is>
      </c>
      <c r="D657" t="inlineStr">
        <is>
          <t>Management of child development centers / Verna Hildebrand.</t>
        </is>
      </c>
      <c r="F657" t="inlineStr">
        <is>
          <t>No</t>
        </is>
      </c>
      <c r="G657" t="inlineStr">
        <is>
          <t>1</t>
        </is>
      </c>
      <c r="H657" t="inlineStr">
        <is>
          <t>No</t>
        </is>
      </c>
      <c r="I657" t="inlineStr">
        <is>
          <t>No</t>
        </is>
      </c>
      <c r="J657" t="inlineStr">
        <is>
          <t>0</t>
        </is>
      </c>
      <c r="K657" t="inlineStr">
        <is>
          <t>Hildebrand, Verna.</t>
        </is>
      </c>
      <c r="L657" t="inlineStr">
        <is>
          <t>New York : Macmillan ; London : Collier Macmillan, c1984.</t>
        </is>
      </c>
      <c r="M657" t="inlineStr">
        <is>
          <t>1984</t>
        </is>
      </c>
      <c r="O657" t="inlineStr">
        <is>
          <t>eng</t>
        </is>
      </c>
      <c r="P657" t="inlineStr">
        <is>
          <t>nyu</t>
        </is>
      </c>
      <c r="R657" t="inlineStr">
        <is>
          <t xml:space="preserve">LB </t>
        </is>
      </c>
      <c r="S657" t="n">
        <v>1</v>
      </c>
      <c r="T657" t="n">
        <v>1</v>
      </c>
      <c r="U657" t="inlineStr">
        <is>
          <t>2002-09-30</t>
        </is>
      </c>
      <c r="V657" t="inlineStr">
        <is>
          <t>2002-09-30</t>
        </is>
      </c>
      <c r="W657" t="inlineStr">
        <is>
          <t>1992-11-19</t>
        </is>
      </c>
      <c r="X657" t="inlineStr">
        <is>
          <t>1992-11-19</t>
        </is>
      </c>
      <c r="Y657" t="n">
        <v>241</v>
      </c>
      <c r="Z657" t="n">
        <v>189</v>
      </c>
      <c r="AA657" t="n">
        <v>550</v>
      </c>
      <c r="AB657" t="n">
        <v>1</v>
      </c>
      <c r="AC657" t="n">
        <v>4</v>
      </c>
      <c r="AD657" t="n">
        <v>2</v>
      </c>
      <c r="AE657" t="n">
        <v>15</v>
      </c>
      <c r="AF657" t="n">
        <v>0</v>
      </c>
      <c r="AG657" t="n">
        <v>4</v>
      </c>
      <c r="AH657" t="n">
        <v>1</v>
      </c>
      <c r="AI657" t="n">
        <v>4</v>
      </c>
      <c r="AJ657" t="n">
        <v>1</v>
      </c>
      <c r="AK657" t="n">
        <v>8</v>
      </c>
      <c r="AL657" t="n">
        <v>0</v>
      </c>
      <c r="AM657" t="n">
        <v>3</v>
      </c>
      <c r="AN657" t="n">
        <v>0</v>
      </c>
      <c r="AO657" t="n">
        <v>0</v>
      </c>
      <c r="AP657" t="inlineStr">
        <is>
          <t>No</t>
        </is>
      </c>
      <c r="AQ657" t="inlineStr">
        <is>
          <t>Yes</t>
        </is>
      </c>
      <c r="AR657">
        <f>HYPERLINK("http://catalog.hathitrust.org/Record/000320955","HathiTrust Record")</f>
        <v/>
      </c>
      <c r="AS657">
        <f>HYPERLINK("https://creighton-primo.hosted.exlibrisgroup.com/primo-explore/search?tab=default_tab&amp;search_scope=EVERYTHING&amp;vid=01CRU&amp;lang=en_US&amp;offset=0&amp;query=any,contains,991000226379702656","Catalog Record")</f>
        <v/>
      </c>
      <c r="AT657">
        <f>HYPERLINK("http://www.worldcat.org/oclc/9620110","WorldCat Record")</f>
        <v/>
      </c>
      <c r="AU657" t="inlineStr">
        <is>
          <t>18436488:eng</t>
        </is>
      </c>
      <c r="AV657" t="inlineStr">
        <is>
          <t>9620110</t>
        </is>
      </c>
      <c r="AW657" t="inlineStr">
        <is>
          <t>991000226379702656</t>
        </is>
      </c>
      <c r="AX657" t="inlineStr">
        <is>
          <t>991000226379702656</t>
        </is>
      </c>
      <c r="AY657" t="inlineStr">
        <is>
          <t>2270220000002656</t>
        </is>
      </c>
      <c r="AZ657" t="inlineStr">
        <is>
          <t>BOOK</t>
        </is>
      </c>
      <c r="BB657" t="inlineStr">
        <is>
          <t>9780023541605</t>
        </is>
      </c>
      <c r="BC657" t="inlineStr">
        <is>
          <t>32285001406726</t>
        </is>
      </c>
      <c r="BD657" t="inlineStr">
        <is>
          <t>893327149</t>
        </is>
      </c>
    </row>
    <row r="658">
      <c r="A658" t="inlineStr">
        <is>
          <t>No</t>
        </is>
      </c>
      <c r="B658" t="inlineStr">
        <is>
          <t>LB1140.3 .C23 1997</t>
        </is>
      </c>
      <c r="C658" t="inlineStr">
        <is>
          <t>0                      LB 1140300C  23          1997</t>
        </is>
      </c>
      <c r="D658" t="inlineStr">
        <is>
          <t>Bringing Reggio Emilia home : an innovative approach to early childhood education / Louise Boyd Cadwell ; foreword by Lella Gandini.</t>
        </is>
      </c>
      <c r="F658" t="inlineStr">
        <is>
          <t>No</t>
        </is>
      </c>
      <c r="G658" t="inlineStr">
        <is>
          <t>1</t>
        </is>
      </c>
      <c r="H658" t="inlineStr">
        <is>
          <t>No</t>
        </is>
      </c>
      <c r="I658" t="inlineStr">
        <is>
          <t>No</t>
        </is>
      </c>
      <c r="J658" t="inlineStr">
        <is>
          <t>0</t>
        </is>
      </c>
      <c r="K658" t="inlineStr">
        <is>
          <t>Cadwell, Louise Boyd.</t>
        </is>
      </c>
      <c r="L658" t="inlineStr">
        <is>
          <t>New York : Teachers College Press, c1997.</t>
        </is>
      </c>
      <c r="M658" t="inlineStr">
        <is>
          <t>1997</t>
        </is>
      </c>
      <c r="O658" t="inlineStr">
        <is>
          <t>eng</t>
        </is>
      </c>
      <c r="P658" t="inlineStr">
        <is>
          <t>nyu</t>
        </is>
      </c>
      <c r="Q658" t="inlineStr">
        <is>
          <t>Early childhood education series</t>
        </is>
      </c>
      <c r="R658" t="inlineStr">
        <is>
          <t xml:space="preserve">LB </t>
        </is>
      </c>
      <c r="S658" t="n">
        <v>3</v>
      </c>
      <c r="T658" t="n">
        <v>3</v>
      </c>
      <c r="U658" t="inlineStr">
        <is>
          <t>2001-10-24</t>
        </is>
      </c>
      <c r="V658" t="inlineStr">
        <is>
          <t>2001-10-24</t>
        </is>
      </c>
      <c r="W658" t="inlineStr">
        <is>
          <t>2000-10-26</t>
        </is>
      </c>
      <c r="X658" t="inlineStr">
        <is>
          <t>2000-10-26</t>
        </is>
      </c>
      <c r="Y658" t="n">
        <v>788</v>
      </c>
      <c r="Z658" t="n">
        <v>646</v>
      </c>
      <c r="AA658" t="n">
        <v>659</v>
      </c>
      <c r="AB658" t="n">
        <v>7</v>
      </c>
      <c r="AC658" t="n">
        <v>7</v>
      </c>
      <c r="AD658" t="n">
        <v>27</v>
      </c>
      <c r="AE658" t="n">
        <v>27</v>
      </c>
      <c r="AF658" t="n">
        <v>11</v>
      </c>
      <c r="AG658" t="n">
        <v>11</v>
      </c>
      <c r="AH658" t="n">
        <v>5</v>
      </c>
      <c r="AI658" t="n">
        <v>5</v>
      </c>
      <c r="AJ658" t="n">
        <v>13</v>
      </c>
      <c r="AK658" t="n">
        <v>13</v>
      </c>
      <c r="AL658" t="n">
        <v>6</v>
      </c>
      <c r="AM658" t="n">
        <v>6</v>
      </c>
      <c r="AN658" t="n">
        <v>0</v>
      </c>
      <c r="AO658" t="n">
        <v>0</v>
      </c>
      <c r="AP658" t="inlineStr">
        <is>
          <t>No</t>
        </is>
      </c>
      <c r="AQ658" t="inlineStr">
        <is>
          <t>No</t>
        </is>
      </c>
      <c r="AS658">
        <f>HYPERLINK("https://creighton-primo.hosted.exlibrisgroup.com/primo-explore/search?tab=default_tab&amp;search_scope=EVERYTHING&amp;vid=01CRU&amp;lang=en_US&amp;offset=0&amp;query=any,contains,991003244809702656","Catalog Record")</f>
        <v/>
      </c>
      <c r="AT658">
        <f>HYPERLINK("http://www.worldcat.org/oclc/37024144","WorldCat Record")</f>
        <v/>
      </c>
      <c r="AU658" t="inlineStr">
        <is>
          <t>37995645:eng</t>
        </is>
      </c>
      <c r="AV658" t="inlineStr">
        <is>
          <t>37024144</t>
        </is>
      </c>
      <c r="AW658" t="inlineStr">
        <is>
          <t>991003244809702656</t>
        </is>
      </c>
      <c r="AX658" t="inlineStr">
        <is>
          <t>991003244809702656</t>
        </is>
      </c>
      <c r="AY658" t="inlineStr">
        <is>
          <t>2269100760002656</t>
        </is>
      </c>
      <c r="AZ658" t="inlineStr">
        <is>
          <t>BOOK</t>
        </is>
      </c>
      <c r="BB658" t="inlineStr">
        <is>
          <t>9780807736609</t>
        </is>
      </c>
      <c r="BC658" t="inlineStr">
        <is>
          <t>32285004260849</t>
        </is>
      </c>
      <c r="BD658" t="inlineStr">
        <is>
          <t>893336285</t>
        </is>
      </c>
    </row>
    <row r="659">
      <c r="A659" t="inlineStr">
        <is>
          <t>No</t>
        </is>
      </c>
      <c r="B659" t="inlineStr">
        <is>
          <t>LB1140.3 .D48 1987</t>
        </is>
      </c>
      <c r="C659" t="inlineStr">
        <is>
          <t>0                      LB 1140300D  48          1987</t>
        </is>
      </c>
      <c r="D659" t="inlineStr">
        <is>
          <t>Programs of early education : the constructivist view / Rheta DeVries with Lawrence Kohlberg.</t>
        </is>
      </c>
      <c r="F659" t="inlineStr">
        <is>
          <t>No</t>
        </is>
      </c>
      <c r="G659" t="inlineStr">
        <is>
          <t>1</t>
        </is>
      </c>
      <c r="H659" t="inlineStr">
        <is>
          <t>No</t>
        </is>
      </c>
      <c r="I659" t="inlineStr">
        <is>
          <t>No</t>
        </is>
      </c>
      <c r="J659" t="inlineStr">
        <is>
          <t>0</t>
        </is>
      </c>
      <c r="K659" t="inlineStr">
        <is>
          <t>DeVries, Rheta.</t>
        </is>
      </c>
      <c r="L659" t="inlineStr">
        <is>
          <t>New York : Longman, c1987.</t>
        </is>
      </c>
      <c r="M659" t="inlineStr">
        <is>
          <t>1987</t>
        </is>
      </c>
      <c r="O659" t="inlineStr">
        <is>
          <t>eng</t>
        </is>
      </c>
      <c r="P659" t="inlineStr">
        <is>
          <t>nyu</t>
        </is>
      </c>
      <c r="R659" t="inlineStr">
        <is>
          <t xml:space="preserve">LB </t>
        </is>
      </c>
      <c r="S659" t="n">
        <v>8</v>
      </c>
      <c r="T659" t="n">
        <v>8</v>
      </c>
      <c r="U659" t="inlineStr">
        <is>
          <t>2003-01-28</t>
        </is>
      </c>
      <c r="V659" t="inlineStr">
        <is>
          <t>2003-01-28</t>
        </is>
      </c>
      <c r="W659" t="inlineStr">
        <is>
          <t>1990-06-15</t>
        </is>
      </c>
      <c r="X659" t="inlineStr">
        <is>
          <t>1990-06-15</t>
        </is>
      </c>
      <c r="Y659" t="n">
        <v>372</v>
      </c>
      <c r="Z659" t="n">
        <v>299</v>
      </c>
      <c r="AA659" t="n">
        <v>300</v>
      </c>
      <c r="AB659" t="n">
        <v>3</v>
      </c>
      <c r="AC659" t="n">
        <v>3</v>
      </c>
      <c r="AD659" t="n">
        <v>9</v>
      </c>
      <c r="AE659" t="n">
        <v>9</v>
      </c>
      <c r="AF659" t="n">
        <v>2</v>
      </c>
      <c r="AG659" t="n">
        <v>2</v>
      </c>
      <c r="AH659" t="n">
        <v>2</v>
      </c>
      <c r="AI659" t="n">
        <v>2</v>
      </c>
      <c r="AJ659" t="n">
        <v>6</v>
      </c>
      <c r="AK659" t="n">
        <v>6</v>
      </c>
      <c r="AL659" t="n">
        <v>2</v>
      </c>
      <c r="AM659" t="n">
        <v>2</v>
      </c>
      <c r="AN659" t="n">
        <v>0</v>
      </c>
      <c r="AO659" t="n">
        <v>0</v>
      </c>
      <c r="AP659" t="inlineStr">
        <is>
          <t>No</t>
        </is>
      </c>
      <c r="AQ659" t="inlineStr">
        <is>
          <t>Yes</t>
        </is>
      </c>
      <c r="AR659">
        <f>HYPERLINK("http://catalog.hathitrust.org/Record/000820670","HathiTrust Record")</f>
        <v/>
      </c>
      <c r="AS659">
        <f>HYPERLINK("https://creighton-primo.hosted.exlibrisgroup.com/primo-explore/search?tab=default_tab&amp;search_scope=EVERYTHING&amp;vid=01CRU&amp;lang=en_US&amp;offset=0&amp;query=any,contains,991000864129702656","Catalog Record")</f>
        <v/>
      </c>
      <c r="AT659">
        <f>HYPERLINK("http://www.worldcat.org/oclc/13703077","WorldCat Record")</f>
        <v/>
      </c>
      <c r="AU659" t="inlineStr">
        <is>
          <t>836654147:eng</t>
        </is>
      </c>
      <c r="AV659" t="inlineStr">
        <is>
          <t>13703077</t>
        </is>
      </c>
      <c r="AW659" t="inlineStr">
        <is>
          <t>991000864129702656</t>
        </is>
      </c>
      <c r="AX659" t="inlineStr">
        <is>
          <t>991000864129702656</t>
        </is>
      </c>
      <c r="AY659" t="inlineStr">
        <is>
          <t>2261609030002656</t>
        </is>
      </c>
      <c r="AZ659" t="inlineStr">
        <is>
          <t>BOOK</t>
        </is>
      </c>
      <c r="BB659" t="inlineStr">
        <is>
          <t>9780582283015</t>
        </is>
      </c>
      <c r="BC659" t="inlineStr">
        <is>
          <t>32285000196666</t>
        </is>
      </c>
      <c r="BD659" t="inlineStr">
        <is>
          <t>893865755</t>
        </is>
      </c>
    </row>
    <row r="660">
      <c r="A660" t="inlineStr">
        <is>
          <t>No</t>
        </is>
      </c>
      <c r="B660" t="inlineStr">
        <is>
          <t>LB1140.3 .D48 1990</t>
        </is>
      </c>
      <c r="C660" t="inlineStr">
        <is>
          <t>0                      LB 1140300D  48          1990</t>
        </is>
      </c>
      <c r="D660" t="inlineStr">
        <is>
          <t>Constructivist early education : overview and comparison with other programs / Rheta DeVries and Lawrence Kohlberg.</t>
        </is>
      </c>
      <c r="F660" t="inlineStr">
        <is>
          <t>No</t>
        </is>
      </c>
      <c r="G660" t="inlineStr">
        <is>
          <t>1</t>
        </is>
      </c>
      <c r="H660" t="inlineStr">
        <is>
          <t>No</t>
        </is>
      </c>
      <c r="I660" t="inlineStr">
        <is>
          <t>No</t>
        </is>
      </c>
      <c r="J660" t="inlineStr">
        <is>
          <t>0</t>
        </is>
      </c>
      <c r="K660" t="inlineStr">
        <is>
          <t>DeVries, Rheta.</t>
        </is>
      </c>
      <c r="L660" t="inlineStr">
        <is>
          <t>Washington, D.C. : National Association for the Education of Young Children, 1990.</t>
        </is>
      </c>
      <c r="M660" t="inlineStr">
        <is>
          <t>1990</t>
        </is>
      </c>
      <c r="O660" t="inlineStr">
        <is>
          <t>eng</t>
        </is>
      </c>
      <c r="P660" t="inlineStr">
        <is>
          <t>dcu</t>
        </is>
      </c>
      <c r="Q660" t="inlineStr">
        <is>
          <t>NAEYC ; #235</t>
        </is>
      </c>
      <c r="R660" t="inlineStr">
        <is>
          <t xml:space="preserve">LB </t>
        </is>
      </c>
      <c r="S660" t="n">
        <v>5</v>
      </c>
      <c r="T660" t="n">
        <v>5</v>
      </c>
      <c r="U660" t="inlineStr">
        <is>
          <t>2005-09-06</t>
        </is>
      </c>
      <c r="V660" t="inlineStr">
        <is>
          <t>2005-09-06</t>
        </is>
      </c>
      <c r="W660" t="inlineStr">
        <is>
          <t>1996-08-20</t>
        </is>
      </c>
      <c r="X660" t="inlineStr">
        <is>
          <t>1996-08-20</t>
        </is>
      </c>
      <c r="Y660" t="n">
        <v>322</v>
      </c>
      <c r="Z660" t="n">
        <v>284</v>
      </c>
      <c r="AA660" t="n">
        <v>308</v>
      </c>
      <c r="AB660" t="n">
        <v>2</v>
      </c>
      <c r="AC660" t="n">
        <v>2</v>
      </c>
      <c r="AD660" t="n">
        <v>7</v>
      </c>
      <c r="AE660" t="n">
        <v>8</v>
      </c>
      <c r="AF660" t="n">
        <v>3</v>
      </c>
      <c r="AG660" t="n">
        <v>4</v>
      </c>
      <c r="AH660" t="n">
        <v>2</v>
      </c>
      <c r="AI660" t="n">
        <v>2</v>
      </c>
      <c r="AJ660" t="n">
        <v>2</v>
      </c>
      <c r="AK660" t="n">
        <v>3</v>
      </c>
      <c r="AL660" t="n">
        <v>1</v>
      </c>
      <c r="AM660" t="n">
        <v>1</v>
      </c>
      <c r="AN660" t="n">
        <v>0</v>
      </c>
      <c r="AO660" t="n">
        <v>0</v>
      </c>
      <c r="AP660" t="inlineStr">
        <is>
          <t>No</t>
        </is>
      </c>
      <c r="AQ660" t="inlineStr">
        <is>
          <t>Yes</t>
        </is>
      </c>
      <c r="AR660">
        <f>HYPERLINK("http://catalog.hathitrust.org/Record/007559431","HathiTrust Record")</f>
        <v/>
      </c>
      <c r="AS660">
        <f>HYPERLINK("https://creighton-primo.hosted.exlibrisgroup.com/primo-explore/search?tab=default_tab&amp;search_scope=EVERYTHING&amp;vid=01CRU&amp;lang=en_US&amp;offset=0&amp;query=any,contains,991001721239702656","Catalog Record")</f>
        <v/>
      </c>
      <c r="AT660">
        <f>HYPERLINK("http://www.worldcat.org/oclc/21764263","WorldCat Record")</f>
        <v/>
      </c>
      <c r="AU660" t="inlineStr">
        <is>
          <t>23085514:eng</t>
        </is>
      </c>
      <c r="AV660" t="inlineStr">
        <is>
          <t>21764263</t>
        </is>
      </c>
      <c r="AW660" t="inlineStr">
        <is>
          <t>991001721239702656</t>
        </is>
      </c>
      <c r="AX660" t="inlineStr">
        <is>
          <t>991001721239702656</t>
        </is>
      </c>
      <c r="AY660" t="inlineStr">
        <is>
          <t>2263338010002656</t>
        </is>
      </c>
      <c r="AZ660" t="inlineStr">
        <is>
          <t>BOOK</t>
        </is>
      </c>
      <c r="BB660" t="inlineStr">
        <is>
          <t>9780935989335</t>
        </is>
      </c>
      <c r="BC660" t="inlineStr">
        <is>
          <t>32285002290970</t>
        </is>
      </c>
      <c r="BD660" t="inlineStr">
        <is>
          <t>893803826</t>
        </is>
      </c>
    </row>
    <row r="661">
      <c r="A661" t="inlineStr">
        <is>
          <t>No</t>
        </is>
      </c>
      <c r="B661" t="inlineStr">
        <is>
          <t>LB1140.3 .P48 1986</t>
        </is>
      </c>
      <c r="C661" t="inlineStr">
        <is>
          <t>0                      LB 1140300P  48          1986</t>
        </is>
      </c>
      <c r="D661" t="inlineStr">
        <is>
          <t>The Piaget handbook for teachers and parents : children in the age of discovery, preschool-third grade / Rosemary Peterson, Victoria Felton-Collins.</t>
        </is>
      </c>
      <c r="F661" t="inlineStr">
        <is>
          <t>No</t>
        </is>
      </c>
      <c r="G661" t="inlineStr">
        <is>
          <t>1</t>
        </is>
      </c>
      <c r="H661" t="inlineStr">
        <is>
          <t>No</t>
        </is>
      </c>
      <c r="I661" t="inlineStr">
        <is>
          <t>No</t>
        </is>
      </c>
      <c r="J661" t="inlineStr">
        <is>
          <t>0</t>
        </is>
      </c>
      <c r="K661" t="inlineStr">
        <is>
          <t>Peterson, Rosemary.</t>
        </is>
      </c>
      <c r="L661" t="inlineStr">
        <is>
          <t>New York : Teachers College Press, Teachers College, Columbia University, c1986.</t>
        </is>
      </c>
      <c r="M661" t="inlineStr">
        <is>
          <t>1986</t>
        </is>
      </c>
      <c r="O661" t="inlineStr">
        <is>
          <t>eng</t>
        </is>
      </c>
      <c r="P661" t="inlineStr">
        <is>
          <t>nyu</t>
        </is>
      </c>
      <c r="Q661" t="inlineStr">
        <is>
          <t>Early childhood education series</t>
        </is>
      </c>
      <c r="R661" t="inlineStr">
        <is>
          <t xml:space="preserve">LB </t>
        </is>
      </c>
      <c r="S661" t="n">
        <v>3</v>
      </c>
      <c r="T661" t="n">
        <v>3</v>
      </c>
      <c r="U661" t="inlineStr">
        <is>
          <t>2005-09-06</t>
        </is>
      </c>
      <c r="V661" t="inlineStr">
        <is>
          <t>2005-09-06</t>
        </is>
      </c>
      <c r="W661" t="inlineStr">
        <is>
          <t>1992-12-09</t>
        </is>
      </c>
      <c r="X661" t="inlineStr">
        <is>
          <t>1992-12-09</t>
        </is>
      </c>
      <c r="Y661" t="n">
        <v>698</v>
      </c>
      <c r="Z661" t="n">
        <v>627</v>
      </c>
      <c r="AA661" t="n">
        <v>628</v>
      </c>
      <c r="AB661" t="n">
        <v>2</v>
      </c>
      <c r="AC661" t="n">
        <v>2</v>
      </c>
      <c r="AD661" t="n">
        <v>20</v>
      </c>
      <c r="AE661" t="n">
        <v>20</v>
      </c>
      <c r="AF661" t="n">
        <v>12</v>
      </c>
      <c r="AG661" t="n">
        <v>12</v>
      </c>
      <c r="AH661" t="n">
        <v>2</v>
      </c>
      <c r="AI661" t="n">
        <v>2</v>
      </c>
      <c r="AJ661" t="n">
        <v>11</v>
      </c>
      <c r="AK661" t="n">
        <v>11</v>
      </c>
      <c r="AL661" t="n">
        <v>1</v>
      </c>
      <c r="AM661" t="n">
        <v>1</v>
      </c>
      <c r="AN661" t="n">
        <v>0</v>
      </c>
      <c r="AO661" t="n">
        <v>0</v>
      </c>
      <c r="AP661" t="inlineStr">
        <is>
          <t>No</t>
        </is>
      </c>
      <c r="AQ661" t="inlineStr">
        <is>
          <t>No</t>
        </is>
      </c>
      <c r="AS661">
        <f>HYPERLINK("https://creighton-primo.hosted.exlibrisgroup.com/primo-explore/search?tab=default_tab&amp;search_scope=EVERYTHING&amp;vid=01CRU&amp;lang=en_US&amp;offset=0&amp;query=any,contains,991000937509702656","Catalog Record")</f>
        <v/>
      </c>
      <c r="AT661">
        <f>HYPERLINK("http://www.worldcat.org/oclc/14376710","WorldCat Record")</f>
        <v/>
      </c>
      <c r="AU661" t="inlineStr">
        <is>
          <t>894362899:eng</t>
        </is>
      </c>
      <c r="AV661" t="inlineStr">
        <is>
          <t>14376710</t>
        </is>
      </c>
      <c r="AW661" t="inlineStr">
        <is>
          <t>991000937509702656</t>
        </is>
      </c>
      <c r="AX661" t="inlineStr">
        <is>
          <t>991000937509702656</t>
        </is>
      </c>
      <c r="AY661" t="inlineStr">
        <is>
          <t>2264013440002656</t>
        </is>
      </c>
      <c r="AZ661" t="inlineStr">
        <is>
          <t>BOOK</t>
        </is>
      </c>
      <c r="BB661" t="inlineStr">
        <is>
          <t>9780807728413</t>
        </is>
      </c>
      <c r="BC661" t="inlineStr">
        <is>
          <t>32285001414324</t>
        </is>
      </c>
      <c r="BD661" t="inlineStr">
        <is>
          <t>893522147</t>
        </is>
      </c>
    </row>
    <row r="662">
      <c r="A662" t="inlineStr">
        <is>
          <t>No</t>
        </is>
      </c>
      <c r="B662" t="inlineStr">
        <is>
          <t>LB1140.4 .B33 1997</t>
        </is>
      </c>
      <c r="C662" t="inlineStr">
        <is>
          <t>0                      LB 1140400B  33          1997</t>
        </is>
      </c>
      <c r="D662" t="inlineStr">
        <is>
          <t>LINKing assessment and early intervention : an authentic curriculum-based approach / by Stephen J. Bagnato, John T. Neisworth, and Susan M. Munson.</t>
        </is>
      </c>
      <c r="F662" t="inlineStr">
        <is>
          <t>No</t>
        </is>
      </c>
      <c r="G662" t="inlineStr">
        <is>
          <t>1</t>
        </is>
      </c>
      <c r="H662" t="inlineStr">
        <is>
          <t>No</t>
        </is>
      </c>
      <c r="I662" t="inlineStr">
        <is>
          <t>No</t>
        </is>
      </c>
      <c r="J662" t="inlineStr">
        <is>
          <t>0</t>
        </is>
      </c>
      <c r="K662" t="inlineStr">
        <is>
          <t>Bagnato, Stephen J.</t>
        </is>
      </c>
      <c r="L662" t="inlineStr">
        <is>
          <t>Baltimore : P.H. Brookes Pub. Co., c1997.</t>
        </is>
      </c>
      <c r="M662" t="inlineStr">
        <is>
          <t>1997</t>
        </is>
      </c>
      <c r="O662" t="inlineStr">
        <is>
          <t>eng</t>
        </is>
      </c>
      <c r="P662" t="inlineStr">
        <is>
          <t>mdu</t>
        </is>
      </c>
      <c r="R662" t="inlineStr">
        <is>
          <t xml:space="preserve">LB </t>
        </is>
      </c>
      <c r="S662" t="n">
        <v>5</v>
      </c>
      <c r="T662" t="n">
        <v>5</v>
      </c>
      <c r="U662" t="inlineStr">
        <is>
          <t>1998-09-08</t>
        </is>
      </c>
      <c r="V662" t="inlineStr">
        <is>
          <t>1998-09-08</t>
        </is>
      </c>
      <c r="W662" t="inlineStr">
        <is>
          <t>1997-05-09</t>
        </is>
      </c>
      <c r="X662" t="inlineStr">
        <is>
          <t>1997-05-09</t>
        </is>
      </c>
      <c r="Y662" t="n">
        <v>307</v>
      </c>
      <c r="Z662" t="n">
        <v>252</v>
      </c>
      <c r="AA662" t="n">
        <v>254</v>
      </c>
      <c r="AB662" t="n">
        <v>2</v>
      </c>
      <c r="AC662" t="n">
        <v>2</v>
      </c>
      <c r="AD662" t="n">
        <v>12</v>
      </c>
      <c r="AE662" t="n">
        <v>12</v>
      </c>
      <c r="AF662" t="n">
        <v>4</v>
      </c>
      <c r="AG662" t="n">
        <v>4</v>
      </c>
      <c r="AH662" t="n">
        <v>3</v>
      </c>
      <c r="AI662" t="n">
        <v>3</v>
      </c>
      <c r="AJ662" t="n">
        <v>8</v>
      </c>
      <c r="AK662" t="n">
        <v>8</v>
      </c>
      <c r="AL662" t="n">
        <v>1</v>
      </c>
      <c r="AM662" t="n">
        <v>1</v>
      </c>
      <c r="AN662" t="n">
        <v>0</v>
      </c>
      <c r="AO662" t="n">
        <v>0</v>
      </c>
      <c r="AP662" t="inlineStr">
        <is>
          <t>No</t>
        </is>
      </c>
      <c r="AQ662" t="inlineStr">
        <is>
          <t>Yes</t>
        </is>
      </c>
      <c r="AR662">
        <f>HYPERLINK("http://catalog.hathitrust.org/Record/003144269","HathiTrust Record")</f>
        <v/>
      </c>
      <c r="AS662">
        <f>HYPERLINK("https://creighton-primo.hosted.exlibrisgroup.com/primo-explore/search?tab=default_tab&amp;search_scope=EVERYTHING&amp;vid=01CRU&amp;lang=en_US&amp;offset=0&amp;query=any,contains,991002706629702656","Catalog Record")</f>
        <v/>
      </c>
      <c r="AT662">
        <f>HYPERLINK("http://www.worldcat.org/oclc/35331409","WorldCat Record")</f>
        <v/>
      </c>
      <c r="AU662" t="inlineStr">
        <is>
          <t>335370249:eng</t>
        </is>
      </c>
      <c r="AV662" t="inlineStr">
        <is>
          <t>35331409</t>
        </is>
      </c>
      <c r="AW662" t="inlineStr">
        <is>
          <t>991002706629702656</t>
        </is>
      </c>
      <c r="AX662" t="inlineStr">
        <is>
          <t>991002706629702656</t>
        </is>
      </c>
      <c r="AY662" t="inlineStr">
        <is>
          <t>2262774960002656</t>
        </is>
      </c>
      <c r="AZ662" t="inlineStr">
        <is>
          <t>BOOK</t>
        </is>
      </c>
      <c r="BB662" t="inlineStr">
        <is>
          <t>9781557662637</t>
        </is>
      </c>
      <c r="BC662" t="inlineStr">
        <is>
          <t>32285002606464</t>
        </is>
      </c>
      <c r="BD662" t="inlineStr">
        <is>
          <t>893804925</t>
        </is>
      </c>
    </row>
    <row r="663">
      <c r="A663" t="inlineStr">
        <is>
          <t>No</t>
        </is>
      </c>
      <c r="B663" t="inlineStr">
        <is>
          <t>LB1140.5.H4 H463 1992</t>
        </is>
      </c>
      <c r="C663" t="inlineStr">
        <is>
          <t>0                      LB 1140500H  4                  H  463         1992</t>
        </is>
      </c>
      <c r="D663" t="inlineStr">
        <is>
          <t>Young children on the grow : health, activity, and education in the preschool setting / Charlotte M. Hendricks, editor ; Liane M. Summerfield, series editor.</t>
        </is>
      </c>
      <c r="F663" t="inlineStr">
        <is>
          <t>No</t>
        </is>
      </c>
      <c r="G663" t="inlineStr">
        <is>
          <t>1</t>
        </is>
      </c>
      <c r="H663" t="inlineStr">
        <is>
          <t>No</t>
        </is>
      </c>
      <c r="I663" t="inlineStr">
        <is>
          <t>No</t>
        </is>
      </c>
      <c r="J663" t="inlineStr">
        <is>
          <t>0</t>
        </is>
      </c>
      <c r="K663" t="inlineStr">
        <is>
          <t>Hendricks, Charlotte Mitchell, 1957-</t>
        </is>
      </c>
      <c r="L663" t="inlineStr">
        <is>
          <t>Washington, D.C. : ERIC Clearinghouse on Teacher Education, 1992.</t>
        </is>
      </c>
      <c r="M663" t="inlineStr">
        <is>
          <t>1992</t>
        </is>
      </c>
      <c r="O663" t="inlineStr">
        <is>
          <t>eng</t>
        </is>
      </c>
      <c r="P663" t="inlineStr">
        <is>
          <t>dcu</t>
        </is>
      </c>
      <c r="Q663" t="inlineStr">
        <is>
          <t>Teacher education monograph ; no. 13</t>
        </is>
      </c>
      <c r="R663" t="inlineStr">
        <is>
          <t xml:space="preserve">LB </t>
        </is>
      </c>
      <c r="S663" t="n">
        <v>1</v>
      </c>
      <c r="T663" t="n">
        <v>1</v>
      </c>
      <c r="U663" t="inlineStr">
        <is>
          <t>1995-09-22</t>
        </is>
      </c>
      <c r="V663" t="inlineStr">
        <is>
          <t>1995-09-22</t>
        </is>
      </c>
      <c r="W663" t="inlineStr">
        <is>
          <t>1992-09-28</t>
        </is>
      </c>
      <c r="X663" t="inlineStr">
        <is>
          <t>1992-09-28</t>
        </is>
      </c>
      <c r="Y663" t="n">
        <v>31</v>
      </c>
      <c r="Z663" t="n">
        <v>28</v>
      </c>
      <c r="AA663" t="n">
        <v>30</v>
      </c>
      <c r="AB663" t="n">
        <v>1</v>
      </c>
      <c r="AC663" t="n">
        <v>1</v>
      </c>
      <c r="AD663" t="n">
        <v>1</v>
      </c>
      <c r="AE663" t="n">
        <v>1</v>
      </c>
      <c r="AF663" t="n">
        <v>0</v>
      </c>
      <c r="AG663" t="n">
        <v>0</v>
      </c>
      <c r="AH663" t="n">
        <v>0</v>
      </c>
      <c r="AI663" t="n">
        <v>0</v>
      </c>
      <c r="AJ663" t="n">
        <v>1</v>
      </c>
      <c r="AK663" t="n">
        <v>1</v>
      </c>
      <c r="AL663" t="n">
        <v>0</v>
      </c>
      <c r="AM663" t="n">
        <v>0</v>
      </c>
      <c r="AN663" t="n">
        <v>0</v>
      </c>
      <c r="AO663" t="n">
        <v>0</v>
      </c>
      <c r="AP663" t="inlineStr">
        <is>
          <t>No</t>
        </is>
      </c>
      <c r="AQ663" t="inlineStr">
        <is>
          <t>No</t>
        </is>
      </c>
      <c r="AS663">
        <f>HYPERLINK("https://creighton-primo.hosted.exlibrisgroup.com/primo-explore/search?tab=default_tab&amp;search_scope=EVERYTHING&amp;vid=01CRU&amp;lang=en_US&amp;offset=0&amp;query=any,contains,991002078809702656","Catalog Record")</f>
        <v/>
      </c>
      <c r="AT663">
        <f>HYPERLINK("http://www.worldcat.org/oclc/26650548","WorldCat Record")</f>
        <v/>
      </c>
      <c r="AU663" t="inlineStr">
        <is>
          <t>26028173:eng</t>
        </is>
      </c>
      <c r="AV663" t="inlineStr">
        <is>
          <t>26650548</t>
        </is>
      </c>
      <c r="AW663" t="inlineStr">
        <is>
          <t>991002078809702656</t>
        </is>
      </c>
      <c r="AX663" t="inlineStr">
        <is>
          <t>991002078809702656</t>
        </is>
      </c>
      <c r="AY663" t="inlineStr">
        <is>
          <t>2267541180002656</t>
        </is>
      </c>
      <c r="AZ663" t="inlineStr">
        <is>
          <t>BOOK</t>
        </is>
      </c>
      <c r="BB663" t="inlineStr">
        <is>
          <t>9780893330897</t>
        </is>
      </c>
      <c r="BC663" t="inlineStr">
        <is>
          <t>32285000988658</t>
        </is>
      </c>
      <c r="BD663" t="inlineStr">
        <is>
          <t>893684927</t>
        </is>
      </c>
    </row>
    <row r="664">
      <c r="A664" t="inlineStr">
        <is>
          <t>No</t>
        </is>
      </c>
      <c r="B664" t="inlineStr">
        <is>
          <t>LB1140.5.R4 H4</t>
        </is>
      </c>
      <c r="C664" t="inlineStr">
        <is>
          <t>0                      LB 1140500R  4                  H  4</t>
        </is>
      </c>
      <c r="D664" t="inlineStr">
        <is>
          <t>Teaching preschool reading / Sandra Harvey Heater.</t>
        </is>
      </c>
      <c r="F664" t="inlineStr">
        <is>
          <t>No</t>
        </is>
      </c>
      <c r="G664" t="inlineStr">
        <is>
          <t>1</t>
        </is>
      </c>
      <c r="H664" t="inlineStr">
        <is>
          <t>No</t>
        </is>
      </c>
      <c r="I664" t="inlineStr">
        <is>
          <t>No</t>
        </is>
      </c>
      <c r="J664" t="inlineStr">
        <is>
          <t>0</t>
        </is>
      </c>
      <c r="K664" t="inlineStr">
        <is>
          <t>Heater, Sandra Harvey, 1942-</t>
        </is>
      </c>
      <c r="L664" t="inlineStr">
        <is>
          <t>Provo, Utah : Brigham Young University Press, c1980.</t>
        </is>
      </c>
      <c r="M664" t="inlineStr">
        <is>
          <t>1980</t>
        </is>
      </c>
      <c r="O664" t="inlineStr">
        <is>
          <t>eng</t>
        </is>
      </c>
      <c r="P664" t="inlineStr">
        <is>
          <t>utu</t>
        </is>
      </c>
      <c r="R664" t="inlineStr">
        <is>
          <t xml:space="preserve">LB </t>
        </is>
      </c>
      <c r="S664" t="n">
        <v>2</v>
      </c>
      <c r="T664" t="n">
        <v>2</v>
      </c>
      <c r="U664" t="inlineStr">
        <is>
          <t>1996-09-16</t>
        </is>
      </c>
      <c r="V664" t="inlineStr">
        <is>
          <t>1996-09-16</t>
        </is>
      </c>
      <c r="W664" t="inlineStr">
        <is>
          <t>1993-01-15</t>
        </is>
      </c>
      <c r="X664" t="inlineStr">
        <is>
          <t>1993-01-15</t>
        </is>
      </c>
      <c r="Y664" t="n">
        <v>177</v>
      </c>
      <c r="Z664" t="n">
        <v>154</v>
      </c>
      <c r="AA664" t="n">
        <v>159</v>
      </c>
      <c r="AB664" t="n">
        <v>1</v>
      </c>
      <c r="AC664" t="n">
        <v>1</v>
      </c>
      <c r="AD664" t="n">
        <v>0</v>
      </c>
      <c r="AE664" t="n">
        <v>0</v>
      </c>
      <c r="AF664" t="n">
        <v>0</v>
      </c>
      <c r="AG664" t="n">
        <v>0</v>
      </c>
      <c r="AH664" t="n">
        <v>0</v>
      </c>
      <c r="AI664" t="n">
        <v>0</v>
      </c>
      <c r="AJ664" t="n">
        <v>0</v>
      </c>
      <c r="AK664" t="n">
        <v>0</v>
      </c>
      <c r="AL664" t="n">
        <v>0</v>
      </c>
      <c r="AM664" t="n">
        <v>0</v>
      </c>
      <c r="AN664" t="n">
        <v>0</v>
      </c>
      <c r="AO664" t="n">
        <v>0</v>
      </c>
      <c r="AP664" t="inlineStr">
        <is>
          <t>No</t>
        </is>
      </c>
      <c r="AQ664" t="inlineStr">
        <is>
          <t>No</t>
        </is>
      </c>
      <c r="AS664">
        <f>HYPERLINK("https://creighton-primo.hosted.exlibrisgroup.com/primo-explore/search?tab=default_tab&amp;search_scope=EVERYTHING&amp;vid=01CRU&amp;lang=en_US&amp;offset=0&amp;query=any,contains,991004998279702656","Catalog Record")</f>
        <v/>
      </c>
      <c r="AT664">
        <f>HYPERLINK("http://www.worldcat.org/oclc/6532319","WorldCat Record")</f>
        <v/>
      </c>
      <c r="AU664" t="inlineStr">
        <is>
          <t>23102296:eng</t>
        </is>
      </c>
      <c r="AV664" t="inlineStr">
        <is>
          <t>6532319</t>
        </is>
      </c>
      <c r="AW664" t="inlineStr">
        <is>
          <t>991004998279702656</t>
        </is>
      </c>
      <c r="AX664" t="inlineStr">
        <is>
          <t>991004998279702656</t>
        </is>
      </c>
      <c r="AY664" t="inlineStr">
        <is>
          <t>2261990860002656</t>
        </is>
      </c>
      <c r="AZ664" t="inlineStr">
        <is>
          <t>BOOK</t>
        </is>
      </c>
      <c r="BB664" t="inlineStr">
        <is>
          <t>9780842518376</t>
        </is>
      </c>
      <c r="BC664" t="inlineStr">
        <is>
          <t>32285001476414</t>
        </is>
      </c>
      <c r="BD664" t="inlineStr">
        <is>
          <t>893694599</t>
        </is>
      </c>
    </row>
    <row r="665">
      <c r="A665" t="inlineStr">
        <is>
          <t>No</t>
        </is>
      </c>
      <c r="B665" t="inlineStr">
        <is>
          <t>LB1140.5.S35 R63 1992</t>
        </is>
      </c>
      <c r="C665" t="inlineStr">
        <is>
          <t>0                      LB 1140500S  35                 R  63          1992</t>
        </is>
      </c>
      <c r="D665" t="inlineStr">
        <is>
          <t>Everybody has a body : science from head to toe : activities book for teachers of children ages 3-6 / by Robert E. Rockwell, Robert A. Williams, Elizabeth A. Sherwood ; illustrated by Laurel J. Sweetman.</t>
        </is>
      </c>
      <c r="F665" t="inlineStr">
        <is>
          <t>No</t>
        </is>
      </c>
      <c r="G665" t="inlineStr">
        <is>
          <t>1</t>
        </is>
      </c>
      <c r="H665" t="inlineStr">
        <is>
          <t>No</t>
        </is>
      </c>
      <c r="I665" t="inlineStr">
        <is>
          <t>No</t>
        </is>
      </c>
      <c r="J665" t="inlineStr">
        <is>
          <t>0</t>
        </is>
      </c>
      <c r="K665" t="inlineStr">
        <is>
          <t>Rockwell, Robert E.</t>
        </is>
      </c>
      <c r="L665" t="inlineStr">
        <is>
          <t>Mt. Rainier, Md. : Gryphon House, c1992.</t>
        </is>
      </c>
      <c r="M665" t="inlineStr">
        <is>
          <t>1992</t>
        </is>
      </c>
      <c r="O665" t="inlineStr">
        <is>
          <t>eng</t>
        </is>
      </c>
      <c r="P665" t="inlineStr">
        <is>
          <t>mdu</t>
        </is>
      </c>
      <c r="R665" t="inlineStr">
        <is>
          <t xml:space="preserve">LB </t>
        </is>
      </c>
      <c r="S665" t="n">
        <v>7</v>
      </c>
      <c r="T665" t="n">
        <v>7</v>
      </c>
      <c r="U665" t="inlineStr">
        <is>
          <t>1997-02-16</t>
        </is>
      </c>
      <c r="V665" t="inlineStr">
        <is>
          <t>1997-02-16</t>
        </is>
      </c>
      <c r="W665" t="inlineStr">
        <is>
          <t>1994-10-03</t>
        </is>
      </c>
      <c r="X665" t="inlineStr">
        <is>
          <t>1994-10-03</t>
        </is>
      </c>
      <c r="Y665" t="n">
        <v>321</v>
      </c>
      <c r="Z665" t="n">
        <v>303</v>
      </c>
      <c r="AA665" t="n">
        <v>370</v>
      </c>
      <c r="AB665" t="n">
        <v>4</v>
      </c>
      <c r="AC665" t="n">
        <v>5</v>
      </c>
      <c r="AD665" t="n">
        <v>3</v>
      </c>
      <c r="AE665" t="n">
        <v>3</v>
      </c>
      <c r="AF665" t="n">
        <v>1</v>
      </c>
      <c r="AG665" t="n">
        <v>1</v>
      </c>
      <c r="AH665" t="n">
        <v>0</v>
      </c>
      <c r="AI665" t="n">
        <v>0</v>
      </c>
      <c r="AJ665" t="n">
        <v>1</v>
      </c>
      <c r="AK665" t="n">
        <v>1</v>
      </c>
      <c r="AL665" t="n">
        <v>2</v>
      </c>
      <c r="AM665" t="n">
        <v>2</v>
      </c>
      <c r="AN665" t="n">
        <v>0</v>
      </c>
      <c r="AO665" t="n">
        <v>0</v>
      </c>
      <c r="AP665" t="inlineStr">
        <is>
          <t>No</t>
        </is>
      </c>
      <c r="AQ665" t="inlineStr">
        <is>
          <t>No</t>
        </is>
      </c>
      <c r="AS665">
        <f>HYPERLINK("https://creighton-primo.hosted.exlibrisgroup.com/primo-explore/search?tab=default_tab&amp;search_scope=EVERYTHING&amp;vid=01CRU&amp;lang=en_US&amp;offset=0&amp;query=any,contains,991002116999702656","Catalog Record")</f>
        <v/>
      </c>
      <c r="AT665">
        <f>HYPERLINK("http://www.worldcat.org/oclc/27144025","WorldCat Record")</f>
        <v/>
      </c>
      <c r="AU665" t="inlineStr">
        <is>
          <t>1117719748:eng</t>
        </is>
      </c>
      <c r="AV665" t="inlineStr">
        <is>
          <t>27144025</t>
        </is>
      </c>
      <c r="AW665" t="inlineStr">
        <is>
          <t>991002116999702656</t>
        </is>
      </c>
      <c r="AX665" t="inlineStr">
        <is>
          <t>991002116999702656</t>
        </is>
      </c>
      <c r="AY665" t="inlineStr">
        <is>
          <t>2255101430002656</t>
        </is>
      </c>
      <c r="AZ665" t="inlineStr">
        <is>
          <t>BOOK</t>
        </is>
      </c>
      <c r="BB665" t="inlineStr">
        <is>
          <t>9780876591581</t>
        </is>
      </c>
      <c r="BC665" t="inlineStr">
        <is>
          <t>32285001948446</t>
        </is>
      </c>
      <c r="BD665" t="inlineStr">
        <is>
          <t>893873120</t>
        </is>
      </c>
    </row>
    <row r="666">
      <c r="A666" t="inlineStr">
        <is>
          <t>No</t>
        </is>
      </c>
      <c r="B666" t="inlineStr">
        <is>
          <t>LB1140.A13 I57 1980</t>
        </is>
      </c>
      <c r="C666" t="inlineStr">
        <is>
          <t>0                      LB 1140000A  13                 I  57          1980</t>
        </is>
      </c>
      <c r="D666" t="inlineStr">
        <is>
          <t>Early childhood education : an international perspective / edited by Nechama Nir-Janiv ... [et al.].</t>
        </is>
      </c>
      <c r="F666" t="inlineStr">
        <is>
          <t>No</t>
        </is>
      </c>
      <c r="G666" t="inlineStr">
        <is>
          <t>1</t>
        </is>
      </c>
      <c r="H666" t="inlineStr">
        <is>
          <t>No</t>
        </is>
      </c>
      <c r="I666" t="inlineStr">
        <is>
          <t>No</t>
        </is>
      </c>
      <c r="J666" t="inlineStr">
        <is>
          <t>0</t>
        </is>
      </c>
      <c r="K666" t="inlineStr">
        <is>
          <t>International Congress on Early Childhood Education (1980 : Tel Aviv, Israel)</t>
        </is>
      </c>
      <c r="L666" t="inlineStr">
        <is>
          <t>New York : Plenum Press, c1982.</t>
        </is>
      </c>
      <c r="M666" t="inlineStr">
        <is>
          <t>1982</t>
        </is>
      </c>
      <c r="O666" t="inlineStr">
        <is>
          <t>eng</t>
        </is>
      </c>
      <c r="P666" t="inlineStr">
        <is>
          <t>nyu</t>
        </is>
      </c>
      <c r="R666" t="inlineStr">
        <is>
          <t xml:space="preserve">LB </t>
        </is>
      </c>
      <c r="S666" t="n">
        <v>3</v>
      </c>
      <c r="T666" t="n">
        <v>3</v>
      </c>
      <c r="U666" t="inlineStr">
        <is>
          <t>2001-04-20</t>
        </is>
      </c>
      <c r="V666" t="inlineStr">
        <is>
          <t>2001-04-20</t>
        </is>
      </c>
      <c r="W666" t="inlineStr">
        <is>
          <t>1992-12-15</t>
        </is>
      </c>
      <c r="X666" t="inlineStr">
        <is>
          <t>1992-12-15</t>
        </is>
      </c>
      <c r="Y666" t="n">
        <v>258</v>
      </c>
      <c r="Z666" t="n">
        <v>178</v>
      </c>
      <c r="AA666" t="n">
        <v>192</v>
      </c>
      <c r="AB666" t="n">
        <v>1</v>
      </c>
      <c r="AC666" t="n">
        <v>1</v>
      </c>
      <c r="AD666" t="n">
        <v>2</v>
      </c>
      <c r="AE666" t="n">
        <v>3</v>
      </c>
      <c r="AF666" t="n">
        <v>0</v>
      </c>
      <c r="AG666" t="n">
        <v>1</v>
      </c>
      <c r="AH666" t="n">
        <v>1</v>
      </c>
      <c r="AI666" t="n">
        <v>1</v>
      </c>
      <c r="AJ666" t="n">
        <v>1</v>
      </c>
      <c r="AK666" t="n">
        <v>2</v>
      </c>
      <c r="AL666" t="n">
        <v>0</v>
      </c>
      <c r="AM666" t="n">
        <v>0</v>
      </c>
      <c r="AN666" t="n">
        <v>0</v>
      </c>
      <c r="AO666" t="n">
        <v>0</v>
      </c>
      <c r="AP666" t="inlineStr">
        <is>
          <t>No</t>
        </is>
      </c>
      <c r="AQ666" t="inlineStr">
        <is>
          <t>Yes</t>
        </is>
      </c>
      <c r="AR666">
        <f>HYPERLINK("http://catalog.hathitrust.org/Record/000313142","HathiTrust Record")</f>
        <v/>
      </c>
      <c r="AS666">
        <f>HYPERLINK("https://creighton-primo.hosted.exlibrisgroup.com/primo-explore/search?tab=default_tab&amp;search_scope=EVERYTHING&amp;vid=01CRU&amp;lang=en_US&amp;offset=0&amp;query=any,contains,991005234079702656","Catalog Record")</f>
        <v/>
      </c>
      <c r="AT666">
        <f>HYPERLINK("http://www.worldcat.org/oclc/8347690","WorldCat Record")</f>
        <v/>
      </c>
      <c r="AU666" t="inlineStr">
        <is>
          <t>2287895385:eng</t>
        </is>
      </c>
      <c r="AV666" t="inlineStr">
        <is>
          <t>8347690</t>
        </is>
      </c>
      <c r="AW666" t="inlineStr">
        <is>
          <t>991005234079702656</t>
        </is>
      </c>
      <c r="AX666" t="inlineStr">
        <is>
          <t>991005234079702656</t>
        </is>
      </c>
      <c r="AY666" t="inlineStr">
        <is>
          <t>2261862110002656</t>
        </is>
      </c>
      <c r="AZ666" t="inlineStr">
        <is>
          <t>BOOK</t>
        </is>
      </c>
      <c r="BB666" t="inlineStr">
        <is>
          <t>9780306410079</t>
        </is>
      </c>
      <c r="BC666" t="inlineStr">
        <is>
          <t>32285001442192</t>
        </is>
      </c>
      <c r="BD666" t="inlineStr">
        <is>
          <t>893877167</t>
        </is>
      </c>
    </row>
    <row r="667">
      <c r="A667" t="inlineStr">
        <is>
          <t>No</t>
        </is>
      </c>
      <c r="B667" t="inlineStr">
        <is>
          <t>LB1169 .F76 1995</t>
        </is>
      </c>
      <c r="C667" t="inlineStr">
        <is>
          <t>0                      LB 1169000F  76          1995</t>
        </is>
      </c>
      <c r="D667" t="inlineStr">
        <is>
          <t>The full-day kindergarten : planning and practicing a dynamic themes curriculum / Doris Pronin Fromberg.</t>
        </is>
      </c>
      <c r="F667" t="inlineStr">
        <is>
          <t>No</t>
        </is>
      </c>
      <c r="G667" t="inlineStr">
        <is>
          <t>1</t>
        </is>
      </c>
      <c r="H667" t="inlineStr">
        <is>
          <t>No</t>
        </is>
      </c>
      <c r="I667" t="inlineStr">
        <is>
          <t>No</t>
        </is>
      </c>
      <c r="J667" t="inlineStr">
        <is>
          <t>0</t>
        </is>
      </c>
      <c r="K667" t="inlineStr">
        <is>
          <t>Fromberg, Doris Pronin, 1937-</t>
        </is>
      </c>
      <c r="L667" t="inlineStr">
        <is>
          <t>New York : Teachers College Press, Teachers College, Columbia University, c1995.</t>
        </is>
      </c>
      <c r="M667" t="inlineStr">
        <is>
          <t>1995</t>
        </is>
      </c>
      <c r="N667" t="inlineStr">
        <is>
          <t>2nd ed.</t>
        </is>
      </c>
      <c r="O667" t="inlineStr">
        <is>
          <t>eng</t>
        </is>
      </c>
      <c r="P667" t="inlineStr">
        <is>
          <t>nyu</t>
        </is>
      </c>
      <c r="Q667" t="inlineStr">
        <is>
          <t>Early childhood education series</t>
        </is>
      </c>
      <c r="R667" t="inlineStr">
        <is>
          <t xml:space="preserve">LB </t>
        </is>
      </c>
      <c r="S667" t="n">
        <v>3</v>
      </c>
      <c r="T667" t="n">
        <v>3</v>
      </c>
      <c r="U667" t="inlineStr">
        <is>
          <t>2001-02-11</t>
        </is>
      </c>
      <c r="V667" t="inlineStr">
        <is>
          <t>2001-02-11</t>
        </is>
      </c>
      <c r="W667" t="inlineStr">
        <is>
          <t>1995-04-05</t>
        </is>
      </c>
      <c r="X667" t="inlineStr">
        <is>
          <t>1995-04-05</t>
        </is>
      </c>
      <c r="Y667" t="n">
        <v>422</v>
      </c>
      <c r="Z667" t="n">
        <v>380</v>
      </c>
      <c r="AA667" t="n">
        <v>886</v>
      </c>
      <c r="AB667" t="n">
        <v>5</v>
      </c>
      <c r="AC667" t="n">
        <v>11</v>
      </c>
      <c r="AD667" t="n">
        <v>21</v>
      </c>
      <c r="AE667" t="n">
        <v>40</v>
      </c>
      <c r="AF667" t="n">
        <v>7</v>
      </c>
      <c r="AG667" t="n">
        <v>14</v>
      </c>
      <c r="AH667" t="n">
        <v>5</v>
      </c>
      <c r="AI667" t="n">
        <v>8</v>
      </c>
      <c r="AJ667" t="n">
        <v>8</v>
      </c>
      <c r="AK667" t="n">
        <v>17</v>
      </c>
      <c r="AL667" t="n">
        <v>4</v>
      </c>
      <c r="AM667" t="n">
        <v>10</v>
      </c>
      <c r="AN667" t="n">
        <v>0</v>
      </c>
      <c r="AO667" t="n">
        <v>0</v>
      </c>
      <c r="AP667" t="inlineStr">
        <is>
          <t>No</t>
        </is>
      </c>
      <c r="AQ667" t="inlineStr">
        <is>
          <t>No</t>
        </is>
      </c>
      <c r="AS667">
        <f>HYPERLINK("https://creighton-primo.hosted.exlibrisgroup.com/primo-explore/search?tab=default_tab&amp;search_scope=EVERYTHING&amp;vid=01CRU&amp;lang=en_US&amp;offset=0&amp;query=any,contains,991002365099702656","Catalog Record")</f>
        <v/>
      </c>
      <c r="AT667">
        <f>HYPERLINK("http://www.worldcat.org/oclc/30738999","WorldCat Record")</f>
        <v/>
      </c>
      <c r="AU667" t="inlineStr">
        <is>
          <t>33191004:eng</t>
        </is>
      </c>
      <c r="AV667" t="inlineStr">
        <is>
          <t>30738999</t>
        </is>
      </c>
      <c r="AW667" t="inlineStr">
        <is>
          <t>991002365099702656</t>
        </is>
      </c>
      <c r="AX667" t="inlineStr">
        <is>
          <t>991002365099702656</t>
        </is>
      </c>
      <c r="AY667" t="inlineStr">
        <is>
          <t>2268270680002656</t>
        </is>
      </c>
      <c r="AZ667" t="inlineStr">
        <is>
          <t>BOOK</t>
        </is>
      </c>
      <c r="BB667" t="inlineStr">
        <is>
          <t>9780807733738</t>
        </is>
      </c>
      <c r="BC667" t="inlineStr">
        <is>
          <t>32285002016797</t>
        </is>
      </c>
      <c r="BD667" t="inlineStr">
        <is>
          <t>893779724</t>
        </is>
      </c>
    </row>
    <row r="668">
      <c r="A668" t="inlineStr">
        <is>
          <t>No</t>
        </is>
      </c>
      <c r="B668" t="inlineStr">
        <is>
          <t>LB1169 .Q35 2006</t>
        </is>
      </c>
      <c r="C668" t="inlineStr">
        <is>
          <t>0                      LB 1169000Q  35          2006</t>
        </is>
      </c>
      <c r="D668" t="inlineStr">
        <is>
          <t>Quality full-day kindergarten : making the most of it / [Shyrelle Eubanks, editor].</t>
        </is>
      </c>
      <c r="F668" t="inlineStr">
        <is>
          <t>No</t>
        </is>
      </c>
      <c r="G668" t="inlineStr">
        <is>
          <t>1</t>
        </is>
      </c>
      <c r="H668" t="inlineStr">
        <is>
          <t>No</t>
        </is>
      </c>
      <c r="I668" t="inlineStr">
        <is>
          <t>No</t>
        </is>
      </c>
      <c r="J668" t="inlineStr">
        <is>
          <t>0</t>
        </is>
      </c>
      <c r="L668" t="inlineStr">
        <is>
          <t>Washington, D.C. : National Education Association, 2006.</t>
        </is>
      </c>
      <c r="M668" t="inlineStr">
        <is>
          <t>2006</t>
        </is>
      </c>
      <c r="N668" t="inlineStr">
        <is>
          <t>1st ed.</t>
        </is>
      </c>
      <c r="O668" t="inlineStr">
        <is>
          <t>eng</t>
        </is>
      </c>
      <c r="P668" t="inlineStr">
        <is>
          <t>dcu</t>
        </is>
      </c>
      <c r="R668" t="inlineStr">
        <is>
          <t xml:space="preserve">LB </t>
        </is>
      </c>
      <c r="S668" t="n">
        <v>1</v>
      </c>
      <c r="T668" t="n">
        <v>1</v>
      </c>
      <c r="U668" t="inlineStr">
        <is>
          <t>2006-12-18</t>
        </is>
      </c>
      <c r="V668" t="inlineStr">
        <is>
          <t>2006-12-18</t>
        </is>
      </c>
      <c r="W668" t="inlineStr">
        <is>
          <t>2006-12-18</t>
        </is>
      </c>
      <c r="X668" t="inlineStr">
        <is>
          <t>2006-12-18</t>
        </is>
      </c>
      <c r="Y668" t="n">
        <v>168</v>
      </c>
      <c r="Z668" t="n">
        <v>160</v>
      </c>
      <c r="AA668" t="n">
        <v>160</v>
      </c>
      <c r="AB668" t="n">
        <v>2</v>
      </c>
      <c r="AC668" t="n">
        <v>2</v>
      </c>
      <c r="AD668" t="n">
        <v>7</v>
      </c>
      <c r="AE668" t="n">
        <v>7</v>
      </c>
      <c r="AF668" t="n">
        <v>5</v>
      </c>
      <c r="AG668" t="n">
        <v>5</v>
      </c>
      <c r="AH668" t="n">
        <v>0</v>
      </c>
      <c r="AI668" t="n">
        <v>0</v>
      </c>
      <c r="AJ668" t="n">
        <v>4</v>
      </c>
      <c r="AK668" t="n">
        <v>4</v>
      </c>
      <c r="AL668" t="n">
        <v>1</v>
      </c>
      <c r="AM668" t="n">
        <v>1</v>
      </c>
      <c r="AN668" t="n">
        <v>0</v>
      </c>
      <c r="AO668" t="n">
        <v>0</v>
      </c>
      <c r="AP668" t="inlineStr">
        <is>
          <t>No</t>
        </is>
      </c>
      <c r="AQ668" t="inlineStr">
        <is>
          <t>No</t>
        </is>
      </c>
      <c r="AS668">
        <f>HYPERLINK("https://creighton-primo.hosted.exlibrisgroup.com/primo-explore/search?tab=default_tab&amp;search_scope=EVERYTHING&amp;vid=01CRU&amp;lang=en_US&amp;offset=0&amp;query=any,contains,991004992829702656","Catalog Record")</f>
        <v/>
      </c>
      <c r="AT668">
        <f>HYPERLINK("http://www.worldcat.org/oclc/75957658","WorldCat Record")</f>
        <v/>
      </c>
      <c r="AU668" t="inlineStr">
        <is>
          <t>61892158:eng</t>
        </is>
      </c>
      <c r="AV668" t="inlineStr">
        <is>
          <t>75957658</t>
        </is>
      </c>
      <c r="AW668" t="inlineStr">
        <is>
          <t>991004992829702656</t>
        </is>
      </c>
      <c r="AX668" t="inlineStr">
        <is>
          <t>991004992829702656</t>
        </is>
      </c>
      <c r="AY668" t="inlineStr">
        <is>
          <t>2265380970002656</t>
        </is>
      </c>
      <c r="AZ668" t="inlineStr">
        <is>
          <t>BOOK</t>
        </is>
      </c>
      <c r="BC668" t="inlineStr">
        <is>
          <t>32285005267140</t>
        </is>
      </c>
      <c r="BD668" t="inlineStr">
        <is>
          <t>893801570</t>
        </is>
      </c>
    </row>
    <row r="669">
      <c r="A669" t="inlineStr">
        <is>
          <t>No</t>
        </is>
      </c>
      <c r="B669" t="inlineStr">
        <is>
          <t>LB1180 .E38 1991</t>
        </is>
      </c>
      <c r="C669" t="inlineStr">
        <is>
          <t>0                      LB 1180000E  38          1991</t>
        </is>
      </c>
      <c r="D669" t="inlineStr">
        <is>
          <t>Educationally appropriate kindergarten practices / Bernard Spodek, editor.</t>
        </is>
      </c>
      <c r="F669" t="inlineStr">
        <is>
          <t>No</t>
        </is>
      </c>
      <c r="G669" t="inlineStr">
        <is>
          <t>1</t>
        </is>
      </c>
      <c r="H669" t="inlineStr">
        <is>
          <t>No</t>
        </is>
      </c>
      <c r="I669" t="inlineStr">
        <is>
          <t>No</t>
        </is>
      </c>
      <c r="J669" t="inlineStr">
        <is>
          <t>0</t>
        </is>
      </c>
      <c r="L669" t="inlineStr">
        <is>
          <t>Washington, D.C. : NEA Professional Library, National Education Association, c1991.</t>
        </is>
      </c>
      <c r="M669" t="inlineStr">
        <is>
          <t>1991</t>
        </is>
      </c>
      <c r="O669" t="inlineStr">
        <is>
          <t>eng</t>
        </is>
      </c>
      <c r="P669" t="inlineStr">
        <is>
          <t>dcu</t>
        </is>
      </c>
      <c r="Q669" t="inlineStr">
        <is>
          <t>NEA Early childhood education series</t>
        </is>
      </c>
      <c r="R669" t="inlineStr">
        <is>
          <t xml:space="preserve">LB </t>
        </is>
      </c>
      <c r="S669" t="n">
        <v>1</v>
      </c>
      <c r="T669" t="n">
        <v>1</v>
      </c>
      <c r="U669" t="inlineStr">
        <is>
          <t>1996-06-18</t>
        </is>
      </c>
      <c r="V669" t="inlineStr">
        <is>
          <t>1996-06-18</t>
        </is>
      </c>
      <c r="W669" t="inlineStr">
        <is>
          <t>1991-09-18</t>
        </is>
      </c>
      <c r="X669" t="inlineStr">
        <is>
          <t>1991-09-18</t>
        </is>
      </c>
      <c r="Y669" t="n">
        <v>354</v>
      </c>
      <c r="Z669" t="n">
        <v>339</v>
      </c>
      <c r="AA669" t="n">
        <v>339</v>
      </c>
      <c r="AB669" t="n">
        <v>5</v>
      </c>
      <c r="AC669" t="n">
        <v>5</v>
      </c>
      <c r="AD669" t="n">
        <v>15</v>
      </c>
      <c r="AE669" t="n">
        <v>15</v>
      </c>
      <c r="AF669" t="n">
        <v>7</v>
      </c>
      <c r="AG669" t="n">
        <v>7</v>
      </c>
      <c r="AH669" t="n">
        <v>3</v>
      </c>
      <c r="AI669" t="n">
        <v>3</v>
      </c>
      <c r="AJ669" t="n">
        <v>6</v>
      </c>
      <c r="AK669" t="n">
        <v>6</v>
      </c>
      <c r="AL669" t="n">
        <v>3</v>
      </c>
      <c r="AM669" t="n">
        <v>3</v>
      </c>
      <c r="AN669" t="n">
        <v>0</v>
      </c>
      <c r="AO669" t="n">
        <v>0</v>
      </c>
      <c r="AP669" t="inlineStr">
        <is>
          <t>No</t>
        </is>
      </c>
      <c r="AQ669" t="inlineStr">
        <is>
          <t>No</t>
        </is>
      </c>
      <c r="AS669">
        <f>HYPERLINK("https://creighton-primo.hosted.exlibrisgroup.com/primo-explore/search?tab=default_tab&amp;search_scope=EVERYTHING&amp;vid=01CRU&amp;lang=en_US&amp;offset=0&amp;query=any,contains,991001852869702656","Catalog Record")</f>
        <v/>
      </c>
      <c r="AT669">
        <f>HYPERLINK("http://www.worldcat.org/oclc/23253416","WorldCat Record")</f>
        <v/>
      </c>
      <c r="AU669" t="inlineStr">
        <is>
          <t>55439369:eng</t>
        </is>
      </c>
      <c r="AV669" t="inlineStr">
        <is>
          <t>23253416</t>
        </is>
      </c>
      <c r="AW669" t="inlineStr">
        <is>
          <t>991001852869702656</t>
        </is>
      </c>
      <c r="AX669" t="inlineStr">
        <is>
          <t>991001852869702656</t>
        </is>
      </c>
      <c r="AY669" t="inlineStr">
        <is>
          <t>2265934980002656</t>
        </is>
      </c>
      <c r="AZ669" t="inlineStr">
        <is>
          <t>BOOK</t>
        </is>
      </c>
      <c r="BB669" t="inlineStr">
        <is>
          <t>9780810603509</t>
        </is>
      </c>
      <c r="BC669" t="inlineStr">
        <is>
          <t>32285000741289</t>
        </is>
      </c>
      <c r="BD669" t="inlineStr">
        <is>
          <t>893256567</t>
        </is>
      </c>
    </row>
    <row r="670">
      <c r="A670" t="inlineStr">
        <is>
          <t>No</t>
        </is>
      </c>
      <c r="B670" t="inlineStr">
        <is>
          <t>LB1180 .M37 1987</t>
        </is>
      </c>
      <c r="C670" t="inlineStr">
        <is>
          <t>0                      LB 1180000M  37          1987</t>
        </is>
      </c>
      <c r="D670" t="inlineStr">
        <is>
          <t>The new kindergarten : full-day, child-centered, academic : a book for teachers, administrators, practice teachers, teacher aides, and parents / Jean Marzollo ; illustrated by Irene Trivas.</t>
        </is>
      </c>
      <c r="F670" t="inlineStr">
        <is>
          <t>No</t>
        </is>
      </c>
      <c r="G670" t="inlineStr">
        <is>
          <t>1</t>
        </is>
      </c>
      <c r="H670" t="inlineStr">
        <is>
          <t>No</t>
        </is>
      </c>
      <c r="I670" t="inlineStr">
        <is>
          <t>No</t>
        </is>
      </c>
      <c r="J670" t="inlineStr">
        <is>
          <t>0</t>
        </is>
      </c>
      <c r="K670" t="inlineStr">
        <is>
          <t>Marzollo, Jean.</t>
        </is>
      </c>
      <c r="L670" t="inlineStr">
        <is>
          <t>New York : Harper &amp; Row, c1987.</t>
        </is>
      </c>
      <c r="M670" t="inlineStr">
        <is>
          <t>1987</t>
        </is>
      </c>
      <c r="N670" t="inlineStr">
        <is>
          <t>1st ed.</t>
        </is>
      </c>
      <c r="O670" t="inlineStr">
        <is>
          <t>eng</t>
        </is>
      </c>
      <c r="P670" t="inlineStr">
        <is>
          <t>nyu</t>
        </is>
      </c>
      <c r="R670" t="inlineStr">
        <is>
          <t xml:space="preserve">LB </t>
        </is>
      </c>
      <c r="S670" t="n">
        <v>3</v>
      </c>
      <c r="T670" t="n">
        <v>3</v>
      </c>
      <c r="U670" t="inlineStr">
        <is>
          <t>2001-02-11</t>
        </is>
      </c>
      <c r="V670" t="inlineStr">
        <is>
          <t>2001-02-11</t>
        </is>
      </c>
      <c r="W670" t="inlineStr">
        <is>
          <t>1992-02-17</t>
        </is>
      </c>
      <c r="X670" t="inlineStr">
        <is>
          <t>1992-02-17</t>
        </is>
      </c>
      <c r="Y670" t="n">
        <v>620</v>
      </c>
      <c r="Z670" t="n">
        <v>590</v>
      </c>
      <c r="AA670" t="n">
        <v>647</v>
      </c>
      <c r="AB670" t="n">
        <v>4</v>
      </c>
      <c r="AC670" t="n">
        <v>4</v>
      </c>
      <c r="AD670" t="n">
        <v>10</v>
      </c>
      <c r="AE670" t="n">
        <v>10</v>
      </c>
      <c r="AF670" t="n">
        <v>4</v>
      </c>
      <c r="AG670" t="n">
        <v>4</v>
      </c>
      <c r="AH670" t="n">
        <v>2</v>
      </c>
      <c r="AI670" t="n">
        <v>2</v>
      </c>
      <c r="AJ670" t="n">
        <v>2</v>
      </c>
      <c r="AK670" t="n">
        <v>2</v>
      </c>
      <c r="AL670" t="n">
        <v>3</v>
      </c>
      <c r="AM670" t="n">
        <v>3</v>
      </c>
      <c r="AN670" t="n">
        <v>0</v>
      </c>
      <c r="AO670" t="n">
        <v>0</v>
      </c>
      <c r="AP670" t="inlineStr">
        <is>
          <t>No</t>
        </is>
      </c>
      <c r="AQ670" t="inlineStr">
        <is>
          <t>Yes</t>
        </is>
      </c>
      <c r="AR670">
        <f>HYPERLINK("http://catalog.hathitrust.org/Record/102094854","HathiTrust Record")</f>
        <v/>
      </c>
      <c r="AS670">
        <f>HYPERLINK("https://creighton-primo.hosted.exlibrisgroup.com/primo-explore/search?tab=default_tab&amp;search_scope=EVERYTHING&amp;vid=01CRU&amp;lang=en_US&amp;offset=0&amp;query=any,contains,991001062309702656","Catalog Record")</f>
        <v/>
      </c>
      <c r="AT670">
        <f>HYPERLINK("http://www.worldcat.org/oclc/15791180","WorldCat Record")</f>
        <v/>
      </c>
      <c r="AU670" t="inlineStr">
        <is>
          <t>11552774:eng</t>
        </is>
      </c>
      <c r="AV670" t="inlineStr">
        <is>
          <t>15791180</t>
        </is>
      </c>
      <c r="AW670" t="inlineStr">
        <is>
          <t>991001062309702656</t>
        </is>
      </c>
      <c r="AX670" t="inlineStr">
        <is>
          <t>991001062309702656</t>
        </is>
      </c>
      <c r="AY670" t="inlineStr">
        <is>
          <t>2261831120002656</t>
        </is>
      </c>
      <c r="AZ670" t="inlineStr">
        <is>
          <t>BOOK</t>
        </is>
      </c>
      <c r="BB670" t="inlineStr">
        <is>
          <t>9780060157869</t>
        </is>
      </c>
      <c r="BC670" t="inlineStr">
        <is>
          <t>32285000970847</t>
        </is>
      </c>
      <c r="BD670" t="inlineStr">
        <is>
          <t>893803302</t>
        </is>
      </c>
    </row>
    <row r="671">
      <c r="A671" t="inlineStr">
        <is>
          <t>No</t>
        </is>
      </c>
      <c r="B671" t="inlineStr">
        <is>
          <t>LB1181.2 .M32 2004</t>
        </is>
      </c>
      <c r="C671" t="inlineStr">
        <is>
          <t>0                      LB 1181200M  32          2004</t>
        </is>
      </c>
      <c r="D671" t="inlineStr">
        <is>
          <t>7 strategies of highly effective readers : using cognitive research to boost K-8 achievement / Elaine K. McEwan.</t>
        </is>
      </c>
      <c r="F671" t="inlineStr">
        <is>
          <t>No</t>
        </is>
      </c>
      <c r="G671" t="inlineStr">
        <is>
          <t>1</t>
        </is>
      </c>
      <c r="H671" t="inlineStr">
        <is>
          <t>No</t>
        </is>
      </c>
      <c r="I671" t="inlineStr">
        <is>
          <t>No</t>
        </is>
      </c>
      <c r="J671" t="inlineStr">
        <is>
          <t>0</t>
        </is>
      </c>
      <c r="K671" t="inlineStr">
        <is>
          <t>McEwan-Adkins, Elaine K., 1941-</t>
        </is>
      </c>
      <c r="L671" t="inlineStr">
        <is>
          <t>Thousand Oaks, Calif. : Corwin Press, c2004.</t>
        </is>
      </c>
      <c r="M671" t="inlineStr">
        <is>
          <t>2004</t>
        </is>
      </c>
      <c r="O671" t="inlineStr">
        <is>
          <t>eng</t>
        </is>
      </c>
      <c r="P671" t="inlineStr">
        <is>
          <t>cau</t>
        </is>
      </c>
      <c r="R671" t="inlineStr">
        <is>
          <t xml:space="preserve">LB </t>
        </is>
      </c>
      <c r="S671" t="n">
        <v>1</v>
      </c>
      <c r="T671" t="n">
        <v>1</v>
      </c>
      <c r="U671" t="inlineStr">
        <is>
          <t>2009-02-09</t>
        </is>
      </c>
      <c r="V671" t="inlineStr">
        <is>
          <t>2009-02-09</t>
        </is>
      </c>
      <c r="W671" t="inlineStr">
        <is>
          <t>2009-02-09</t>
        </is>
      </c>
      <c r="X671" t="inlineStr">
        <is>
          <t>2009-02-09</t>
        </is>
      </c>
      <c r="Y671" t="n">
        <v>336</v>
      </c>
      <c r="Z671" t="n">
        <v>295</v>
      </c>
      <c r="AA671" t="n">
        <v>313</v>
      </c>
      <c r="AB671" t="n">
        <v>3</v>
      </c>
      <c r="AC671" t="n">
        <v>4</v>
      </c>
      <c r="AD671" t="n">
        <v>14</v>
      </c>
      <c r="AE671" t="n">
        <v>16</v>
      </c>
      <c r="AF671" t="n">
        <v>5</v>
      </c>
      <c r="AG671" t="n">
        <v>6</v>
      </c>
      <c r="AH671" t="n">
        <v>2</v>
      </c>
      <c r="AI671" t="n">
        <v>3</v>
      </c>
      <c r="AJ671" t="n">
        <v>10</v>
      </c>
      <c r="AK671" t="n">
        <v>10</v>
      </c>
      <c r="AL671" t="n">
        <v>1</v>
      </c>
      <c r="AM671" t="n">
        <v>2</v>
      </c>
      <c r="AN671" t="n">
        <v>0</v>
      </c>
      <c r="AO671" t="n">
        <v>0</v>
      </c>
      <c r="AP671" t="inlineStr">
        <is>
          <t>No</t>
        </is>
      </c>
      <c r="AQ671" t="inlineStr">
        <is>
          <t>Yes</t>
        </is>
      </c>
      <c r="AR671">
        <f>HYPERLINK("http://catalog.hathitrust.org/Record/102032668","HathiTrust Record")</f>
        <v/>
      </c>
      <c r="AS671">
        <f>HYPERLINK("https://creighton-primo.hosted.exlibrisgroup.com/primo-explore/search?tab=default_tab&amp;search_scope=EVERYTHING&amp;vid=01CRU&amp;lang=en_US&amp;offset=0&amp;query=any,contains,991005291859702656","Catalog Record")</f>
        <v/>
      </c>
      <c r="AT671">
        <f>HYPERLINK("http://www.worldcat.org/oclc/53469613","WorldCat Record")</f>
        <v/>
      </c>
      <c r="AU671" t="inlineStr">
        <is>
          <t>315797139:eng</t>
        </is>
      </c>
      <c r="AV671" t="inlineStr">
        <is>
          <t>53469613</t>
        </is>
      </c>
      <c r="AW671" t="inlineStr">
        <is>
          <t>991005291859702656</t>
        </is>
      </c>
      <c r="AX671" t="inlineStr">
        <is>
          <t>991005291859702656</t>
        </is>
      </c>
      <c r="AY671" t="inlineStr">
        <is>
          <t>2259220510002656</t>
        </is>
      </c>
      <c r="AZ671" t="inlineStr">
        <is>
          <t>BOOK</t>
        </is>
      </c>
      <c r="BB671" t="inlineStr">
        <is>
          <t>9780761946205</t>
        </is>
      </c>
      <c r="BC671" t="inlineStr">
        <is>
          <t>32285005503270</t>
        </is>
      </c>
      <c r="BD671" t="inlineStr">
        <is>
          <t>893613458</t>
        </is>
      </c>
    </row>
    <row r="672">
      <c r="A672" t="inlineStr">
        <is>
          <t>No</t>
        </is>
      </c>
      <c r="B672" t="inlineStr">
        <is>
          <t>LB125.A5 A253</t>
        </is>
      </c>
      <c r="C672" t="inlineStr">
        <is>
          <t>0                      LB 0125000A  5                  A  253</t>
        </is>
      </c>
      <c r="D672" t="inlineStr">
        <is>
          <t>The philosophy of teaching : a study in the symbolism of language / A translation of Saint Ausustine's De magistro, by Fr. Francis E. Tourscher.</t>
        </is>
      </c>
      <c r="F672" t="inlineStr">
        <is>
          <t>No</t>
        </is>
      </c>
      <c r="G672" t="inlineStr">
        <is>
          <t>1</t>
        </is>
      </c>
      <c r="H672" t="inlineStr">
        <is>
          <t>No</t>
        </is>
      </c>
      <c r="I672" t="inlineStr">
        <is>
          <t>No</t>
        </is>
      </c>
      <c r="J672" t="inlineStr">
        <is>
          <t>0</t>
        </is>
      </c>
      <c r="K672" t="inlineStr">
        <is>
          <t>Augustine, of Hippo, Saint, 354-430.</t>
        </is>
      </c>
      <c r="L672" t="inlineStr">
        <is>
          <t>Villanova, Pa. : Villanova College, 1924.</t>
        </is>
      </c>
      <c r="M672" t="inlineStr">
        <is>
          <t>1924</t>
        </is>
      </c>
      <c r="O672" t="inlineStr">
        <is>
          <t>eng</t>
        </is>
      </c>
      <c r="P672" t="inlineStr">
        <is>
          <t xml:space="preserve">xx </t>
        </is>
      </c>
      <c r="R672" t="inlineStr">
        <is>
          <t xml:space="preserve">LB </t>
        </is>
      </c>
      <c r="S672" t="n">
        <v>6</v>
      </c>
      <c r="T672" t="n">
        <v>6</v>
      </c>
      <c r="U672" t="inlineStr">
        <is>
          <t>2009-12-13</t>
        </is>
      </c>
      <c r="V672" t="inlineStr">
        <is>
          <t>2009-12-13</t>
        </is>
      </c>
      <c r="W672" t="inlineStr">
        <is>
          <t>1992-10-19</t>
        </is>
      </c>
      <c r="X672" t="inlineStr">
        <is>
          <t>1992-10-19</t>
        </is>
      </c>
      <c r="Y672" t="n">
        <v>73</v>
      </c>
      <c r="Z672" t="n">
        <v>70</v>
      </c>
      <c r="AA672" t="n">
        <v>78</v>
      </c>
      <c r="AB672" t="n">
        <v>2</v>
      </c>
      <c r="AC672" t="n">
        <v>2</v>
      </c>
      <c r="AD672" t="n">
        <v>10</v>
      </c>
      <c r="AE672" t="n">
        <v>10</v>
      </c>
      <c r="AF672" t="n">
        <v>2</v>
      </c>
      <c r="AG672" t="n">
        <v>2</v>
      </c>
      <c r="AH672" t="n">
        <v>3</v>
      </c>
      <c r="AI672" t="n">
        <v>3</v>
      </c>
      <c r="AJ672" t="n">
        <v>6</v>
      </c>
      <c r="AK672" t="n">
        <v>6</v>
      </c>
      <c r="AL672" t="n">
        <v>0</v>
      </c>
      <c r="AM672" t="n">
        <v>0</v>
      </c>
      <c r="AN672" t="n">
        <v>0</v>
      </c>
      <c r="AO672" t="n">
        <v>0</v>
      </c>
      <c r="AP672" t="inlineStr">
        <is>
          <t>Yes</t>
        </is>
      </c>
      <c r="AQ672" t="inlineStr">
        <is>
          <t>No</t>
        </is>
      </c>
      <c r="AR672">
        <f>HYPERLINK("http://catalog.hathitrust.org/Record/102093208","HathiTrust Record")</f>
        <v/>
      </c>
      <c r="AS672">
        <f>HYPERLINK("https://creighton-primo.hosted.exlibrisgroup.com/primo-explore/search?tab=default_tab&amp;search_scope=EVERYTHING&amp;vid=01CRU&amp;lang=en_US&amp;offset=0&amp;query=any,contains,991003860699702656","Catalog Record")</f>
        <v/>
      </c>
      <c r="AT672">
        <f>HYPERLINK("http://www.worldcat.org/oclc/1665664","WorldCat Record")</f>
        <v/>
      </c>
      <c r="AU672" t="inlineStr">
        <is>
          <t>3943452659:eng</t>
        </is>
      </c>
      <c r="AV672" t="inlineStr">
        <is>
          <t>1665664</t>
        </is>
      </c>
      <c r="AW672" t="inlineStr">
        <is>
          <t>991003860699702656</t>
        </is>
      </c>
      <c r="AX672" t="inlineStr">
        <is>
          <t>991003860699702656</t>
        </is>
      </c>
      <c r="AY672" t="inlineStr">
        <is>
          <t>2269035860002656</t>
        </is>
      </c>
      <c r="AZ672" t="inlineStr">
        <is>
          <t>BOOK</t>
        </is>
      </c>
      <c r="BC672" t="inlineStr">
        <is>
          <t>32285001351419</t>
        </is>
      </c>
      <c r="BD672" t="inlineStr">
        <is>
          <t>893337056</t>
        </is>
      </c>
    </row>
    <row r="673">
      <c r="A673" t="inlineStr">
        <is>
          <t>No</t>
        </is>
      </c>
      <c r="B673" t="inlineStr">
        <is>
          <t>LB14.6 .H36 1990</t>
        </is>
      </c>
      <c r="C673" t="inlineStr">
        <is>
          <t>0                      LB 0014600H  36          1990</t>
        </is>
      </c>
      <c r="D673" t="inlineStr">
        <is>
          <t>Learning about education : an unfinished curriculum / David Hamilton.</t>
        </is>
      </c>
      <c r="F673" t="inlineStr">
        <is>
          <t>No</t>
        </is>
      </c>
      <c r="G673" t="inlineStr">
        <is>
          <t>1</t>
        </is>
      </c>
      <c r="H673" t="inlineStr">
        <is>
          <t>No</t>
        </is>
      </c>
      <c r="I673" t="inlineStr">
        <is>
          <t>No</t>
        </is>
      </c>
      <c r="J673" t="inlineStr">
        <is>
          <t>0</t>
        </is>
      </c>
      <c r="K673" t="inlineStr">
        <is>
          <t>Hamilton, David, 1943-</t>
        </is>
      </c>
      <c r="L673" t="inlineStr">
        <is>
          <t>Milton Keynes [England] ; Philadelphia : Open University Press, 1990.</t>
        </is>
      </c>
      <c r="M673" t="inlineStr">
        <is>
          <t>1990</t>
        </is>
      </c>
      <c r="O673" t="inlineStr">
        <is>
          <t>eng</t>
        </is>
      </c>
      <c r="P673" t="inlineStr">
        <is>
          <t>enk</t>
        </is>
      </c>
      <c r="Q673" t="inlineStr">
        <is>
          <t>Innovations in education</t>
        </is>
      </c>
      <c r="R673" t="inlineStr">
        <is>
          <t xml:space="preserve">LB </t>
        </is>
      </c>
      <c r="S673" t="n">
        <v>5</v>
      </c>
      <c r="T673" t="n">
        <v>5</v>
      </c>
      <c r="U673" t="inlineStr">
        <is>
          <t>2005-10-27</t>
        </is>
      </c>
      <c r="V673" t="inlineStr">
        <is>
          <t>2005-10-27</t>
        </is>
      </c>
      <c r="W673" t="inlineStr">
        <is>
          <t>1991-01-14</t>
        </is>
      </c>
      <c r="X673" t="inlineStr">
        <is>
          <t>1991-01-14</t>
        </is>
      </c>
      <c r="Y673" t="n">
        <v>237</v>
      </c>
      <c r="Z673" t="n">
        <v>104</v>
      </c>
      <c r="AA673" t="n">
        <v>108</v>
      </c>
      <c r="AB673" t="n">
        <v>2</v>
      </c>
      <c r="AC673" t="n">
        <v>2</v>
      </c>
      <c r="AD673" t="n">
        <v>7</v>
      </c>
      <c r="AE673" t="n">
        <v>7</v>
      </c>
      <c r="AF673" t="n">
        <v>1</v>
      </c>
      <c r="AG673" t="n">
        <v>1</v>
      </c>
      <c r="AH673" t="n">
        <v>2</v>
      </c>
      <c r="AI673" t="n">
        <v>2</v>
      </c>
      <c r="AJ673" t="n">
        <v>4</v>
      </c>
      <c r="AK673" t="n">
        <v>4</v>
      </c>
      <c r="AL673" t="n">
        <v>1</v>
      </c>
      <c r="AM673" t="n">
        <v>1</v>
      </c>
      <c r="AN673" t="n">
        <v>0</v>
      </c>
      <c r="AO673" t="n">
        <v>0</v>
      </c>
      <c r="AP673" t="inlineStr">
        <is>
          <t>No</t>
        </is>
      </c>
      <c r="AQ673" t="inlineStr">
        <is>
          <t>Yes</t>
        </is>
      </c>
      <c r="AR673">
        <f>HYPERLINK("http://catalog.hathitrust.org/Record/002210097","HathiTrust Record")</f>
        <v/>
      </c>
      <c r="AS673">
        <f>HYPERLINK("https://creighton-primo.hosted.exlibrisgroup.com/primo-explore/search?tab=default_tab&amp;search_scope=EVERYTHING&amp;vid=01CRU&amp;lang=en_US&amp;offset=0&amp;query=any,contains,991001606569702656","Catalog Record")</f>
        <v/>
      </c>
      <c r="AT673">
        <f>HYPERLINK("http://www.worldcat.org/oclc/20693375","WorldCat Record")</f>
        <v/>
      </c>
      <c r="AU673" t="inlineStr">
        <is>
          <t>836752678:eng</t>
        </is>
      </c>
      <c r="AV673" t="inlineStr">
        <is>
          <t>20693375</t>
        </is>
      </c>
      <c r="AW673" t="inlineStr">
        <is>
          <t>991001606569702656</t>
        </is>
      </c>
      <c r="AX673" t="inlineStr">
        <is>
          <t>991001606569702656</t>
        </is>
      </c>
      <c r="AY673" t="inlineStr">
        <is>
          <t>2255360720002656</t>
        </is>
      </c>
      <c r="AZ673" t="inlineStr">
        <is>
          <t>BOOK</t>
        </is>
      </c>
      <c r="BB673" t="inlineStr">
        <is>
          <t>9780335095858</t>
        </is>
      </c>
      <c r="BC673" t="inlineStr">
        <is>
          <t>32285000408095</t>
        </is>
      </c>
      <c r="BD673" t="inlineStr">
        <is>
          <t>893238201</t>
        </is>
      </c>
    </row>
    <row r="674">
      <c r="A674" t="inlineStr">
        <is>
          <t>No</t>
        </is>
      </c>
      <c r="B674" t="inlineStr">
        <is>
          <t>LB1507 .B53 1999</t>
        </is>
      </c>
      <c r="C674" t="inlineStr">
        <is>
          <t>0                      LB 1507000B  53          1999</t>
        </is>
      </c>
      <c r="D674" t="inlineStr">
        <is>
          <t>Building the primary classroom : a complete guide to teaching and learning / Toni Bickart, Judy R. Jablon, Diane Trister Dodge.</t>
        </is>
      </c>
      <c r="F674" t="inlineStr">
        <is>
          <t>No</t>
        </is>
      </c>
      <c r="G674" t="inlineStr">
        <is>
          <t>1</t>
        </is>
      </c>
      <c r="H674" t="inlineStr">
        <is>
          <t>No</t>
        </is>
      </c>
      <c r="I674" t="inlineStr">
        <is>
          <t>No</t>
        </is>
      </c>
      <c r="J674" t="inlineStr">
        <is>
          <t>0</t>
        </is>
      </c>
      <c r="K674" t="inlineStr">
        <is>
          <t>Bickart, Toni S.</t>
        </is>
      </c>
      <c r="L674" t="inlineStr">
        <is>
          <t>Portsmouth, NH : Heinemann, 1999.</t>
        </is>
      </c>
      <c r="M674" t="inlineStr">
        <is>
          <t>1999</t>
        </is>
      </c>
      <c r="O674" t="inlineStr">
        <is>
          <t>eng</t>
        </is>
      </c>
      <c r="P674" t="inlineStr">
        <is>
          <t>nhu</t>
        </is>
      </c>
      <c r="R674" t="inlineStr">
        <is>
          <t xml:space="preserve">LB </t>
        </is>
      </c>
      <c r="S674" t="n">
        <v>3</v>
      </c>
      <c r="T674" t="n">
        <v>3</v>
      </c>
      <c r="U674" t="inlineStr">
        <is>
          <t>2004-05-02</t>
        </is>
      </c>
      <c r="V674" t="inlineStr">
        <is>
          <t>2004-05-02</t>
        </is>
      </c>
      <c r="W674" t="inlineStr">
        <is>
          <t>2000-02-09</t>
        </is>
      </c>
      <c r="X674" t="inlineStr">
        <is>
          <t>2000-02-09</t>
        </is>
      </c>
      <c r="Y674" t="n">
        <v>319</v>
      </c>
      <c r="Z674" t="n">
        <v>291</v>
      </c>
      <c r="AA674" t="n">
        <v>308</v>
      </c>
      <c r="AB674" t="n">
        <v>4</v>
      </c>
      <c r="AC674" t="n">
        <v>4</v>
      </c>
      <c r="AD674" t="n">
        <v>15</v>
      </c>
      <c r="AE674" t="n">
        <v>15</v>
      </c>
      <c r="AF674" t="n">
        <v>6</v>
      </c>
      <c r="AG674" t="n">
        <v>6</v>
      </c>
      <c r="AH674" t="n">
        <v>3</v>
      </c>
      <c r="AI674" t="n">
        <v>3</v>
      </c>
      <c r="AJ674" t="n">
        <v>8</v>
      </c>
      <c r="AK674" t="n">
        <v>8</v>
      </c>
      <c r="AL674" t="n">
        <v>3</v>
      </c>
      <c r="AM674" t="n">
        <v>3</v>
      </c>
      <c r="AN674" t="n">
        <v>0</v>
      </c>
      <c r="AO674" t="n">
        <v>0</v>
      </c>
      <c r="AP674" t="inlineStr">
        <is>
          <t>No</t>
        </is>
      </c>
      <c r="AQ674" t="inlineStr">
        <is>
          <t>Yes</t>
        </is>
      </c>
      <c r="AR674">
        <f>HYPERLINK("http://catalog.hathitrust.org/Record/004100606","HathiTrust Record")</f>
        <v/>
      </c>
      <c r="AS674">
        <f>HYPERLINK("https://creighton-primo.hosted.exlibrisgroup.com/primo-explore/search?tab=default_tab&amp;search_scope=EVERYTHING&amp;vid=01CRU&amp;lang=en_US&amp;offset=0&amp;query=any,contains,991003050619702656","Catalog Record")</f>
        <v/>
      </c>
      <c r="AT674">
        <f>HYPERLINK("http://www.worldcat.org/oclc/43466384","WorldCat Record")</f>
        <v/>
      </c>
      <c r="AU674" t="inlineStr">
        <is>
          <t>796529505:eng</t>
        </is>
      </c>
      <c r="AV674" t="inlineStr">
        <is>
          <t>43466384</t>
        </is>
      </c>
      <c r="AW674" t="inlineStr">
        <is>
          <t>991003050619702656</t>
        </is>
      </c>
      <c r="AX674" t="inlineStr">
        <is>
          <t>991003050619702656</t>
        </is>
      </c>
      <c r="AY674" t="inlineStr">
        <is>
          <t>2265348650002656</t>
        </is>
      </c>
      <c r="AZ674" t="inlineStr">
        <is>
          <t>BOOK</t>
        </is>
      </c>
      <c r="BB674" t="inlineStr">
        <is>
          <t>9781879537385</t>
        </is>
      </c>
      <c r="BC674" t="inlineStr">
        <is>
          <t>32285003660775</t>
        </is>
      </c>
      <c r="BD674" t="inlineStr">
        <is>
          <t>893428388</t>
        </is>
      </c>
    </row>
    <row r="675">
      <c r="A675" t="inlineStr">
        <is>
          <t>No</t>
        </is>
      </c>
      <c r="B675" t="inlineStr">
        <is>
          <t>LB1525 .C57 1991</t>
        </is>
      </c>
      <c r="C675" t="inlineStr">
        <is>
          <t>0                      LB 1525000C  57          1991</t>
        </is>
      </c>
      <c r="D675" t="inlineStr">
        <is>
          <t>Becoming literate : the construction of inner control / Marie M. Clay.</t>
        </is>
      </c>
      <c r="F675" t="inlineStr">
        <is>
          <t>No</t>
        </is>
      </c>
      <c r="G675" t="inlineStr">
        <is>
          <t>1</t>
        </is>
      </c>
      <c r="H675" t="inlineStr">
        <is>
          <t>No</t>
        </is>
      </c>
      <c r="I675" t="inlineStr">
        <is>
          <t>No</t>
        </is>
      </c>
      <c r="J675" t="inlineStr">
        <is>
          <t>0</t>
        </is>
      </c>
      <c r="K675" t="inlineStr">
        <is>
          <t>Clay, Marie M.</t>
        </is>
      </c>
      <c r="L675" t="inlineStr">
        <is>
          <t>Portsmouth, N.H. : Heinemann, 1991</t>
        </is>
      </c>
      <c r="M675" t="inlineStr">
        <is>
          <t>1991</t>
        </is>
      </c>
      <c r="O675" t="inlineStr">
        <is>
          <t>eng</t>
        </is>
      </c>
      <c r="P675" t="inlineStr">
        <is>
          <t>nhu</t>
        </is>
      </c>
      <c r="R675" t="inlineStr">
        <is>
          <t xml:space="preserve">LB </t>
        </is>
      </c>
      <c r="S675" t="n">
        <v>1</v>
      </c>
      <c r="T675" t="n">
        <v>1</v>
      </c>
      <c r="U675" t="inlineStr">
        <is>
          <t>2006-11-07</t>
        </is>
      </c>
      <c r="V675" t="inlineStr">
        <is>
          <t>2006-11-07</t>
        </is>
      </c>
      <c r="W675" t="inlineStr">
        <is>
          <t>2006-11-07</t>
        </is>
      </c>
      <c r="X675" t="inlineStr">
        <is>
          <t>2006-11-07</t>
        </is>
      </c>
      <c r="Y675" t="n">
        <v>602</v>
      </c>
      <c r="Z675" t="n">
        <v>466</v>
      </c>
      <c r="AA675" t="n">
        <v>551</v>
      </c>
      <c r="AB675" t="n">
        <v>9</v>
      </c>
      <c r="AC675" t="n">
        <v>10</v>
      </c>
      <c r="AD675" t="n">
        <v>25</v>
      </c>
      <c r="AE675" t="n">
        <v>29</v>
      </c>
      <c r="AF675" t="n">
        <v>10</v>
      </c>
      <c r="AG675" t="n">
        <v>12</v>
      </c>
      <c r="AH675" t="n">
        <v>4</v>
      </c>
      <c r="AI675" t="n">
        <v>4</v>
      </c>
      <c r="AJ675" t="n">
        <v>11</v>
      </c>
      <c r="AK675" t="n">
        <v>13</v>
      </c>
      <c r="AL675" t="n">
        <v>6</v>
      </c>
      <c r="AM675" t="n">
        <v>7</v>
      </c>
      <c r="AN675" t="n">
        <v>0</v>
      </c>
      <c r="AO675" t="n">
        <v>0</v>
      </c>
      <c r="AP675" t="inlineStr">
        <is>
          <t>No</t>
        </is>
      </c>
      <c r="AQ675" t="inlineStr">
        <is>
          <t>Yes</t>
        </is>
      </c>
      <c r="AR675">
        <f>HYPERLINK("http://catalog.hathitrust.org/Record/002478602","HathiTrust Record")</f>
        <v/>
      </c>
      <c r="AS675">
        <f>HYPERLINK("https://creighton-primo.hosted.exlibrisgroup.com/primo-explore/search?tab=default_tab&amp;search_scope=EVERYTHING&amp;vid=01CRU&amp;lang=en_US&amp;offset=0&amp;query=any,contains,991004971429702656","Catalog Record")</f>
        <v/>
      </c>
      <c r="AT675">
        <f>HYPERLINK("http://www.worldcat.org/oclc/22812363","WorldCat Record")</f>
        <v/>
      </c>
      <c r="AU675" t="inlineStr">
        <is>
          <t>639237:eng</t>
        </is>
      </c>
      <c r="AV675" t="inlineStr">
        <is>
          <t>22812363</t>
        </is>
      </c>
      <c r="AW675" t="inlineStr">
        <is>
          <t>991004971429702656</t>
        </is>
      </c>
      <c r="AX675" t="inlineStr">
        <is>
          <t>991004971429702656</t>
        </is>
      </c>
      <c r="AY675" t="inlineStr">
        <is>
          <t>2264689640002656</t>
        </is>
      </c>
      <c r="AZ675" t="inlineStr">
        <is>
          <t>BOOK</t>
        </is>
      </c>
      <c r="BB675" t="inlineStr">
        <is>
          <t>9780435085742</t>
        </is>
      </c>
      <c r="BC675" t="inlineStr">
        <is>
          <t>32285005237010</t>
        </is>
      </c>
      <c r="BD675" t="inlineStr">
        <is>
          <t>893713270</t>
        </is>
      </c>
    </row>
    <row r="676">
      <c r="A676" t="inlineStr">
        <is>
          <t>No</t>
        </is>
      </c>
      <c r="B676" t="inlineStr">
        <is>
          <t>LB1525 .C59 1982</t>
        </is>
      </c>
      <c r="C676" t="inlineStr">
        <is>
          <t>0                      LB 1525000C  59          1982</t>
        </is>
      </c>
      <c r="D676" t="inlineStr">
        <is>
          <t>Observing young readers : selected papers / Marie M. Clay.</t>
        </is>
      </c>
      <c r="F676" t="inlineStr">
        <is>
          <t>No</t>
        </is>
      </c>
      <c r="G676" t="inlineStr">
        <is>
          <t>1</t>
        </is>
      </c>
      <c r="H676" t="inlineStr">
        <is>
          <t>No</t>
        </is>
      </c>
      <c r="I676" t="inlineStr">
        <is>
          <t>No</t>
        </is>
      </c>
      <c r="J676" t="inlineStr">
        <is>
          <t>0</t>
        </is>
      </c>
      <c r="K676" t="inlineStr">
        <is>
          <t>Clay, Marie M.</t>
        </is>
      </c>
      <c r="L676" t="inlineStr">
        <is>
          <t>Exeter, N.H. : Heinemann, 1982.</t>
        </is>
      </c>
      <c r="M676" t="inlineStr">
        <is>
          <t>1982</t>
        </is>
      </c>
      <c r="O676" t="inlineStr">
        <is>
          <t>eng</t>
        </is>
      </c>
      <c r="P676" t="inlineStr">
        <is>
          <t>nhu</t>
        </is>
      </c>
      <c r="R676" t="inlineStr">
        <is>
          <t xml:space="preserve">LB </t>
        </is>
      </c>
      <c r="S676" t="n">
        <v>3</v>
      </c>
      <c r="T676" t="n">
        <v>3</v>
      </c>
      <c r="U676" t="inlineStr">
        <is>
          <t>2010-06-16</t>
        </is>
      </c>
      <c r="V676" t="inlineStr">
        <is>
          <t>2010-06-16</t>
        </is>
      </c>
      <c r="W676" t="inlineStr">
        <is>
          <t>1992-04-28</t>
        </is>
      </c>
      <c r="X676" t="inlineStr">
        <is>
          <t>1992-04-28</t>
        </is>
      </c>
      <c r="Y676" t="n">
        <v>577</v>
      </c>
      <c r="Z676" t="n">
        <v>430</v>
      </c>
      <c r="AA676" t="n">
        <v>439</v>
      </c>
      <c r="AB676" t="n">
        <v>5</v>
      </c>
      <c r="AC676" t="n">
        <v>5</v>
      </c>
      <c r="AD676" t="n">
        <v>18</v>
      </c>
      <c r="AE676" t="n">
        <v>18</v>
      </c>
      <c r="AF676" t="n">
        <v>7</v>
      </c>
      <c r="AG676" t="n">
        <v>7</v>
      </c>
      <c r="AH676" t="n">
        <v>3</v>
      </c>
      <c r="AI676" t="n">
        <v>3</v>
      </c>
      <c r="AJ676" t="n">
        <v>9</v>
      </c>
      <c r="AK676" t="n">
        <v>9</v>
      </c>
      <c r="AL676" t="n">
        <v>4</v>
      </c>
      <c r="AM676" t="n">
        <v>4</v>
      </c>
      <c r="AN676" t="n">
        <v>0</v>
      </c>
      <c r="AO676" t="n">
        <v>0</v>
      </c>
      <c r="AP676" t="inlineStr">
        <is>
          <t>No</t>
        </is>
      </c>
      <c r="AQ676" t="inlineStr">
        <is>
          <t>Yes</t>
        </is>
      </c>
      <c r="AR676">
        <f>HYPERLINK("http://catalog.hathitrust.org/Record/000144973","HathiTrust Record")</f>
        <v/>
      </c>
      <c r="AS676">
        <f>HYPERLINK("https://creighton-primo.hosted.exlibrisgroup.com/primo-explore/search?tab=default_tab&amp;search_scope=EVERYTHING&amp;vid=01CRU&amp;lang=en_US&amp;offset=0&amp;query=any,contains,991000065019702656","Catalog Record")</f>
        <v/>
      </c>
      <c r="AT676">
        <f>HYPERLINK("http://www.worldcat.org/oclc/8763161","WorldCat Record")</f>
        <v/>
      </c>
      <c r="AU676" t="inlineStr">
        <is>
          <t>863339505:eng</t>
        </is>
      </c>
      <c r="AV676" t="inlineStr">
        <is>
          <t>8763161</t>
        </is>
      </c>
      <c r="AW676" t="inlineStr">
        <is>
          <t>991000065019702656</t>
        </is>
      </c>
      <c r="AX676" t="inlineStr">
        <is>
          <t>991000065019702656</t>
        </is>
      </c>
      <c r="AY676" t="inlineStr">
        <is>
          <t>2266585460002656</t>
        </is>
      </c>
      <c r="AZ676" t="inlineStr">
        <is>
          <t>BOOK</t>
        </is>
      </c>
      <c r="BB676" t="inlineStr">
        <is>
          <t>9780435082000</t>
        </is>
      </c>
      <c r="BC676" t="inlineStr">
        <is>
          <t>32285001089779</t>
        </is>
      </c>
      <c r="BD676" t="inlineStr">
        <is>
          <t>893689376</t>
        </is>
      </c>
    </row>
    <row r="677">
      <c r="A677" t="inlineStr">
        <is>
          <t>No</t>
        </is>
      </c>
      <c r="B677" t="inlineStr">
        <is>
          <t>LB1525 .R39 1998</t>
        </is>
      </c>
      <c r="C677" t="inlineStr">
        <is>
          <t>0                      LB 1525000R  39          1998</t>
        </is>
      </c>
      <c r="D677" t="inlineStr">
        <is>
          <t>Reconsidering a balanced approach to reading / edited by Constance Weaver.</t>
        </is>
      </c>
      <c r="F677" t="inlineStr">
        <is>
          <t>No</t>
        </is>
      </c>
      <c r="G677" t="inlineStr">
        <is>
          <t>1</t>
        </is>
      </c>
      <c r="H677" t="inlineStr">
        <is>
          <t>No</t>
        </is>
      </c>
      <c r="I677" t="inlineStr">
        <is>
          <t>No</t>
        </is>
      </c>
      <c r="J677" t="inlineStr">
        <is>
          <t>0</t>
        </is>
      </c>
      <c r="L677" t="inlineStr">
        <is>
          <t>Urbana, Ill. : National Council of Teachers of English, c1998.</t>
        </is>
      </c>
      <c r="M677" t="inlineStr">
        <is>
          <t>1998</t>
        </is>
      </c>
      <c r="O677" t="inlineStr">
        <is>
          <t>eng</t>
        </is>
      </c>
      <c r="P677" t="inlineStr">
        <is>
          <t>ilu</t>
        </is>
      </c>
      <c r="R677" t="inlineStr">
        <is>
          <t xml:space="preserve">LB </t>
        </is>
      </c>
      <c r="S677" t="n">
        <v>6</v>
      </c>
      <c r="T677" t="n">
        <v>6</v>
      </c>
      <c r="U677" t="inlineStr">
        <is>
          <t>2003-10-01</t>
        </is>
      </c>
      <c r="V677" t="inlineStr">
        <is>
          <t>2003-10-01</t>
        </is>
      </c>
      <c r="W677" t="inlineStr">
        <is>
          <t>1998-08-04</t>
        </is>
      </c>
      <c r="X677" t="inlineStr">
        <is>
          <t>1998-08-04</t>
        </is>
      </c>
      <c r="Y677" t="n">
        <v>441</v>
      </c>
      <c r="Z677" t="n">
        <v>383</v>
      </c>
      <c r="AA677" t="n">
        <v>396</v>
      </c>
      <c r="AB677" t="n">
        <v>3</v>
      </c>
      <c r="AC677" t="n">
        <v>3</v>
      </c>
      <c r="AD677" t="n">
        <v>18</v>
      </c>
      <c r="AE677" t="n">
        <v>19</v>
      </c>
      <c r="AF677" t="n">
        <v>9</v>
      </c>
      <c r="AG677" t="n">
        <v>10</v>
      </c>
      <c r="AH677" t="n">
        <v>2</v>
      </c>
      <c r="AI677" t="n">
        <v>2</v>
      </c>
      <c r="AJ677" t="n">
        <v>9</v>
      </c>
      <c r="AK677" t="n">
        <v>9</v>
      </c>
      <c r="AL677" t="n">
        <v>2</v>
      </c>
      <c r="AM677" t="n">
        <v>2</v>
      </c>
      <c r="AN677" t="n">
        <v>0</v>
      </c>
      <c r="AO677" t="n">
        <v>0</v>
      </c>
      <c r="AP677" t="inlineStr">
        <is>
          <t>No</t>
        </is>
      </c>
      <c r="AQ677" t="inlineStr">
        <is>
          <t>Yes</t>
        </is>
      </c>
      <c r="AR677">
        <f>HYPERLINK("http://catalog.hathitrust.org/Record/004032877","HathiTrust Record")</f>
        <v/>
      </c>
      <c r="AS677">
        <f>HYPERLINK("https://creighton-primo.hosted.exlibrisgroup.com/primo-explore/search?tab=default_tab&amp;search_scope=EVERYTHING&amp;vid=01CRU&amp;lang=en_US&amp;offset=0&amp;query=any,contains,991002842059702656","Catalog Record")</f>
        <v/>
      </c>
      <c r="AT677">
        <f>HYPERLINK("http://www.worldcat.org/oclc/37443114","WorldCat Record")</f>
        <v/>
      </c>
      <c r="AU677" t="inlineStr">
        <is>
          <t>620697:eng</t>
        </is>
      </c>
      <c r="AV677" t="inlineStr">
        <is>
          <t>37443114</t>
        </is>
      </c>
      <c r="AW677" t="inlineStr">
        <is>
          <t>991002842059702656</t>
        </is>
      </c>
      <c r="AX677" t="inlineStr">
        <is>
          <t>991002842059702656</t>
        </is>
      </c>
      <c r="AY677" t="inlineStr">
        <is>
          <t>2262309020002656</t>
        </is>
      </c>
      <c r="AZ677" t="inlineStr">
        <is>
          <t>BOOK</t>
        </is>
      </c>
      <c r="BB677" t="inlineStr">
        <is>
          <t>9780814102343</t>
        </is>
      </c>
      <c r="BC677" t="inlineStr">
        <is>
          <t>32285003448742</t>
        </is>
      </c>
      <c r="BD677" t="inlineStr">
        <is>
          <t>893233495</t>
        </is>
      </c>
    </row>
    <row r="678">
      <c r="A678" t="inlineStr">
        <is>
          <t>No</t>
        </is>
      </c>
      <c r="B678" t="inlineStr">
        <is>
          <t>LB1525 .S35 1982</t>
        </is>
      </c>
      <c r="C678" t="inlineStr">
        <is>
          <t>0                      LB 1525000S  35          1982</t>
        </is>
      </c>
      <c r="D678" t="inlineStr">
        <is>
          <t>Classroom reading inventory / Nicholas J. Silvaroli.</t>
        </is>
      </c>
      <c r="F678" t="inlineStr">
        <is>
          <t>No</t>
        </is>
      </c>
      <c r="G678" t="inlineStr">
        <is>
          <t>1</t>
        </is>
      </c>
      <c r="H678" t="inlineStr">
        <is>
          <t>No</t>
        </is>
      </c>
      <c r="I678" t="inlineStr">
        <is>
          <t>No</t>
        </is>
      </c>
      <c r="J678" t="inlineStr">
        <is>
          <t>0</t>
        </is>
      </c>
      <c r="K678" t="inlineStr">
        <is>
          <t>Silvaroli, Nicholas.</t>
        </is>
      </c>
      <c r="L678" t="inlineStr">
        <is>
          <t>Dubuque, Iowa : Wm. C. Brown, c1982.</t>
        </is>
      </c>
      <c r="M678" t="inlineStr">
        <is>
          <t>1982</t>
        </is>
      </c>
      <c r="N678" t="inlineStr">
        <is>
          <t>4th ed.</t>
        </is>
      </c>
      <c r="O678" t="inlineStr">
        <is>
          <t>eng</t>
        </is>
      </c>
      <c r="P678" t="inlineStr">
        <is>
          <t>iau</t>
        </is>
      </c>
      <c r="R678" t="inlineStr">
        <is>
          <t xml:space="preserve">LB </t>
        </is>
      </c>
      <c r="S678" t="n">
        <v>3</v>
      </c>
      <c r="T678" t="n">
        <v>3</v>
      </c>
      <c r="U678" t="inlineStr">
        <is>
          <t>2009-02-18</t>
        </is>
      </c>
      <c r="V678" t="inlineStr">
        <is>
          <t>2009-02-18</t>
        </is>
      </c>
      <c r="W678" t="inlineStr">
        <is>
          <t>1993-01-26</t>
        </is>
      </c>
      <c r="X678" t="inlineStr">
        <is>
          <t>1993-01-26</t>
        </is>
      </c>
      <c r="Y678" t="n">
        <v>69</v>
      </c>
      <c r="Z678" t="n">
        <v>61</v>
      </c>
      <c r="AA678" t="n">
        <v>495</v>
      </c>
      <c r="AB678" t="n">
        <v>2</v>
      </c>
      <c r="AC678" t="n">
        <v>8</v>
      </c>
      <c r="AD678" t="n">
        <v>2</v>
      </c>
      <c r="AE678" t="n">
        <v>25</v>
      </c>
      <c r="AF678" t="n">
        <v>0</v>
      </c>
      <c r="AG678" t="n">
        <v>9</v>
      </c>
      <c r="AH678" t="n">
        <v>0</v>
      </c>
      <c r="AI678" t="n">
        <v>3</v>
      </c>
      <c r="AJ678" t="n">
        <v>2</v>
      </c>
      <c r="AK678" t="n">
        <v>11</v>
      </c>
      <c r="AL678" t="n">
        <v>0</v>
      </c>
      <c r="AM678" t="n">
        <v>6</v>
      </c>
      <c r="AN678" t="n">
        <v>0</v>
      </c>
      <c r="AO678" t="n">
        <v>0</v>
      </c>
      <c r="AP678" t="inlineStr">
        <is>
          <t>No</t>
        </is>
      </c>
      <c r="AQ678" t="inlineStr">
        <is>
          <t>No</t>
        </is>
      </c>
      <c r="AS678">
        <f>HYPERLINK("https://creighton-primo.hosted.exlibrisgroup.com/primo-explore/search?tab=default_tab&amp;search_scope=EVERYTHING&amp;vid=01CRU&amp;lang=en_US&amp;offset=0&amp;query=any,contains,991005246239702656","Catalog Record")</f>
        <v/>
      </c>
      <c r="AT678">
        <f>HYPERLINK("http://www.worldcat.org/oclc/8460531","WorldCat Record")</f>
        <v/>
      </c>
      <c r="AU678" t="inlineStr">
        <is>
          <t>60330:eng</t>
        </is>
      </c>
      <c r="AV678" t="inlineStr">
        <is>
          <t>8460531</t>
        </is>
      </c>
      <c r="AW678" t="inlineStr">
        <is>
          <t>991005246239702656</t>
        </is>
      </c>
      <c r="AX678" t="inlineStr">
        <is>
          <t>991005246239702656</t>
        </is>
      </c>
      <c r="AY678" t="inlineStr">
        <is>
          <t>2258565080002656</t>
        </is>
      </c>
      <c r="AZ678" t="inlineStr">
        <is>
          <t>BOOK</t>
        </is>
      </c>
      <c r="BB678" t="inlineStr">
        <is>
          <t>9780697061898</t>
        </is>
      </c>
      <c r="BC678" t="inlineStr">
        <is>
          <t>32285001477883</t>
        </is>
      </c>
      <c r="BD678" t="inlineStr">
        <is>
          <t>893777095</t>
        </is>
      </c>
    </row>
    <row r="679">
      <c r="A679" t="inlineStr">
        <is>
          <t>No</t>
        </is>
      </c>
      <c r="B679" t="inlineStr">
        <is>
          <t>LB1525 .T32 2000</t>
        </is>
      </c>
      <c r="C679" t="inlineStr">
        <is>
          <t>0                      LB 1525000T  32          2000</t>
        </is>
      </c>
      <c r="D679" t="inlineStr">
        <is>
          <t>On solid ground : strategies for teaching reading K-3 / Sharon Taberski ; foreword by Shelley Harwayne.</t>
        </is>
      </c>
      <c r="F679" t="inlineStr">
        <is>
          <t>No</t>
        </is>
      </c>
      <c r="G679" t="inlineStr">
        <is>
          <t>1</t>
        </is>
      </c>
      <c r="H679" t="inlineStr">
        <is>
          <t>No</t>
        </is>
      </c>
      <c r="I679" t="inlineStr">
        <is>
          <t>No</t>
        </is>
      </c>
      <c r="J679" t="inlineStr">
        <is>
          <t>0</t>
        </is>
      </c>
      <c r="K679" t="inlineStr">
        <is>
          <t>Taberski, Sharon.</t>
        </is>
      </c>
      <c r="L679" t="inlineStr">
        <is>
          <t>Portsmouth, NH : Heinemann, c 2000.</t>
        </is>
      </c>
      <c r="M679" t="inlineStr">
        <is>
          <t>2000</t>
        </is>
      </c>
      <c r="O679" t="inlineStr">
        <is>
          <t>eng</t>
        </is>
      </c>
      <c r="P679" t="inlineStr">
        <is>
          <t>nhu</t>
        </is>
      </c>
      <c r="R679" t="inlineStr">
        <is>
          <t xml:space="preserve">LB </t>
        </is>
      </c>
      <c r="S679" t="n">
        <v>3</v>
      </c>
      <c r="T679" t="n">
        <v>3</v>
      </c>
      <c r="U679" t="inlineStr">
        <is>
          <t>2001-06-01</t>
        </is>
      </c>
      <c r="V679" t="inlineStr">
        <is>
          <t>2001-06-01</t>
        </is>
      </c>
      <c r="W679" t="inlineStr">
        <is>
          <t>2001-01-04</t>
        </is>
      </c>
      <c r="X679" t="inlineStr">
        <is>
          <t>2001-01-04</t>
        </is>
      </c>
      <c r="Y679" t="n">
        <v>536</v>
      </c>
      <c r="Z679" t="n">
        <v>472</v>
      </c>
      <c r="AA679" t="n">
        <v>478</v>
      </c>
      <c r="AB679" t="n">
        <v>4</v>
      </c>
      <c r="AC679" t="n">
        <v>4</v>
      </c>
      <c r="AD679" t="n">
        <v>22</v>
      </c>
      <c r="AE679" t="n">
        <v>22</v>
      </c>
      <c r="AF679" t="n">
        <v>7</v>
      </c>
      <c r="AG679" t="n">
        <v>7</v>
      </c>
      <c r="AH679" t="n">
        <v>3</v>
      </c>
      <c r="AI679" t="n">
        <v>3</v>
      </c>
      <c r="AJ679" t="n">
        <v>15</v>
      </c>
      <c r="AK679" t="n">
        <v>15</v>
      </c>
      <c r="AL679" t="n">
        <v>2</v>
      </c>
      <c r="AM679" t="n">
        <v>2</v>
      </c>
      <c r="AN679" t="n">
        <v>0</v>
      </c>
      <c r="AO679" t="n">
        <v>0</v>
      </c>
      <c r="AP679" t="inlineStr">
        <is>
          <t>No</t>
        </is>
      </c>
      <c r="AQ679" t="inlineStr">
        <is>
          <t>Yes</t>
        </is>
      </c>
      <c r="AR679">
        <f>HYPERLINK("http://catalog.hathitrust.org/Record/004106545","HathiTrust Record")</f>
        <v/>
      </c>
      <c r="AS679">
        <f>HYPERLINK("https://creighton-primo.hosted.exlibrisgroup.com/primo-explore/search?tab=default_tab&amp;search_scope=EVERYTHING&amp;vid=01CRU&amp;lang=en_US&amp;offset=0&amp;query=any,contains,991003359239702656","Catalog Record")</f>
        <v/>
      </c>
      <c r="AT679">
        <f>HYPERLINK("http://www.worldcat.org/oclc/43245506","WorldCat Record")</f>
        <v/>
      </c>
      <c r="AU679" t="inlineStr">
        <is>
          <t>796433208:eng</t>
        </is>
      </c>
      <c r="AV679" t="inlineStr">
        <is>
          <t>43245506</t>
        </is>
      </c>
      <c r="AW679" t="inlineStr">
        <is>
          <t>991003359239702656</t>
        </is>
      </c>
      <c r="AX679" t="inlineStr">
        <is>
          <t>991003359239702656</t>
        </is>
      </c>
      <c r="AY679" t="inlineStr">
        <is>
          <t>2266137350002656</t>
        </is>
      </c>
      <c r="AZ679" t="inlineStr">
        <is>
          <t>BOOK</t>
        </is>
      </c>
      <c r="BB679" t="inlineStr">
        <is>
          <t>9780325002279</t>
        </is>
      </c>
      <c r="BC679" t="inlineStr">
        <is>
          <t>32285004279435</t>
        </is>
      </c>
      <c r="BD679" t="inlineStr">
        <is>
          <t>893799646</t>
        </is>
      </c>
    </row>
    <row r="680">
      <c r="A680" t="inlineStr">
        <is>
          <t>No</t>
        </is>
      </c>
      <c r="B680" t="inlineStr">
        <is>
          <t>LB1525 .W55 2002</t>
        </is>
      </c>
      <c r="C680" t="inlineStr">
        <is>
          <t>0                      LB 1525000W  55          2002</t>
        </is>
      </c>
      <c r="D680" t="inlineStr">
        <is>
          <t>Reading to live : how to teach reading for today's world / Lorraine Wilson.</t>
        </is>
      </c>
      <c r="F680" t="inlineStr">
        <is>
          <t>No</t>
        </is>
      </c>
      <c r="G680" t="inlineStr">
        <is>
          <t>1</t>
        </is>
      </c>
      <c r="H680" t="inlineStr">
        <is>
          <t>No</t>
        </is>
      </c>
      <c r="I680" t="inlineStr">
        <is>
          <t>No</t>
        </is>
      </c>
      <c r="J680" t="inlineStr">
        <is>
          <t>0</t>
        </is>
      </c>
      <c r="K680" t="inlineStr">
        <is>
          <t>Wilson, Lorraine.</t>
        </is>
      </c>
      <c r="L680" t="inlineStr">
        <is>
          <t>Portsmouth, NH : Heinemann, c2002.</t>
        </is>
      </c>
      <c r="M680" t="inlineStr">
        <is>
          <t>2002</t>
        </is>
      </c>
      <c r="O680" t="inlineStr">
        <is>
          <t>eng</t>
        </is>
      </c>
      <c r="P680" t="inlineStr">
        <is>
          <t>nhu</t>
        </is>
      </c>
      <c r="R680" t="inlineStr">
        <is>
          <t xml:space="preserve">LB </t>
        </is>
      </c>
      <c r="S680" t="n">
        <v>2</v>
      </c>
      <c r="T680" t="n">
        <v>2</v>
      </c>
      <c r="U680" t="inlineStr">
        <is>
          <t>2009-02-25</t>
        </is>
      </c>
      <c r="V680" t="inlineStr">
        <is>
          <t>2009-02-25</t>
        </is>
      </c>
      <c r="W680" t="inlineStr">
        <is>
          <t>2002-11-04</t>
        </is>
      </c>
      <c r="X680" t="inlineStr">
        <is>
          <t>2002-11-04</t>
        </is>
      </c>
      <c r="Y680" t="n">
        <v>263</v>
      </c>
      <c r="Z680" t="n">
        <v>198</v>
      </c>
      <c r="AA680" t="n">
        <v>201</v>
      </c>
      <c r="AB680" t="n">
        <v>1</v>
      </c>
      <c r="AC680" t="n">
        <v>1</v>
      </c>
      <c r="AD680" t="n">
        <v>4</v>
      </c>
      <c r="AE680" t="n">
        <v>4</v>
      </c>
      <c r="AF680" t="n">
        <v>1</v>
      </c>
      <c r="AG680" t="n">
        <v>1</v>
      </c>
      <c r="AH680" t="n">
        <v>3</v>
      </c>
      <c r="AI680" t="n">
        <v>3</v>
      </c>
      <c r="AJ680" t="n">
        <v>3</v>
      </c>
      <c r="AK680" t="n">
        <v>3</v>
      </c>
      <c r="AL680" t="n">
        <v>0</v>
      </c>
      <c r="AM680" t="n">
        <v>0</v>
      </c>
      <c r="AN680" t="n">
        <v>0</v>
      </c>
      <c r="AO680" t="n">
        <v>0</v>
      </c>
      <c r="AP680" t="inlineStr">
        <is>
          <t>No</t>
        </is>
      </c>
      <c r="AQ680" t="inlineStr">
        <is>
          <t>Yes</t>
        </is>
      </c>
      <c r="AR680">
        <f>HYPERLINK("http://catalog.hathitrust.org/Record/004303602","HathiTrust Record")</f>
        <v/>
      </c>
      <c r="AS680">
        <f>HYPERLINK("https://creighton-primo.hosted.exlibrisgroup.com/primo-explore/search?tab=default_tab&amp;search_scope=EVERYTHING&amp;vid=01CRU&amp;lang=en_US&amp;offset=0&amp;query=any,contains,991003898339702656","Catalog Record")</f>
        <v/>
      </c>
      <c r="AT680">
        <f>HYPERLINK("http://www.worldcat.org/oclc/47764294","WorldCat Record")</f>
        <v/>
      </c>
      <c r="AU680" t="inlineStr">
        <is>
          <t>909888130:eng</t>
        </is>
      </c>
      <c r="AV680" t="inlineStr">
        <is>
          <t>47764294</t>
        </is>
      </c>
      <c r="AW680" t="inlineStr">
        <is>
          <t>991003898339702656</t>
        </is>
      </c>
      <c r="AX680" t="inlineStr">
        <is>
          <t>991003898339702656</t>
        </is>
      </c>
      <c r="AY680" t="inlineStr">
        <is>
          <t>2263687410002656</t>
        </is>
      </c>
      <c r="AZ680" t="inlineStr">
        <is>
          <t>BOOK</t>
        </is>
      </c>
      <c r="BB680" t="inlineStr">
        <is>
          <t>9780325004235</t>
        </is>
      </c>
      <c r="BC680" t="inlineStr">
        <is>
          <t>32285004659503</t>
        </is>
      </c>
      <c r="BD680" t="inlineStr">
        <is>
          <t>893624106</t>
        </is>
      </c>
    </row>
    <row r="681">
      <c r="A681" t="inlineStr">
        <is>
          <t>No</t>
        </is>
      </c>
      <c r="B681" t="inlineStr">
        <is>
          <t>LB1525.55 .C68 1984</t>
        </is>
      </c>
      <c r="C681" t="inlineStr">
        <is>
          <t>0                      LB 1525550C  68          1984</t>
        </is>
      </c>
      <c r="D681" t="inlineStr">
        <is>
          <t>Alphabet fun &amp; games : activities and game sheets for teaching the alphabet / Jill M. Coudron ; [illustrator, Susan True].</t>
        </is>
      </c>
      <c r="F681" t="inlineStr">
        <is>
          <t>No</t>
        </is>
      </c>
      <c r="G681" t="inlineStr">
        <is>
          <t>1</t>
        </is>
      </c>
      <c r="H681" t="inlineStr">
        <is>
          <t>No</t>
        </is>
      </c>
      <c r="I681" t="inlineStr">
        <is>
          <t>No</t>
        </is>
      </c>
      <c r="J681" t="inlineStr">
        <is>
          <t>0</t>
        </is>
      </c>
      <c r="K681" t="inlineStr">
        <is>
          <t>Coudron, Jill M.</t>
        </is>
      </c>
      <c r="L681" t="inlineStr">
        <is>
          <t>Belmont, Calif. : Fearon Teacher Aids, c1984.</t>
        </is>
      </c>
      <c r="M681" t="inlineStr">
        <is>
          <t>1984</t>
        </is>
      </c>
      <c r="O681" t="inlineStr">
        <is>
          <t>eng</t>
        </is>
      </c>
      <c r="P681" t="inlineStr">
        <is>
          <t>cau</t>
        </is>
      </c>
      <c r="Q681" t="inlineStr">
        <is>
          <t>Makemaster blackline masters</t>
        </is>
      </c>
      <c r="R681" t="inlineStr">
        <is>
          <t xml:space="preserve">LB </t>
        </is>
      </c>
      <c r="S681" t="n">
        <v>9</v>
      </c>
      <c r="T681" t="n">
        <v>9</v>
      </c>
      <c r="U681" t="inlineStr">
        <is>
          <t>2009-02-18</t>
        </is>
      </c>
      <c r="V681" t="inlineStr">
        <is>
          <t>2009-02-18</t>
        </is>
      </c>
      <c r="W681" t="inlineStr">
        <is>
          <t>1993-07-26</t>
        </is>
      </c>
      <c r="X681" t="inlineStr">
        <is>
          <t>1993-07-26</t>
        </is>
      </c>
      <c r="Y681" t="n">
        <v>52</v>
      </c>
      <c r="Z681" t="n">
        <v>49</v>
      </c>
      <c r="AA681" t="n">
        <v>49</v>
      </c>
      <c r="AB681" t="n">
        <v>1</v>
      </c>
      <c r="AC681" t="n">
        <v>1</v>
      </c>
      <c r="AD681" t="n">
        <v>0</v>
      </c>
      <c r="AE681" t="n">
        <v>0</v>
      </c>
      <c r="AF681" t="n">
        <v>0</v>
      </c>
      <c r="AG681" t="n">
        <v>0</v>
      </c>
      <c r="AH681" t="n">
        <v>0</v>
      </c>
      <c r="AI681" t="n">
        <v>0</v>
      </c>
      <c r="AJ681" t="n">
        <v>0</v>
      </c>
      <c r="AK681" t="n">
        <v>0</v>
      </c>
      <c r="AL681" t="n">
        <v>0</v>
      </c>
      <c r="AM681" t="n">
        <v>0</v>
      </c>
      <c r="AN681" t="n">
        <v>0</v>
      </c>
      <c r="AO681" t="n">
        <v>0</v>
      </c>
      <c r="AP681" t="inlineStr">
        <is>
          <t>No</t>
        </is>
      </c>
      <c r="AQ681" t="inlineStr">
        <is>
          <t>No</t>
        </is>
      </c>
      <c r="AS681">
        <f>HYPERLINK("https://creighton-primo.hosted.exlibrisgroup.com/primo-explore/search?tab=default_tab&amp;search_scope=EVERYTHING&amp;vid=01CRU&amp;lang=en_US&amp;offset=0&amp;query=any,contains,991000463249702656","Catalog Record")</f>
        <v/>
      </c>
      <c r="AT681">
        <f>HYPERLINK("http://www.worldcat.org/oclc/10948906","WorldCat Record")</f>
        <v/>
      </c>
      <c r="AU681" t="inlineStr">
        <is>
          <t>429310593:eng</t>
        </is>
      </c>
      <c r="AV681" t="inlineStr">
        <is>
          <t>10948906</t>
        </is>
      </c>
      <c r="AW681" t="inlineStr">
        <is>
          <t>991000463249702656</t>
        </is>
      </c>
      <c r="AX681" t="inlineStr">
        <is>
          <t>991000463249702656</t>
        </is>
      </c>
      <c r="AY681" t="inlineStr">
        <is>
          <t>2271015730002656</t>
        </is>
      </c>
      <c r="AZ681" t="inlineStr">
        <is>
          <t>BOOK</t>
        </is>
      </c>
      <c r="BB681" t="inlineStr">
        <is>
          <t>9780822402954</t>
        </is>
      </c>
      <c r="BC681" t="inlineStr">
        <is>
          <t>32285001746410</t>
        </is>
      </c>
      <c r="BD681" t="inlineStr">
        <is>
          <t>893345677</t>
        </is>
      </c>
    </row>
    <row r="682">
      <c r="A682" t="inlineStr">
        <is>
          <t>No</t>
        </is>
      </c>
      <c r="B682" t="inlineStr">
        <is>
          <t>LB1525.7 .G52 1992</t>
        </is>
      </c>
      <c r="C682" t="inlineStr">
        <is>
          <t>0                      LB 1525700G  52          1992</t>
        </is>
      </c>
      <c r="D682" t="inlineStr">
        <is>
          <t>Reading comprehension : self-monitoring strategies to develop independent readers / by Susan Mandel Glazer.</t>
        </is>
      </c>
      <c r="F682" t="inlineStr">
        <is>
          <t>No</t>
        </is>
      </c>
      <c r="G682" t="inlineStr">
        <is>
          <t>1</t>
        </is>
      </c>
      <c r="H682" t="inlineStr">
        <is>
          <t>No</t>
        </is>
      </c>
      <c r="I682" t="inlineStr">
        <is>
          <t>No</t>
        </is>
      </c>
      <c r="J682" t="inlineStr">
        <is>
          <t>0</t>
        </is>
      </c>
      <c r="K682" t="inlineStr">
        <is>
          <t>Glazer, Susan Mandel.</t>
        </is>
      </c>
      <c r="L682" t="inlineStr">
        <is>
          <t>New York : Scholastic Professional Books, c1992.</t>
        </is>
      </c>
      <c r="M682" t="inlineStr">
        <is>
          <t>1992</t>
        </is>
      </c>
      <c r="O682" t="inlineStr">
        <is>
          <t>eng</t>
        </is>
      </c>
      <c r="P682" t="inlineStr">
        <is>
          <t>nyu</t>
        </is>
      </c>
      <c r="Q682" t="inlineStr">
        <is>
          <t>Teaching strategies</t>
        </is>
      </c>
      <c r="R682" t="inlineStr">
        <is>
          <t xml:space="preserve">LB </t>
        </is>
      </c>
      <c r="S682" t="n">
        <v>1</v>
      </c>
      <c r="T682" t="n">
        <v>1</v>
      </c>
      <c r="U682" t="inlineStr">
        <is>
          <t>1995-04-10</t>
        </is>
      </c>
      <c r="V682" t="inlineStr">
        <is>
          <t>1995-04-10</t>
        </is>
      </c>
      <c r="W682" t="inlineStr">
        <is>
          <t>1994-08-11</t>
        </is>
      </c>
      <c r="X682" t="inlineStr">
        <is>
          <t>1994-08-11</t>
        </is>
      </c>
      <c r="Y682" t="n">
        <v>134</v>
      </c>
      <c r="Z682" t="n">
        <v>128</v>
      </c>
      <c r="AA682" t="n">
        <v>129</v>
      </c>
      <c r="AB682" t="n">
        <v>2</v>
      </c>
      <c r="AC682" t="n">
        <v>2</v>
      </c>
      <c r="AD682" t="n">
        <v>4</v>
      </c>
      <c r="AE682" t="n">
        <v>4</v>
      </c>
      <c r="AF682" t="n">
        <v>2</v>
      </c>
      <c r="AG682" t="n">
        <v>2</v>
      </c>
      <c r="AH682" t="n">
        <v>1</v>
      </c>
      <c r="AI682" t="n">
        <v>1</v>
      </c>
      <c r="AJ682" t="n">
        <v>1</v>
      </c>
      <c r="AK682" t="n">
        <v>1</v>
      </c>
      <c r="AL682" t="n">
        <v>1</v>
      </c>
      <c r="AM682" t="n">
        <v>1</v>
      </c>
      <c r="AN682" t="n">
        <v>0</v>
      </c>
      <c r="AO682" t="n">
        <v>0</v>
      </c>
      <c r="AP682" t="inlineStr">
        <is>
          <t>No</t>
        </is>
      </c>
      <c r="AQ682" t="inlineStr">
        <is>
          <t>No</t>
        </is>
      </c>
      <c r="AS682">
        <f>HYPERLINK("https://creighton-primo.hosted.exlibrisgroup.com/primo-explore/search?tab=default_tab&amp;search_scope=EVERYTHING&amp;vid=01CRU&amp;lang=en_US&amp;offset=0&amp;query=any,contains,991002048279702656","Catalog Record")</f>
        <v/>
      </c>
      <c r="AT682">
        <f>HYPERLINK("http://www.worldcat.org/oclc/26147844","WorldCat Record")</f>
        <v/>
      </c>
      <c r="AU682" t="inlineStr">
        <is>
          <t>29112970:eng</t>
        </is>
      </c>
      <c r="AV682" t="inlineStr">
        <is>
          <t>26147844</t>
        </is>
      </c>
      <c r="AW682" t="inlineStr">
        <is>
          <t>991002048279702656</t>
        </is>
      </c>
      <c r="AX682" t="inlineStr">
        <is>
          <t>991002048279702656</t>
        </is>
      </c>
      <c r="AY682" t="inlineStr">
        <is>
          <t>2257537960002656</t>
        </is>
      </c>
      <c r="AZ682" t="inlineStr">
        <is>
          <t>BOOK</t>
        </is>
      </c>
      <c r="BB682" t="inlineStr">
        <is>
          <t>9780590491365</t>
        </is>
      </c>
      <c r="BC682" t="inlineStr">
        <is>
          <t>32285001942373</t>
        </is>
      </c>
      <c r="BD682" t="inlineStr">
        <is>
          <t>893866741</t>
        </is>
      </c>
    </row>
    <row r="683">
      <c r="A683" t="inlineStr">
        <is>
          <t>No</t>
        </is>
      </c>
      <c r="B683" t="inlineStr">
        <is>
          <t>LB1529.U5 A88 1990</t>
        </is>
      </c>
      <c r="C683" t="inlineStr">
        <is>
          <t>0                      LB 1529000U  5                  A  88          1990</t>
        </is>
      </c>
      <c r="D683" t="inlineStr">
        <is>
          <t>Assessment for instruction in early literacy / edited by Lesley Mandel Morrow, Jeffrey K. Smith.</t>
        </is>
      </c>
      <c r="F683" t="inlineStr">
        <is>
          <t>No</t>
        </is>
      </c>
      <c r="G683" t="inlineStr">
        <is>
          <t>1</t>
        </is>
      </c>
      <c r="H683" t="inlineStr">
        <is>
          <t>No</t>
        </is>
      </c>
      <c r="I683" t="inlineStr">
        <is>
          <t>No</t>
        </is>
      </c>
      <c r="J683" t="inlineStr">
        <is>
          <t>0</t>
        </is>
      </c>
      <c r="L683" t="inlineStr">
        <is>
          <t>Englewood Cliffs, N.J. : Prentice Hall, 1990.</t>
        </is>
      </c>
      <c r="M683" t="inlineStr">
        <is>
          <t>1990</t>
        </is>
      </c>
      <c r="O683" t="inlineStr">
        <is>
          <t>eng</t>
        </is>
      </c>
      <c r="P683" t="inlineStr">
        <is>
          <t>nju</t>
        </is>
      </c>
      <c r="Q683" t="inlineStr">
        <is>
          <t>Rutgers symposium on education</t>
        </is>
      </c>
      <c r="R683" t="inlineStr">
        <is>
          <t xml:space="preserve">LB </t>
        </is>
      </c>
      <c r="S683" t="n">
        <v>2</v>
      </c>
      <c r="T683" t="n">
        <v>2</v>
      </c>
      <c r="U683" t="inlineStr">
        <is>
          <t>1997-07-29</t>
        </is>
      </c>
      <c r="V683" t="inlineStr">
        <is>
          <t>1997-07-29</t>
        </is>
      </c>
      <c r="W683" t="inlineStr">
        <is>
          <t>1990-04-07</t>
        </is>
      </c>
      <c r="X683" t="inlineStr">
        <is>
          <t>1990-04-07</t>
        </is>
      </c>
      <c r="Y683" t="n">
        <v>289</v>
      </c>
      <c r="Z683" t="n">
        <v>248</v>
      </c>
      <c r="AA683" t="n">
        <v>253</v>
      </c>
      <c r="AB683" t="n">
        <v>1</v>
      </c>
      <c r="AC683" t="n">
        <v>1</v>
      </c>
      <c r="AD683" t="n">
        <v>8</v>
      </c>
      <c r="AE683" t="n">
        <v>8</v>
      </c>
      <c r="AF683" t="n">
        <v>2</v>
      </c>
      <c r="AG683" t="n">
        <v>2</v>
      </c>
      <c r="AH683" t="n">
        <v>2</v>
      </c>
      <c r="AI683" t="n">
        <v>2</v>
      </c>
      <c r="AJ683" t="n">
        <v>5</v>
      </c>
      <c r="AK683" t="n">
        <v>5</v>
      </c>
      <c r="AL683" t="n">
        <v>0</v>
      </c>
      <c r="AM683" t="n">
        <v>0</v>
      </c>
      <c r="AN683" t="n">
        <v>0</v>
      </c>
      <c r="AO683" t="n">
        <v>0</v>
      </c>
      <c r="AP683" t="inlineStr">
        <is>
          <t>No</t>
        </is>
      </c>
      <c r="AQ683" t="inlineStr">
        <is>
          <t>No</t>
        </is>
      </c>
      <c r="AS683">
        <f>HYPERLINK("https://creighton-primo.hosted.exlibrisgroup.com/primo-explore/search?tab=default_tab&amp;search_scope=EVERYTHING&amp;vid=01CRU&amp;lang=en_US&amp;offset=0&amp;query=any,contains,991001526889702656","Catalog Record")</f>
        <v/>
      </c>
      <c r="AT683">
        <f>HYPERLINK("http://www.worldcat.org/oclc/20013411","WorldCat Record")</f>
        <v/>
      </c>
      <c r="AU683" t="inlineStr">
        <is>
          <t>356021870:eng</t>
        </is>
      </c>
      <c r="AV683" t="inlineStr">
        <is>
          <t>20013411</t>
        </is>
      </c>
      <c r="AW683" t="inlineStr">
        <is>
          <t>991001526889702656</t>
        </is>
      </c>
      <c r="AX683" t="inlineStr">
        <is>
          <t>991001526889702656</t>
        </is>
      </c>
      <c r="AY683" t="inlineStr">
        <is>
          <t>2262182600002656</t>
        </is>
      </c>
      <c r="AZ683" t="inlineStr">
        <is>
          <t>BOOK</t>
        </is>
      </c>
      <c r="BB683" t="inlineStr">
        <is>
          <t>9780130504289</t>
        </is>
      </c>
      <c r="BC683" t="inlineStr">
        <is>
          <t>32285000093947</t>
        </is>
      </c>
      <c r="BD683" t="inlineStr">
        <is>
          <t>893232043</t>
        </is>
      </c>
    </row>
    <row r="684">
      <c r="A684" t="inlineStr">
        <is>
          <t>No</t>
        </is>
      </c>
      <c r="B684" t="inlineStr">
        <is>
          <t>LB1529.U5 C73 1996</t>
        </is>
      </c>
      <c r="C684" t="inlineStr">
        <is>
          <t>0                      LB 1529000U  5                  C  73          1996</t>
        </is>
      </c>
      <c r="D684" t="inlineStr">
        <is>
          <t>Standards in practice, grades K-2 / Linda K. Crafton.</t>
        </is>
      </c>
      <c r="F684" t="inlineStr">
        <is>
          <t>No</t>
        </is>
      </c>
      <c r="G684" t="inlineStr">
        <is>
          <t>1</t>
        </is>
      </c>
      <c r="H684" t="inlineStr">
        <is>
          <t>No</t>
        </is>
      </c>
      <c r="I684" t="inlineStr">
        <is>
          <t>No</t>
        </is>
      </c>
      <c r="J684" t="inlineStr">
        <is>
          <t>0</t>
        </is>
      </c>
      <c r="K684" t="inlineStr">
        <is>
          <t>Crafton, Linda K.</t>
        </is>
      </c>
      <c r="L684" t="inlineStr">
        <is>
          <t>Urbana, Ill. : National Council of Teachers of English, c1996.</t>
        </is>
      </c>
      <c r="M684" t="inlineStr">
        <is>
          <t>1996</t>
        </is>
      </c>
      <c r="O684" t="inlineStr">
        <is>
          <t>eng</t>
        </is>
      </c>
      <c r="P684" t="inlineStr">
        <is>
          <t>ilu</t>
        </is>
      </c>
      <c r="R684" t="inlineStr">
        <is>
          <t xml:space="preserve">LB </t>
        </is>
      </c>
      <c r="S684" t="n">
        <v>3</v>
      </c>
      <c r="T684" t="n">
        <v>3</v>
      </c>
      <c r="U684" t="inlineStr">
        <is>
          <t>2008-10-08</t>
        </is>
      </c>
      <c r="V684" t="inlineStr">
        <is>
          <t>2008-10-08</t>
        </is>
      </c>
      <c r="W684" t="inlineStr">
        <is>
          <t>1997-10-16</t>
        </is>
      </c>
      <c r="X684" t="inlineStr">
        <is>
          <t>1997-10-16</t>
        </is>
      </c>
      <c r="Y684" t="n">
        <v>269</v>
      </c>
      <c r="Z684" t="n">
        <v>258</v>
      </c>
      <c r="AA684" t="n">
        <v>262</v>
      </c>
      <c r="AB684" t="n">
        <v>4</v>
      </c>
      <c r="AC684" t="n">
        <v>4</v>
      </c>
      <c r="AD684" t="n">
        <v>11</v>
      </c>
      <c r="AE684" t="n">
        <v>11</v>
      </c>
      <c r="AF684" t="n">
        <v>4</v>
      </c>
      <c r="AG684" t="n">
        <v>4</v>
      </c>
      <c r="AH684" t="n">
        <v>1</v>
      </c>
      <c r="AI684" t="n">
        <v>1</v>
      </c>
      <c r="AJ684" t="n">
        <v>5</v>
      </c>
      <c r="AK684" t="n">
        <v>5</v>
      </c>
      <c r="AL684" t="n">
        <v>3</v>
      </c>
      <c r="AM684" t="n">
        <v>3</v>
      </c>
      <c r="AN684" t="n">
        <v>0</v>
      </c>
      <c r="AO684" t="n">
        <v>0</v>
      </c>
      <c r="AP684" t="inlineStr">
        <is>
          <t>No</t>
        </is>
      </c>
      <c r="AQ684" t="inlineStr">
        <is>
          <t>Yes</t>
        </is>
      </c>
      <c r="AR684">
        <f>HYPERLINK("http://catalog.hathitrust.org/Record/004537549","HathiTrust Record")</f>
        <v/>
      </c>
      <c r="AS684">
        <f>HYPERLINK("https://creighton-primo.hosted.exlibrisgroup.com/primo-explore/search?tab=default_tab&amp;search_scope=EVERYTHING&amp;vid=01CRU&amp;lang=en_US&amp;offset=0&amp;query=any,contains,991002583739702656","Catalog Record")</f>
        <v/>
      </c>
      <c r="AT684">
        <f>HYPERLINK("http://www.worldcat.org/oclc/33863638","WorldCat Record")</f>
        <v/>
      </c>
      <c r="AU684" t="inlineStr">
        <is>
          <t>38855155:eng</t>
        </is>
      </c>
      <c r="AV684" t="inlineStr">
        <is>
          <t>33863638</t>
        </is>
      </c>
      <c r="AW684" t="inlineStr">
        <is>
          <t>991002583739702656</t>
        </is>
      </c>
      <c r="AX684" t="inlineStr">
        <is>
          <t>991002583739702656</t>
        </is>
      </c>
      <c r="AY684" t="inlineStr">
        <is>
          <t>2262741600002656</t>
        </is>
      </c>
      <c r="AZ684" t="inlineStr">
        <is>
          <t>BOOK</t>
        </is>
      </c>
      <c r="BB684" t="inlineStr">
        <is>
          <t>9780814146910</t>
        </is>
      </c>
      <c r="BC684" t="inlineStr">
        <is>
          <t>32285003255469</t>
        </is>
      </c>
      <c r="BD684" t="inlineStr">
        <is>
          <t>893257481</t>
        </is>
      </c>
    </row>
    <row r="685">
      <c r="A685" t="inlineStr">
        <is>
          <t>No</t>
        </is>
      </c>
      <c r="B685" t="inlineStr">
        <is>
          <t>LB1529.U6 D67 2001</t>
        </is>
      </c>
      <c r="C685" t="inlineStr">
        <is>
          <t>0                      LB 1529000U  6                  D  67          2001</t>
        </is>
      </c>
      <c r="D685" t="inlineStr">
        <is>
          <t>Shaping literate minds : developing self-regulated learners / Linda J. Dorn, Carla Soffos.</t>
        </is>
      </c>
      <c r="F685" t="inlineStr">
        <is>
          <t>No</t>
        </is>
      </c>
      <c r="G685" t="inlineStr">
        <is>
          <t>1</t>
        </is>
      </c>
      <c r="H685" t="inlineStr">
        <is>
          <t>No</t>
        </is>
      </c>
      <c r="I685" t="inlineStr">
        <is>
          <t>No</t>
        </is>
      </c>
      <c r="J685" t="inlineStr">
        <is>
          <t>0</t>
        </is>
      </c>
      <c r="K685" t="inlineStr">
        <is>
          <t>Dorn, Linda J.</t>
        </is>
      </c>
      <c r="L685" t="inlineStr">
        <is>
          <t>Portland, Me. : Stenhouse Publishers, c2001.</t>
        </is>
      </c>
      <c r="M685" t="inlineStr">
        <is>
          <t>2001</t>
        </is>
      </c>
      <c r="O685" t="inlineStr">
        <is>
          <t>eng</t>
        </is>
      </c>
      <c r="P685" t="inlineStr">
        <is>
          <t>meu</t>
        </is>
      </c>
      <c r="R685" t="inlineStr">
        <is>
          <t xml:space="preserve">LB </t>
        </is>
      </c>
      <c r="S685" t="n">
        <v>3</v>
      </c>
      <c r="T685" t="n">
        <v>3</v>
      </c>
      <c r="U685" t="inlineStr">
        <is>
          <t>2003-03-23</t>
        </is>
      </c>
      <c r="V685" t="inlineStr">
        <is>
          <t>2003-03-23</t>
        </is>
      </c>
      <c r="W685" t="inlineStr">
        <is>
          <t>2002-09-25</t>
        </is>
      </c>
      <c r="X685" t="inlineStr">
        <is>
          <t>2002-09-25</t>
        </is>
      </c>
      <c r="Y685" t="n">
        <v>320</v>
      </c>
      <c r="Z685" t="n">
        <v>282</v>
      </c>
      <c r="AA685" t="n">
        <v>595</v>
      </c>
      <c r="AB685" t="n">
        <v>5</v>
      </c>
      <c r="AC685" t="n">
        <v>6</v>
      </c>
      <c r="AD685" t="n">
        <v>14</v>
      </c>
      <c r="AE685" t="n">
        <v>18</v>
      </c>
      <c r="AF685" t="n">
        <v>3</v>
      </c>
      <c r="AG685" t="n">
        <v>5</v>
      </c>
      <c r="AH685" t="n">
        <v>3</v>
      </c>
      <c r="AI685" t="n">
        <v>3</v>
      </c>
      <c r="AJ685" t="n">
        <v>9</v>
      </c>
      <c r="AK685" t="n">
        <v>11</v>
      </c>
      <c r="AL685" t="n">
        <v>4</v>
      </c>
      <c r="AM685" t="n">
        <v>5</v>
      </c>
      <c r="AN685" t="n">
        <v>0</v>
      </c>
      <c r="AO685" t="n">
        <v>0</v>
      </c>
      <c r="AP685" t="inlineStr">
        <is>
          <t>No</t>
        </is>
      </c>
      <c r="AQ685" t="inlineStr">
        <is>
          <t>Yes</t>
        </is>
      </c>
      <c r="AR685">
        <f>HYPERLINK("http://catalog.hathitrust.org/Record/102022603","HathiTrust Record")</f>
        <v/>
      </c>
      <c r="AS685">
        <f>HYPERLINK("https://creighton-primo.hosted.exlibrisgroup.com/primo-explore/search?tab=default_tab&amp;search_scope=EVERYTHING&amp;vid=01CRU&amp;lang=en_US&amp;offset=0&amp;query=any,contains,991003878889702656","Catalog Record")</f>
        <v/>
      </c>
      <c r="AT685">
        <f>HYPERLINK("http://www.worldcat.org/oclc/47118358","WorldCat Record")</f>
        <v/>
      </c>
      <c r="AU685" t="inlineStr">
        <is>
          <t>803415103:eng</t>
        </is>
      </c>
      <c r="AV685" t="inlineStr">
        <is>
          <t>47118358</t>
        </is>
      </c>
      <c r="AW685" t="inlineStr">
        <is>
          <t>991003878889702656</t>
        </is>
      </c>
      <c r="AX685" t="inlineStr">
        <is>
          <t>991003878889702656</t>
        </is>
      </c>
      <c r="AY685" t="inlineStr">
        <is>
          <t>2255560030002656</t>
        </is>
      </c>
      <c r="AZ685" t="inlineStr">
        <is>
          <t>BOOK</t>
        </is>
      </c>
      <c r="BB685" t="inlineStr">
        <is>
          <t>9781571103383</t>
        </is>
      </c>
      <c r="BC685" t="inlineStr">
        <is>
          <t>32285004649298</t>
        </is>
      </c>
      <c r="BD685" t="inlineStr">
        <is>
          <t>893617900</t>
        </is>
      </c>
    </row>
    <row r="686">
      <c r="A686" t="inlineStr">
        <is>
          <t>No</t>
        </is>
      </c>
      <c r="B686" t="inlineStr">
        <is>
          <t>LB1532 .C3 1982</t>
        </is>
      </c>
      <c r="C686" t="inlineStr">
        <is>
          <t>0                      LB 1532000C  3           1982</t>
        </is>
      </c>
      <c r="D686" t="inlineStr">
        <is>
          <t>Science experiences for young children / Viola S. Carmichael.</t>
        </is>
      </c>
      <c r="F686" t="inlineStr">
        <is>
          <t>No</t>
        </is>
      </c>
      <c r="G686" t="inlineStr">
        <is>
          <t>1</t>
        </is>
      </c>
      <c r="H686" t="inlineStr">
        <is>
          <t>No</t>
        </is>
      </c>
      <c r="I686" t="inlineStr">
        <is>
          <t>No</t>
        </is>
      </c>
      <c r="J686" t="inlineStr">
        <is>
          <t>0</t>
        </is>
      </c>
      <c r="K686" t="inlineStr">
        <is>
          <t>Carmichael, Viola S.</t>
        </is>
      </c>
      <c r="L686" t="inlineStr">
        <is>
          <t>Palo Alto : R &amp; E Research Associates, Inc, 1982</t>
        </is>
      </c>
      <c r="M686" t="inlineStr">
        <is>
          <t>1982</t>
        </is>
      </c>
      <c r="O686" t="inlineStr">
        <is>
          <t>eng</t>
        </is>
      </c>
      <c r="P686" t="inlineStr">
        <is>
          <t>cau</t>
        </is>
      </c>
      <c r="R686" t="inlineStr">
        <is>
          <t xml:space="preserve">LB </t>
        </is>
      </c>
      <c r="S686" t="n">
        <v>2</v>
      </c>
      <c r="T686" t="n">
        <v>2</v>
      </c>
      <c r="U686" t="inlineStr">
        <is>
          <t>2009-02-18</t>
        </is>
      </c>
      <c r="V686" t="inlineStr">
        <is>
          <t>2009-02-18</t>
        </is>
      </c>
      <c r="W686" t="inlineStr">
        <is>
          <t>2000-04-24</t>
        </is>
      </c>
      <c r="X686" t="inlineStr">
        <is>
          <t>2000-04-24</t>
        </is>
      </c>
      <c r="Y686" t="n">
        <v>205</v>
      </c>
      <c r="Z686" t="n">
        <v>191</v>
      </c>
      <c r="AA686" t="n">
        <v>259</v>
      </c>
      <c r="AB686" t="n">
        <v>0</v>
      </c>
      <c r="AC686" t="n">
        <v>4</v>
      </c>
      <c r="AD686" t="n">
        <v>4</v>
      </c>
      <c r="AE686" t="n">
        <v>7</v>
      </c>
      <c r="AF686" t="n">
        <v>2</v>
      </c>
      <c r="AG686" t="n">
        <v>2</v>
      </c>
      <c r="AH686" t="n">
        <v>1</v>
      </c>
      <c r="AI686" t="n">
        <v>1</v>
      </c>
      <c r="AJ686" t="n">
        <v>2</v>
      </c>
      <c r="AK686" t="n">
        <v>3</v>
      </c>
      <c r="AL686" t="n">
        <v>0</v>
      </c>
      <c r="AM686" t="n">
        <v>2</v>
      </c>
      <c r="AN686" t="n">
        <v>0</v>
      </c>
      <c r="AO686" t="n">
        <v>0</v>
      </c>
      <c r="AP686" t="inlineStr">
        <is>
          <t>No</t>
        </is>
      </c>
      <c r="AQ686" t="inlineStr">
        <is>
          <t>No</t>
        </is>
      </c>
      <c r="AS686">
        <f>HYPERLINK("https://creighton-primo.hosted.exlibrisgroup.com/primo-explore/search?tab=default_tab&amp;search_scope=EVERYTHING&amp;vid=01CRU&amp;lang=en_US&amp;offset=0&amp;query=any,contains,991000058529702656","Catalog Record")</f>
        <v/>
      </c>
      <c r="AT686">
        <f>HYPERLINK("http://www.worldcat.org/oclc/8719490","WorldCat Record")</f>
        <v/>
      </c>
      <c r="AU686" t="inlineStr">
        <is>
          <t>541990:eng</t>
        </is>
      </c>
      <c r="AV686" t="inlineStr">
        <is>
          <t>8719490</t>
        </is>
      </c>
      <c r="AW686" t="inlineStr">
        <is>
          <t>991000058529702656</t>
        </is>
      </c>
      <c r="AX686" t="inlineStr">
        <is>
          <t>991000058529702656</t>
        </is>
      </c>
      <c r="AY686" t="inlineStr">
        <is>
          <t>2255823230002656</t>
        </is>
      </c>
      <c r="AZ686" t="inlineStr">
        <is>
          <t>BOOK</t>
        </is>
      </c>
      <c r="BC686" t="inlineStr">
        <is>
          <t>32285003667432</t>
        </is>
      </c>
      <c r="BD686" t="inlineStr">
        <is>
          <t>893695549</t>
        </is>
      </c>
    </row>
    <row r="687">
      <c r="A687" t="inlineStr">
        <is>
          <t>No</t>
        </is>
      </c>
      <c r="B687" t="inlineStr">
        <is>
          <t>LB1537 .C555</t>
        </is>
      </c>
      <c r="C687" t="inlineStr">
        <is>
          <t>0                      LB 1537000C  555</t>
        </is>
      </c>
      <c r="D687" t="inlineStr">
        <is>
          <t>Games children should play : sequential lessons for teaching communication skills in grades K-6 / Mary K. Cihak, Barbara Jackson Heron.</t>
        </is>
      </c>
      <c r="F687" t="inlineStr">
        <is>
          <t>No</t>
        </is>
      </c>
      <c r="G687" t="inlineStr">
        <is>
          <t>1</t>
        </is>
      </c>
      <c r="H687" t="inlineStr">
        <is>
          <t>No</t>
        </is>
      </c>
      <c r="I687" t="inlineStr">
        <is>
          <t>No</t>
        </is>
      </c>
      <c r="J687" t="inlineStr">
        <is>
          <t>0</t>
        </is>
      </c>
      <c r="K687" t="inlineStr">
        <is>
          <t>Jensen, Mary K.</t>
        </is>
      </c>
      <c r="L687" t="inlineStr">
        <is>
          <t>Santa Monica, Calif. : Goodyear Pub. Co., c1980.</t>
        </is>
      </c>
      <c r="M687" t="inlineStr">
        <is>
          <t>1980</t>
        </is>
      </c>
      <c r="O687" t="inlineStr">
        <is>
          <t>eng</t>
        </is>
      </c>
      <c r="P687" t="inlineStr">
        <is>
          <t>cau</t>
        </is>
      </c>
      <c r="Q687" t="inlineStr">
        <is>
          <t>Goodyear series in education</t>
        </is>
      </c>
      <c r="R687" t="inlineStr">
        <is>
          <t xml:space="preserve">LB </t>
        </is>
      </c>
      <c r="S687" t="n">
        <v>5</v>
      </c>
      <c r="T687" t="n">
        <v>5</v>
      </c>
      <c r="U687" t="inlineStr">
        <is>
          <t>2009-02-18</t>
        </is>
      </c>
      <c r="V687" t="inlineStr">
        <is>
          <t>2009-02-18</t>
        </is>
      </c>
      <c r="W687" t="inlineStr">
        <is>
          <t>1990-02-27</t>
        </is>
      </c>
      <c r="X687" t="inlineStr">
        <is>
          <t>1990-02-27</t>
        </is>
      </c>
      <c r="Y687" t="n">
        <v>123</v>
      </c>
      <c r="Z687" t="n">
        <v>101</v>
      </c>
      <c r="AA687" t="n">
        <v>150</v>
      </c>
      <c r="AB687" t="n">
        <v>3</v>
      </c>
      <c r="AC687" t="n">
        <v>3</v>
      </c>
      <c r="AD687" t="n">
        <v>3</v>
      </c>
      <c r="AE687" t="n">
        <v>4</v>
      </c>
      <c r="AF687" t="n">
        <v>1</v>
      </c>
      <c r="AG687" t="n">
        <v>2</v>
      </c>
      <c r="AH687" t="n">
        <v>0</v>
      </c>
      <c r="AI687" t="n">
        <v>0</v>
      </c>
      <c r="AJ687" t="n">
        <v>0</v>
      </c>
      <c r="AK687" t="n">
        <v>1</v>
      </c>
      <c r="AL687" t="n">
        <v>2</v>
      </c>
      <c r="AM687" t="n">
        <v>2</v>
      </c>
      <c r="AN687" t="n">
        <v>0</v>
      </c>
      <c r="AO687" t="n">
        <v>0</v>
      </c>
      <c r="AP687" t="inlineStr">
        <is>
          <t>No</t>
        </is>
      </c>
      <c r="AQ687" t="inlineStr">
        <is>
          <t>No</t>
        </is>
      </c>
      <c r="AS687">
        <f>HYPERLINK("https://creighton-primo.hosted.exlibrisgroup.com/primo-explore/search?tab=default_tab&amp;search_scope=EVERYTHING&amp;vid=01CRU&amp;lang=en_US&amp;offset=0&amp;query=any,contains,991004948239702656","Catalog Record")</f>
        <v/>
      </c>
      <c r="AT687">
        <f>HYPERLINK("http://www.worldcat.org/oclc/6223224","WorldCat Record")</f>
        <v/>
      </c>
      <c r="AU687" t="inlineStr">
        <is>
          <t>520459:eng</t>
        </is>
      </c>
      <c r="AV687" t="inlineStr">
        <is>
          <t>6223224</t>
        </is>
      </c>
      <c r="AW687" t="inlineStr">
        <is>
          <t>991004948239702656</t>
        </is>
      </c>
      <c r="AX687" t="inlineStr">
        <is>
          <t>991004948239702656</t>
        </is>
      </c>
      <c r="AY687" t="inlineStr">
        <is>
          <t>2268462980002656</t>
        </is>
      </c>
      <c r="AZ687" t="inlineStr">
        <is>
          <t>BOOK</t>
        </is>
      </c>
      <c r="BB687" t="inlineStr">
        <is>
          <t>9780830284948</t>
        </is>
      </c>
      <c r="BC687" t="inlineStr">
        <is>
          <t>32285000071349</t>
        </is>
      </c>
      <c r="BD687" t="inlineStr">
        <is>
          <t>893513835</t>
        </is>
      </c>
    </row>
    <row r="688">
      <c r="A688" t="inlineStr">
        <is>
          <t>No</t>
        </is>
      </c>
      <c r="B688" t="inlineStr">
        <is>
          <t>LB1537 .R58 1998</t>
        </is>
      </c>
      <c r="C688" t="inlineStr">
        <is>
          <t>0                      LB 1537000R  58          1998</t>
        </is>
      </c>
      <c r="D688" t="inlineStr">
        <is>
          <t>Classroom interviews : a world of learning / Paula Rogovin.</t>
        </is>
      </c>
      <c r="F688" t="inlineStr">
        <is>
          <t>No</t>
        </is>
      </c>
      <c r="G688" t="inlineStr">
        <is>
          <t>1</t>
        </is>
      </c>
      <c r="H688" t="inlineStr">
        <is>
          <t>No</t>
        </is>
      </c>
      <c r="I688" t="inlineStr">
        <is>
          <t>No</t>
        </is>
      </c>
      <c r="J688" t="inlineStr">
        <is>
          <t>0</t>
        </is>
      </c>
      <c r="K688" t="inlineStr">
        <is>
          <t>Rogovin, Paula.</t>
        </is>
      </c>
      <c r="L688" t="inlineStr">
        <is>
          <t>Portsmouth, NH : Heinemann, c1998.</t>
        </is>
      </c>
      <c r="M688" t="inlineStr">
        <is>
          <t>1998</t>
        </is>
      </c>
      <c r="O688" t="inlineStr">
        <is>
          <t>eng</t>
        </is>
      </c>
      <c r="P688" t="inlineStr">
        <is>
          <t>nhu</t>
        </is>
      </c>
      <c r="Q688" t="inlineStr">
        <is>
          <t>Teacher to teacher</t>
        </is>
      </c>
      <c r="R688" t="inlineStr">
        <is>
          <t xml:space="preserve">LB </t>
        </is>
      </c>
      <c r="S688" t="n">
        <v>1</v>
      </c>
      <c r="T688" t="n">
        <v>1</v>
      </c>
      <c r="U688" t="inlineStr">
        <is>
          <t>2007-09-05</t>
        </is>
      </c>
      <c r="V688" t="inlineStr">
        <is>
          <t>2007-09-05</t>
        </is>
      </c>
      <c r="W688" t="inlineStr">
        <is>
          <t>1998-07-22</t>
        </is>
      </c>
      <c r="X688" t="inlineStr">
        <is>
          <t>1998-07-22</t>
        </is>
      </c>
      <c r="Y688" t="n">
        <v>265</v>
      </c>
      <c r="Z688" t="n">
        <v>245</v>
      </c>
      <c r="AA688" t="n">
        <v>247</v>
      </c>
      <c r="AB688" t="n">
        <v>2</v>
      </c>
      <c r="AC688" t="n">
        <v>2</v>
      </c>
      <c r="AD688" t="n">
        <v>9</v>
      </c>
      <c r="AE688" t="n">
        <v>9</v>
      </c>
      <c r="AF688" t="n">
        <v>2</v>
      </c>
      <c r="AG688" t="n">
        <v>2</v>
      </c>
      <c r="AH688" t="n">
        <v>3</v>
      </c>
      <c r="AI688" t="n">
        <v>3</v>
      </c>
      <c r="AJ688" t="n">
        <v>6</v>
      </c>
      <c r="AK688" t="n">
        <v>6</v>
      </c>
      <c r="AL688" t="n">
        <v>1</v>
      </c>
      <c r="AM688" t="n">
        <v>1</v>
      </c>
      <c r="AN688" t="n">
        <v>0</v>
      </c>
      <c r="AO688" t="n">
        <v>0</v>
      </c>
      <c r="AP688" t="inlineStr">
        <is>
          <t>No</t>
        </is>
      </c>
      <c r="AQ688" t="inlineStr">
        <is>
          <t>Yes</t>
        </is>
      </c>
      <c r="AR688">
        <f>HYPERLINK("http://catalog.hathitrust.org/Record/004005306","HathiTrust Record")</f>
        <v/>
      </c>
      <c r="AS688">
        <f>HYPERLINK("https://creighton-primo.hosted.exlibrisgroup.com/primo-explore/search?tab=default_tab&amp;search_scope=EVERYTHING&amp;vid=01CRU&amp;lang=en_US&amp;offset=0&amp;query=any,contains,991002904339702656","Catalog Record")</f>
        <v/>
      </c>
      <c r="AT688">
        <f>HYPERLINK("http://www.worldcat.org/oclc/38304468","WorldCat Record")</f>
        <v/>
      </c>
      <c r="AU688" t="inlineStr">
        <is>
          <t>308828484:eng</t>
        </is>
      </c>
      <c r="AV688" t="inlineStr">
        <is>
          <t>38304468</t>
        </is>
      </c>
      <c r="AW688" t="inlineStr">
        <is>
          <t>991002904339702656</t>
        </is>
      </c>
      <c r="AX688" t="inlineStr">
        <is>
          <t>991002904339702656</t>
        </is>
      </c>
      <c r="AY688" t="inlineStr">
        <is>
          <t>2258586130002656</t>
        </is>
      </c>
      <c r="AZ688" t="inlineStr">
        <is>
          <t>BOOK</t>
        </is>
      </c>
      <c r="BB688" t="inlineStr">
        <is>
          <t>9780325000473</t>
        </is>
      </c>
      <c r="BC688" t="inlineStr">
        <is>
          <t>32285003434742</t>
        </is>
      </c>
      <c r="BD688" t="inlineStr">
        <is>
          <t>893591940</t>
        </is>
      </c>
    </row>
    <row r="689">
      <c r="A689" t="inlineStr">
        <is>
          <t>No</t>
        </is>
      </c>
      <c r="B689" t="inlineStr">
        <is>
          <t>LB1537 .Y64 1991</t>
        </is>
      </c>
      <c r="C689" t="inlineStr">
        <is>
          <t>0                      LB 1537000Y  64          1991</t>
        </is>
      </c>
      <c r="D689" t="inlineStr">
        <is>
          <t>Risk-taking in learning, K-3 / Robert D. Young.</t>
        </is>
      </c>
      <c r="F689" t="inlineStr">
        <is>
          <t>No</t>
        </is>
      </c>
      <c r="G689" t="inlineStr">
        <is>
          <t>1</t>
        </is>
      </c>
      <c r="H689" t="inlineStr">
        <is>
          <t>No</t>
        </is>
      </c>
      <c r="I689" t="inlineStr">
        <is>
          <t>No</t>
        </is>
      </c>
      <c r="J689" t="inlineStr">
        <is>
          <t>0</t>
        </is>
      </c>
      <c r="K689" t="inlineStr">
        <is>
          <t>Young, Robert D. (Robert Douglas), 1957-</t>
        </is>
      </c>
      <c r="L689" t="inlineStr">
        <is>
          <t>Washington, D.C. : NEA Professional Library, National Education Association, c1991.</t>
        </is>
      </c>
      <c r="M689" t="inlineStr">
        <is>
          <t>1991</t>
        </is>
      </c>
      <c r="O689" t="inlineStr">
        <is>
          <t>eng</t>
        </is>
      </c>
      <c r="P689" t="inlineStr">
        <is>
          <t>dcu</t>
        </is>
      </c>
      <c r="Q689" t="inlineStr">
        <is>
          <t>Early childhood education series</t>
        </is>
      </c>
      <c r="R689" t="inlineStr">
        <is>
          <t xml:space="preserve">LB </t>
        </is>
      </c>
      <c r="S689" t="n">
        <v>1</v>
      </c>
      <c r="T689" t="n">
        <v>1</v>
      </c>
      <c r="U689" t="inlineStr">
        <is>
          <t>1996-12-03</t>
        </is>
      </c>
      <c r="V689" t="inlineStr">
        <is>
          <t>1996-12-03</t>
        </is>
      </c>
      <c r="W689" t="inlineStr">
        <is>
          <t>1991-09-18</t>
        </is>
      </c>
      <c r="X689" t="inlineStr">
        <is>
          <t>1991-09-18</t>
        </is>
      </c>
      <c r="Y689" t="n">
        <v>279</v>
      </c>
      <c r="Z689" t="n">
        <v>269</v>
      </c>
      <c r="AA689" t="n">
        <v>269</v>
      </c>
      <c r="AB689" t="n">
        <v>4</v>
      </c>
      <c r="AC689" t="n">
        <v>4</v>
      </c>
      <c r="AD689" t="n">
        <v>11</v>
      </c>
      <c r="AE689" t="n">
        <v>11</v>
      </c>
      <c r="AF689" t="n">
        <v>4</v>
      </c>
      <c r="AG689" t="n">
        <v>4</v>
      </c>
      <c r="AH689" t="n">
        <v>1</v>
      </c>
      <c r="AI689" t="n">
        <v>1</v>
      </c>
      <c r="AJ689" t="n">
        <v>6</v>
      </c>
      <c r="AK689" t="n">
        <v>6</v>
      </c>
      <c r="AL689" t="n">
        <v>3</v>
      </c>
      <c r="AM689" t="n">
        <v>3</v>
      </c>
      <c r="AN689" t="n">
        <v>0</v>
      </c>
      <c r="AO689" t="n">
        <v>0</v>
      </c>
      <c r="AP689" t="inlineStr">
        <is>
          <t>No</t>
        </is>
      </c>
      <c r="AQ689" t="inlineStr">
        <is>
          <t>No</t>
        </is>
      </c>
      <c r="AS689">
        <f>HYPERLINK("https://creighton-primo.hosted.exlibrisgroup.com/primo-explore/search?tab=default_tab&amp;search_scope=EVERYTHING&amp;vid=01CRU&amp;lang=en_US&amp;offset=0&amp;query=any,contains,991001880699702656","Catalog Record")</f>
        <v/>
      </c>
      <c r="AT689">
        <f>HYPERLINK("http://www.worldcat.org/oclc/23731672","WorldCat Record")</f>
        <v/>
      </c>
      <c r="AU689" t="inlineStr">
        <is>
          <t>1075727:eng</t>
        </is>
      </c>
      <c r="AV689" t="inlineStr">
        <is>
          <t>23731672</t>
        </is>
      </c>
      <c r="AW689" t="inlineStr">
        <is>
          <t>991001880699702656</t>
        </is>
      </c>
      <c r="AX689" t="inlineStr">
        <is>
          <t>991001880699702656</t>
        </is>
      </c>
      <c r="AY689" t="inlineStr">
        <is>
          <t>2265549350002656</t>
        </is>
      </c>
      <c r="AZ689" t="inlineStr">
        <is>
          <t>BOOK</t>
        </is>
      </c>
      <c r="BB689" t="inlineStr">
        <is>
          <t>9780810603547</t>
        </is>
      </c>
      <c r="BC689" t="inlineStr">
        <is>
          <t>32285000741388</t>
        </is>
      </c>
      <c r="BD689" t="inlineStr">
        <is>
          <t>893414570</t>
        </is>
      </c>
    </row>
    <row r="690">
      <c r="A690" t="inlineStr">
        <is>
          <t>No</t>
        </is>
      </c>
      <c r="B690" t="inlineStr">
        <is>
          <t>LB1555 .H68 2007</t>
        </is>
      </c>
      <c r="C690" t="inlineStr">
        <is>
          <t>0                      LB 1555000H  68          2007</t>
        </is>
      </c>
      <c r="D690" t="inlineStr">
        <is>
          <t>The elementary teacher's digital toolbox / Helen Hoffner.</t>
        </is>
      </c>
      <c r="F690" t="inlineStr">
        <is>
          <t>No</t>
        </is>
      </c>
      <c r="G690" t="inlineStr">
        <is>
          <t>1</t>
        </is>
      </c>
      <c r="H690" t="inlineStr">
        <is>
          <t>No</t>
        </is>
      </c>
      <c r="I690" t="inlineStr">
        <is>
          <t>No</t>
        </is>
      </c>
      <c r="J690" t="inlineStr">
        <is>
          <t>0</t>
        </is>
      </c>
      <c r="K690" t="inlineStr">
        <is>
          <t>Hoffner, Helen, 1958-</t>
        </is>
      </c>
      <c r="L690" t="inlineStr">
        <is>
          <t>Upper Saddle River, N.J. : Pearson Merrill Prentice Hall, c2007.</t>
        </is>
      </c>
      <c r="M690" t="inlineStr">
        <is>
          <t>2007</t>
        </is>
      </c>
      <c r="O690" t="inlineStr">
        <is>
          <t>eng</t>
        </is>
      </c>
      <c r="P690" t="inlineStr">
        <is>
          <t>nju</t>
        </is>
      </c>
      <c r="R690" t="inlineStr">
        <is>
          <t xml:space="preserve">LB </t>
        </is>
      </c>
      <c r="S690" t="n">
        <v>6</v>
      </c>
      <c r="T690" t="n">
        <v>6</v>
      </c>
      <c r="U690" t="inlineStr">
        <is>
          <t>2006-11-28</t>
        </is>
      </c>
      <c r="V690" t="inlineStr">
        <is>
          <t>2006-11-28</t>
        </is>
      </c>
      <c r="W690" t="inlineStr">
        <is>
          <t>2006-09-15</t>
        </is>
      </c>
      <c r="X690" t="inlineStr">
        <is>
          <t>2006-09-15</t>
        </is>
      </c>
      <c r="Y690" t="n">
        <v>119</v>
      </c>
      <c r="Z690" t="n">
        <v>91</v>
      </c>
      <c r="AA690" t="n">
        <v>92</v>
      </c>
      <c r="AB690" t="n">
        <v>1</v>
      </c>
      <c r="AC690" t="n">
        <v>1</v>
      </c>
      <c r="AD690" t="n">
        <v>2</v>
      </c>
      <c r="AE690" t="n">
        <v>2</v>
      </c>
      <c r="AF690" t="n">
        <v>1</v>
      </c>
      <c r="AG690" t="n">
        <v>1</v>
      </c>
      <c r="AH690" t="n">
        <v>0</v>
      </c>
      <c r="AI690" t="n">
        <v>0</v>
      </c>
      <c r="AJ690" t="n">
        <v>2</v>
      </c>
      <c r="AK690" t="n">
        <v>2</v>
      </c>
      <c r="AL690" t="n">
        <v>0</v>
      </c>
      <c r="AM690" t="n">
        <v>0</v>
      </c>
      <c r="AN690" t="n">
        <v>0</v>
      </c>
      <c r="AO690" t="n">
        <v>0</v>
      </c>
      <c r="AP690" t="inlineStr">
        <is>
          <t>No</t>
        </is>
      </c>
      <c r="AQ690" t="inlineStr">
        <is>
          <t>No</t>
        </is>
      </c>
      <c r="AS690">
        <f>HYPERLINK("https://creighton-primo.hosted.exlibrisgroup.com/primo-explore/search?tab=default_tab&amp;search_scope=EVERYTHING&amp;vid=01CRU&amp;lang=en_US&amp;offset=0&amp;query=any,contains,991004908809702656","Catalog Record")</f>
        <v/>
      </c>
      <c r="AT690">
        <f>HYPERLINK("http://www.worldcat.org/oclc/63692601","WorldCat Record")</f>
        <v/>
      </c>
      <c r="AU690" t="inlineStr">
        <is>
          <t>47804263:eng</t>
        </is>
      </c>
      <c r="AV690" t="inlineStr">
        <is>
          <t>63692601</t>
        </is>
      </c>
      <c r="AW690" t="inlineStr">
        <is>
          <t>991004908809702656</t>
        </is>
      </c>
      <c r="AX690" t="inlineStr">
        <is>
          <t>991004908809702656</t>
        </is>
      </c>
      <c r="AY690" t="inlineStr">
        <is>
          <t>2263154500002656</t>
        </is>
      </c>
      <c r="AZ690" t="inlineStr">
        <is>
          <t>BOOK</t>
        </is>
      </c>
      <c r="BB690" t="inlineStr">
        <is>
          <t>9780131709560</t>
        </is>
      </c>
      <c r="BC690" t="inlineStr">
        <is>
          <t>32285005215412</t>
        </is>
      </c>
      <c r="BD690" t="inlineStr">
        <is>
          <t>893507354</t>
        </is>
      </c>
    </row>
    <row r="691">
      <c r="A691" t="inlineStr">
        <is>
          <t>No</t>
        </is>
      </c>
      <c r="B691" t="inlineStr">
        <is>
          <t>LB1555 .J27 1990</t>
        </is>
      </c>
      <c r="C691" t="inlineStr">
        <is>
          <t>0                      LB 1555000J  27          1990</t>
        </is>
      </c>
      <c r="D691" t="inlineStr">
        <is>
          <t>Life in classrooms / Philip W. Jackson ; reissued with a new introd.</t>
        </is>
      </c>
      <c r="F691" t="inlineStr">
        <is>
          <t>No</t>
        </is>
      </c>
      <c r="G691" t="inlineStr">
        <is>
          <t>1</t>
        </is>
      </c>
      <c r="H691" t="inlineStr">
        <is>
          <t>No</t>
        </is>
      </c>
      <c r="I691" t="inlineStr">
        <is>
          <t>No</t>
        </is>
      </c>
      <c r="J691" t="inlineStr">
        <is>
          <t>0</t>
        </is>
      </c>
      <c r="K691" t="inlineStr">
        <is>
          <t>Jackson, Philip W. (Philip Wesley), 1928-2015.</t>
        </is>
      </c>
      <c r="L691" t="inlineStr">
        <is>
          <t>New York : Teachers College Press, c1990.</t>
        </is>
      </c>
      <c r="M691" t="inlineStr">
        <is>
          <t>1990</t>
        </is>
      </c>
      <c r="O691" t="inlineStr">
        <is>
          <t>eng</t>
        </is>
      </c>
      <c r="P691" t="inlineStr">
        <is>
          <t>nyu</t>
        </is>
      </c>
      <c r="R691" t="inlineStr">
        <is>
          <t xml:space="preserve">LB </t>
        </is>
      </c>
      <c r="S691" t="n">
        <v>3</v>
      </c>
      <c r="T691" t="n">
        <v>3</v>
      </c>
      <c r="U691" t="inlineStr">
        <is>
          <t>2004-11-30</t>
        </is>
      </c>
      <c r="V691" t="inlineStr">
        <is>
          <t>2004-11-30</t>
        </is>
      </c>
      <c r="W691" t="inlineStr">
        <is>
          <t>1996-05-29</t>
        </is>
      </c>
      <c r="X691" t="inlineStr">
        <is>
          <t>1996-05-29</t>
        </is>
      </c>
      <c r="Y691" t="n">
        <v>318</v>
      </c>
      <c r="Z691" t="n">
        <v>271</v>
      </c>
      <c r="AA691" t="n">
        <v>892</v>
      </c>
      <c r="AB691" t="n">
        <v>2</v>
      </c>
      <c r="AC691" t="n">
        <v>8</v>
      </c>
      <c r="AD691" t="n">
        <v>11</v>
      </c>
      <c r="AE691" t="n">
        <v>43</v>
      </c>
      <c r="AF691" t="n">
        <v>6</v>
      </c>
      <c r="AG691" t="n">
        <v>19</v>
      </c>
      <c r="AH691" t="n">
        <v>2</v>
      </c>
      <c r="AI691" t="n">
        <v>7</v>
      </c>
      <c r="AJ691" t="n">
        <v>4</v>
      </c>
      <c r="AK691" t="n">
        <v>19</v>
      </c>
      <c r="AL691" t="n">
        <v>1</v>
      </c>
      <c r="AM691" t="n">
        <v>7</v>
      </c>
      <c r="AN691" t="n">
        <v>0</v>
      </c>
      <c r="AO691" t="n">
        <v>0</v>
      </c>
      <c r="AP691" t="inlineStr">
        <is>
          <t>No</t>
        </is>
      </c>
      <c r="AQ691" t="inlineStr">
        <is>
          <t>No</t>
        </is>
      </c>
      <c r="AS691">
        <f>HYPERLINK("https://creighton-primo.hosted.exlibrisgroup.com/primo-explore/search?tab=default_tab&amp;search_scope=EVERYTHING&amp;vid=01CRU&amp;lang=en_US&amp;offset=0&amp;query=any,contains,991001623899702656","Catalog Record")</f>
        <v/>
      </c>
      <c r="AT691">
        <f>HYPERLINK("http://www.worldcat.org/oclc/20827322","WorldCat Record")</f>
        <v/>
      </c>
      <c r="AU691" t="inlineStr">
        <is>
          <t>569896:eng</t>
        </is>
      </c>
      <c r="AV691" t="inlineStr">
        <is>
          <t>20827322</t>
        </is>
      </c>
      <c r="AW691" t="inlineStr">
        <is>
          <t>991001623899702656</t>
        </is>
      </c>
      <c r="AX691" t="inlineStr">
        <is>
          <t>991001623899702656</t>
        </is>
      </c>
      <c r="AY691" t="inlineStr">
        <is>
          <t>2261694090002656</t>
        </is>
      </c>
      <c r="AZ691" t="inlineStr">
        <is>
          <t>BOOK</t>
        </is>
      </c>
      <c r="BB691" t="inlineStr">
        <is>
          <t>9780807730348</t>
        </is>
      </c>
      <c r="BC691" t="inlineStr">
        <is>
          <t>32285002179033</t>
        </is>
      </c>
      <c r="BD691" t="inlineStr">
        <is>
          <t>893602719</t>
        </is>
      </c>
    </row>
    <row r="692">
      <c r="A692" t="inlineStr">
        <is>
          <t>No</t>
        </is>
      </c>
      <c r="B692" t="inlineStr">
        <is>
          <t>LB1555 .K57 2000</t>
        </is>
      </c>
      <c r="C692" t="inlineStr">
        <is>
          <t>0                      LB 1555000K  57          2000</t>
        </is>
      </c>
      <c r="D692" t="inlineStr">
        <is>
          <t>Enter teaching! : the essential guide for teachers new to grades 3-6 / Mary M. Kitagawa.</t>
        </is>
      </c>
      <c r="F692" t="inlineStr">
        <is>
          <t>No</t>
        </is>
      </c>
      <c r="G692" t="inlineStr">
        <is>
          <t>1</t>
        </is>
      </c>
      <c r="H692" t="inlineStr">
        <is>
          <t>No</t>
        </is>
      </c>
      <c r="I692" t="inlineStr">
        <is>
          <t>No</t>
        </is>
      </c>
      <c r="J692" t="inlineStr">
        <is>
          <t>0</t>
        </is>
      </c>
      <c r="K692" t="inlineStr">
        <is>
          <t>Kitagawa, Mary M.</t>
        </is>
      </c>
      <c r="L692" t="inlineStr">
        <is>
          <t>Portsmouth, NH : Heinemann, c2000.</t>
        </is>
      </c>
      <c r="M692" t="inlineStr">
        <is>
          <t>2000</t>
        </is>
      </c>
      <c r="O692" t="inlineStr">
        <is>
          <t>eng</t>
        </is>
      </c>
      <c r="P692" t="inlineStr">
        <is>
          <t>nhu</t>
        </is>
      </c>
      <c r="R692" t="inlineStr">
        <is>
          <t xml:space="preserve">LB </t>
        </is>
      </c>
      <c r="S692" t="n">
        <v>3</v>
      </c>
      <c r="T692" t="n">
        <v>3</v>
      </c>
      <c r="U692" t="inlineStr">
        <is>
          <t>2002-09-30</t>
        </is>
      </c>
      <c r="V692" t="inlineStr">
        <is>
          <t>2002-09-30</t>
        </is>
      </c>
      <c r="W692" t="inlineStr">
        <is>
          <t>2001-04-23</t>
        </is>
      </c>
      <c r="X692" t="inlineStr">
        <is>
          <t>2001-04-23</t>
        </is>
      </c>
      <c r="Y692" t="n">
        <v>171</v>
      </c>
      <c r="Z692" t="n">
        <v>156</v>
      </c>
      <c r="AA692" t="n">
        <v>158</v>
      </c>
      <c r="AB692" t="n">
        <v>2</v>
      </c>
      <c r="AC692" t="n">
        <v>2</v>
      </c>
      <c r="AD692" t="n">
        <v>4</v>
      </c>
      <c r="AE692" t="n">
        <v>4</v>
      </c>
      <c r="AF692" t="n">
        <v>1</v>
      </c>
      <c r="AG692" t="n">
        <v>1</v>
      </c>
      <c r="AH692" t="n">
        <v>0</v>
      </c>
      <c r="AI692" t="n">
        <v>0</v>
      </c>
      <c r="AJ692" t="n">
        <v>3</v>
      </c>
      <c r="AK692" t="n">
        <v>3</v>
      </c>
      <c r="AL692" t="n">
        <v>1</v>
      </c>
      <c r="AM692" t="n">
        <v>1</v>
      </c>
      <c r="AN692" t="n">
        <v>0</v>
      </c>
      <c r="AO692" t="n">
        <v>0</v>
      </c>
      <c r="AP692" t="inlineStr">
        <is>
          <t>No</t>
        </is>
      </c>
      <c r="AQ692" t="inlineStr">
        <is>
          <t>Yes</t>
        </is>
      </c>
      <c r="AR692">
        <f>HYPERLINK("http://catalog.hathitrust.org/Record/008326898","HathiTrust Record")</f>
        <v/>
      </c>
      <c r="AS692">
        <f>HYPERLINK("https://creighton-primo.hosted.exlibrisgroup.com/primo-explore/search?tab=default_tab&amp;search_scope=EVERYTHING&amp;vid=01CRU&amp;lang=en_US&amp;offset=0&amp;query=any,contains,991003494239702656","Catalog Record")</f>
        <v/>
      </c>
      <c r="AT692">
        <f>HYPERLINK("http://www.worldcat.org/oclc/43561599","WorldCat Record")</f>
        <v/>
      </c>
      <c r="AU692" t="inlineStr">
        <is>
          <t>997312594:eng</t>
        </is>
      </c>
      <c r="AV692" t="inlineStr">
        <is>
          <t>43561599</t>
        </is>
      </c>
      <c r="AW692" t="inlineStr">
        <is>
          <t>991003494239702656</t>
        </is>
      </c>
      <c r="AX692" t="inlineStr">
        <is>
          <t>991003494239702656</t>
        </is>
      </c>
      <c r="AY692" t="inlineStr">
        <is>
          <t>2268301130002656</t>
        </is>
      </c>
      <c r="AZ692" t="inlineStr">
        <is>
          <t>BOOK</t>
        </is>
      </c>
      <c r="BC692" t="inlineStr">
        <is>
          <t>32285004314349</t>
        </is>
      </c>
      <c r="BD692" t="inlineStr">
        <is>
          <t>893416442</t>
        </is>
      </c>
    </row>
    <row r="693">
      <c r="A693" t="inlineStr">
        <is>
          <t>No</t>
        </is>
      </c>
      <c r="B693" t="inlineStr">
        <is>
          <t>LB1555 .L422</t>
        </is>
      </c>
      <c r="C693" t="inlineStr">
        <is>
          <t>0                      LB 1555000L  422</t>
        </is>
      </c>
      <c r="D693" t="inlineStr">
        <is>
          <t>Foundations of elementary education, by J. Murray Lee. Edited by Myrtle F. Lee.</t>
        </is>
      </c>
      <c r="F693" t="inlineStr">
        <is>
          <t>No</t>
        </is>
      </c>
      <c r="G693" t="inlineStr">
        <is>
          <t>1</t>
        </is>
      </c>
      <c r="H693" t="inlineStr">
        <is>
          <t>No</t>
        </is>
      </c>
      <c r="I693" t="inlineStr">
        <is>
          <t>No</t>
        </is>
      </c>
      <c r="J693" t="inlineStr">
        <is>
          <t>0</t>
        </is>
      </c>
      <c r="K693" t="inlineStr">
        <is>
          <t>Lee, J. Murray (Johnathan Murray), 1904-1986.</t>
        </is>
      </c>
      <c r="L693" t="inlineStr">
        <is>
          <t>Boston, Allyn and Bacon [1969]</t>
        </is>
      </c>
      <c r="M693" t="inlineStr">
        <is>
          <t>1969</t>
        </is>
      </c>
      <c r="O693" t="inlineStr">
        <is>
          <t>eng</t>
        </is>
      </c>
      <c r="P693" t="inlineStr">
        <is>
          <t>mau</t>
        </is>
      </c>
      <c r="Q693" t="inlineStr">
        <is>
          <t>The Allyn and Bacon series: foundations of education</t>
        </is>
      </c>
      <c r="R693" t="inlineStr">
        <is>
          <t xml:space="preserve">LB </t>
        </is>
      </c>
      <c r="S693" t="n">
        <v>4</v>
      </c>
      <c r="T693" t="n">
        <v>4</v>
      </c>
      <c r="U693" t="inlineStr">
        <is>
          <t>2007-09-05</t>
        </is>
      </c>
      <c r="V693" t="inlineStr">
        <is>
          <t>2007-09-05</t>
        </is>
      </c>
      <c r="W693" t="inlineStr">
        <is>
          <t>1998-04-28</t>
        </is>
      </c>
      <c r="X693" t="inlineStr">
        <is>
          <t>1998-04-28</t>
        </is>
      </c>
      <c r="Y693" t="n">
        <v>268</v>
      </c>
      <c r="Z693" t="n">
        <v>242</v>
      </c>
      <c r="AA693" t="n">
        <v>244</v>
      </c>
      <c r="AB693" t="n">
        <v>7</v>
      </c>
      <c r="AC693" t="n">
        <v>7</v>
      </c>
      <c r="AD693" t="n">
        <v>18</v>
      </c>
      <c r="AE693" t="n">
        <v>18</v>
      </c>
      <c r="AF693" t="n">
        <v>4</v>
      </c>
      <c r="AG693" t="n">
        <v>4</v>
      </c>
      <c r="AH693" t="n">
        <v>3</v>
      </c>
      <c r="AI693" t="n">
        <v>3</v>
      </c>
      <c r="AJ693" t="n">
        <v>9</v>
      </c>
      <c r="AK693" t="n">
        <v>9</v>
      </c>
      <c r="AL693" t="n">
        <v>6</v>
      </c>
      <c r="AM693" t="n">
        <v>6</v>
      </c>
      <c r="AN693" t="n">
        <v>0</v>
      </c>
      <c r="AO693" t="n">
        <v>0</v>
      </c>
      <c r="AP693" t="inlineStr">
        <is>
          <t>No</t>
        </is>
      </c>
      <c r="AQ693" t="inlineStr">
        <is>
          <t>Yes</t>
        </is>
      </c>
      <c r="AR693">
        <f>HYPERLINK("http://catalog.hathitrust.org/Record/001281525","HathiTrust Record")</f>
        <v/>
      </c>
      <c r="AS693">
        <f>HYPERLINK("https://creighton-primo.hosted.exlibrisgroup.com/primo-explore/search?tab=default_tab&amp;search_scope=EVERYTHING&amp;vid=01CRU&amp;lang=en_US&amp;offset=0&amp;query=any,contains,991000015459702656","Catalog Record")</f>
        <v/>
      </c>
      <c r="AT693">
        <f>HYPERLINK("http://www.worldcat.org/oclc/16723","WorldCat Record")</f>
        <v/>
      </c>
      <c r="AU693" t="inlineStr">
        <is>
          <t>1139325:eng</t>
        </is>
      </c>
      <c r="AV693" t="inlineStr">
        <is>
          <t>16723</t>
        </is>
      </c>
      <c r="AW693" t="inlineStr">
        <is>
          <t>991000015459702656</t>
        </is>
      </c>
      <c r="AX693" t="inlineStr">
        <is>
          <t>991000015459702656</t>
        </is>
      </c>
      <c r="AY693" t="inlineStr">
        <is>
          <t>2271521790002656</t>
        </is>
      </c>
      <c r="AZ693" t="inlineStr">
        <is>
          <t>BOOK</t>
        </is>
      </c>
      <c r="BC693" t="inlineStr">
        <is>
          <t>32285003395273</t>
        </is>
      </c>
      <c r="BD693" t="inlineStr">
        <is>
          <t>893701758</t>
        </is>
      </c>
    </row>
    <row r="694">
      <c r="A694" t="inlineStr">
        <is>
          <t>No</t>
        </is>
      </c>
      <c r="B694" t="inlineStr">
        <is>
          <t>LB1555 .T26 1986</t>
        </is>
      </c>
      <c r="C694" t="inlineStr">
        <is>
          <t>0                      LB 1555000T  26          1986</t>
        </is>
      </c>
      <c r="D694" t="inlineStr">
        <is>
          <t>Expertise and the primary school teacher / Philip H. Taylor.</t>
        </is>
      </c>
      <c r="F694" t="inlineStr">
        <is>
          <t>No</t>
        </is>
      </c>
      <c r="G694" t="inlineStr">
        <is>
          <t>1</t>
        </is>
      </c>
      <c r="H694" t="inlineStr">
        <is>
          <t>No</t>
        </is>
      </c>
      <c r="I694" t="inlineStr">
        <is>
          <t>No</t>
        </is>
      </c>
      <c r="J694" t="inlineStr">
        <is>
          <t>0</t>
        </is>
      </c>
      <c r="K694" t="inlineStr">
        <is>
          <t>Taylor, Philip Hampson.</t>
        </is>
      </c>
      <c r="L694" t="inlineStr">
        <is>
          <t>Windsor, Berkshire [England] ; Philadelphia, PA : NFER-Nelson, 1986.</t>
        </is>
      </c>
      <c r="M694" t="inlineStr">
        <is>
          <t>1986</t>
        </is>
      </c>
      <c r="O694" t="inlineStr">
        <is>
          <t>eng</t>
        </is>
      </c>
      <c r="P694" t="inlineStr">
        <is>
          <t>enk</t>
        </is>
      </c>
      <c r="R694" t="inlineStr">
        <is>
          <t xml:space="preserve">LB </t>
        </is>
      </c>
      <c r="S694" t="n">
        <v>2</v>
      </c>
      <c r="T694" t="n">
        <v>2</v>
      </c>
      <c r="U694" t="inlineStr">
        <is>
          <t>2007-02-07</t>
        </is>
      </c>
      <c r="V694" t="inlineStr">
        <is>
          <t>2007-02-07</t>
        </is>
      </c>
      <c r="W694" t="inlineStr">
        <is>
          <t>1990-05-07</t>
        </is>
      </c>
      <c r="X694" t="inlineStr">
        <is>
          <t>1990-05-07</t>
        </is>
      </c>
      <c r="Y694" t="n">
        <v>140</v>
      </c>
      <c r="Z694" t="n">
        <v>70</v>
      </c>
      <c r="AA694" t="n">
        <v>72</v>
      </c>
      <c r="AB694" t="n">
        <v>2</v>
      </c>
      <c r="AC694" t="n">
        <v>2</v>
      </c>
      <c r="AD694" t="n">
        <v>1</v>
      </c>
      <c r="AE694" t="n">
        <v>1</v>
      </c>
      <c r="AF694" t="n">
        <v>0</v>
      </c>
      <c r="AG694" t="n">
        <v>0</v>
      </c>
      <c r="AH694" t="n">
        <v>0</v>
      </c>
      <c r="AI694" t="n">
        <v>0</v>
      </c>
      <c r="AJ694" t="n">
        <v>0</v>
      </c>
      <c r="AK694" t="n">
        <v>0</v>
      </c>
      <c r="AL694" t="n">
        <v>1</v>
      </c>
      <c r="AM694" t="n">
        <v>1</v>
      </c>
      <c r="AN694" t="n">
        <v>0</v>
      </c>
      <c r="AO694" t="n">
        <v>0</v>
      </c>
      <c r="AP694" t="inlineStr">
        <is>
          <t>No</t>
        </is>
      </c>
      <c r="AQ694" t="inlineStr">
        <is>
          <t>Yes</t>
        </is>
      </c>
      <c r="AR694">
        <f>HYPERLINK("http://catalog.hathitrust.org/Record/000816380","HathiTrust Record")</f>
        <v/>
      </c>
      <c r="AS694">
        <f>HYPERLINK("https://creighton-primo.hosted.exlibrisgroup.com/primo-explore/search?tab=default_tab&amp;search_scope=EVERYTHING&amp;vid=01CRU&amp;lang=en_US&amp;offset=0&amp;query=any,contains,991000809279702656","Catalog Record")</f>
        <v/>
      </c>
      <c r="AT694">
        <f>HYPERLINK("http://www.worldcat.org/oclc/13329285","WorldCat Record")</f>
        <v/>
      </c>
      <c r="AU694" t="inlineStr">
        <is>
          <t>7414091:eng</t>
        </is>
      </c>
      <c r="AV694" t="inlineStr">
        <is>
          <t>13329285</t>
        </is>
      </c>
      <c r="AW694" t="inlineStr">
        <is>
          <t>991000809279702656</t>
        </is>
      </c>
      <c r="AX694" t="inlineStr">
        <is>
          <t>991000809279702656</t>
        </is>
      </c>
      <c r="AY694" t="inlineStr">
        <is>
          <t>2258577700002656</t>
        </is>
      </c>
      <c r="AZ694" t="inlineStr">
        <is>
          <t>BOOK</t>
        </is>
      </c>
      <c r="BB694" t="inlineStr">
        <is>
          <t>9780700510368</t>
        </is>
      </c>
      <c r="BC694" t="inlineStr">
        <is>
          <t>32285000149772</t>
        </is>
      </c>
      <c r="BD694" t="inlineStr">
        <is>
          <t>893865705</t>
        </is>
      </c>
    </row>
    <row r="695">
      <c r="A695" t="inlineStr">
        <is>
          <t>No</t>
        </is>
      </c>
      <c r="B695" t="inlineStr">
        <is>
          <t>LB1555 .T54</t>
        </is>
      </c>
      <c r="C695" t="inlineStr">
        <is>
          <t>0                      LB 1555000T  54</t>
        </is>
      </c>
      <c r="D695" t="inlineStr">
        <is>
          <t>Elementary teacher's complete ideas handbook, by Sidney W. Tiedt and Iris M. Tiedt.</t>
        </is>
      </c>
      <c r="F695" t="inlineStr">
        <is>
          <t>No</t>
        </is>
      </c>
      <c r="G695" t="inlineStr">
        <is>
          <t>1</t>
        </is>
      </c>
      <c r="H695" t="inlineStr">
        <is>
          <t>No</t>
        </is>
      </c>
      <c r="I695" t="inlineStr">
        <is>
          <t>No</t>
        </is>
      </c>
      <c r="J695" t="inlineStr">
        <is>
          <t>0</t>
        </is>
      </c>
      <c r="K695" t="inlineStr">
        <is>
          <t>Tiedt, Sidney W.</t>
        </is>
      </c>
      <c r="L695" t="inlineStr">
        <is>
          <t>Englewood Cliffs, N.J., Prentice-Hall [1965]</t>
        </is>
      </c>
      <c r="M695" t="inlineStr">
        <is>
          <t>1965</t>
        </is>
      </c>
      <c r="O695" t="inlineStr">
        <is>
          <t>eng</t>
        </is>
      </c>
      <c r="P695" t="inlineStr">
        <is>
          <t>nju</t>
        </is>
      </c>
      <c r="R695" t="inlineStr">
        <is>
          <t xml:space="preserve">LB </t>
        </is>
      </c>
      <c r="S695" t="n">
        <v>3</v>
      </c>
      <c r="T695" t="n">
        <v>3</v>
      </c>
      <c r="U695" t="inlineStr">
        <is>
          <t>2007-09-05</t>
        </is>
      </c>
      <c r="V695" t="inlineStr">
        <is>
          <t>2007-09-05</t>
        </is>
      </c>
      <c r="W695" t="inlineStr">
        <is>
          <t>1992-04-01</t>
        </is>
      </c>
      <c r="X695" t="inlineStr">
        <is>
          <t>1992-04-01</t>
        </is>
      </c>
      <c r="Y695" t="n">
        <v>361</v>
      </c>
      <c r="Z695" t="n">
        <v>330</v>
      </c>
      <c r="AA695" t="n">
        <v>332</v>
      </c>
      <c r="AB695" t="n">
        <v>5</v>
      </c>
      <c r="AC695" t="n">
        <v>5</v>
      </c>
      <c r="AD695" t="n">
        <v>12</v>
      </c>
      <c r="AE695" t="n">
        <v>12</v>
      </c>
      <c r="AF695" t="n">
        <v>4</v>
      </c>
      <c r="AG695" t="n">
        <v>4</v>
      </c>
      <c r="AH695" t="n">
        <v>1</v>
      </c>
      <c r="AI695" t="n">
        <v>1</v>
      </c>
      <c r="AJ695" t="n">
        <v>8</v>
      </c>
      <c r="AK695" t="n">
        <v>8</v>
      </c>
      <c r="AL695" t="n">
        <v>2</v>
      </c>
      <c r="AM695" t="n">
        <v>2</v>
      </c>
      <c r="AN695" t="n">
        <v>0</v>
      </c>
      <c r="AO695" t="n">
        <v>0</v>
      </c>
      <c r="AP695" t="inlineStr">
        <is>
          <t>No</t>
        </is>
      </c>
      <c r="AQ695" t="inlineStr">
        <is>
          <t>Yes</t>
        </is>
      </c>
      <c r="AR695">
        <f>HYPERLINK("http://catalog.hathitrust.org/Record/001281550","HathiTrust Record")</f>
        <v/>
      </c>
      <c r="AS695">
        <f>HYPERLINK("https://creighton-primo.hosted.exlibrisgroup.com/primo-explore/search?tab=default_tab&amp;search_scope=EVERYTHING&amp;vid=01CRU&amp;lang=en_US&amp;offset=0&amp;query=any,contains,991003057939702656","Catalog Record")</f>
        <v/>
      </c>
      <c r="AT695">
        <f>HYPERLINK("http://www.worldcat.org/oclc/615809","WorldCat Record")</f>
        <v/>
      </c>
      <c r="AU695" t="inlineStr">
        <is>
          <t>1909161383:eng</t>
        </is>
      </c>
      <c r="AV695" t="inlineStr">
        <is>
          <t>615809</t>
        </is>
      </c>
      <c r="AW695" t="inlineStr">
        <is>
          <t>991003057939702656</t>
        </is>
      </c>
      <c r="AX695" t="inlineStr">
        <is>
          <t>991003057939702656</t>
        </is>
      </c>
      <c r="AY695" t="inlineStr">
        <is>
          <t>2267156140002656</t>
        </is>
      </c>
      <c r="AZ695" t="inlineStr">
        <is>
          <t>BOOK</t>
        </is>
      </c>
      <c r="BC695" t="inlineStr">
        <is>
          <t>32285001050698</t>
        </is>
      </c>
      <c r="BD695" t="inlineStr">
        <is>
          <t>893899585</t>
        </is>
      </c>
    </row>
    <row r="696">
      <c r="A696" t="inlineStr">
        <is>
          <t>No</t>
        </is>
      </c>
      <c r="B696" t="inlineStr">
        <is>
          <t>LB1564.D6 H46 1999</t>
        </is>
      </c>
      <c r="C696" t="inlineStr">
        <is>
          <t>0                      LB 1564000D  6                  H  46          1999</t>
        </is>
      </c>
      <c r="D696" t="inlineStr">
        <is>
          <t>El curr©Ưculo a debate / Argentina Hernr©Ưquez, colaboran Dignora Garc©Ưa y Alba Rina Acosta.</t>
        </is>
      </c>
      <c r="F696" t="inlineStr">
        <is>
          <t>No</t>
        </is>
      </c>
      <c r="G696" t="inlineStr">
        <is>
          <t>1</t>
        </is>
      </c>
      <c r="H696" t="inlineStr">
        <is>
          <t>No</t>
        </is>
      </c>
      <c r="I696" t="inlineStr">
        <is>
          <t>No</t>
        </is>
      </c>
      <c r="J696" t="inlineStr">
        <is>
          <t>0</t>
        </is>
      </c>
      <c r="K696" t="inlineStr">
        <is>
          <t>Henri¿¿quez, Argentina.</t>
        </is>
      </c>
      <c r="L696" t="inlineStr">
        <is>
          <t>Santo Domingo : Centro Cultural Poveda, 1999.</t>
        </is>
      </c>
      <c r="M696" t="inlineStr">
        <is>
          <t>1999</t>
        </is>
      </c>
      <c r="N696" t="inlineStr">
        <is>
          <t>2. ed.</t>
        </is>
      </c>
      <c r="O696" t="inlineStr">
        <is>
          <t>spa</t>
        </is>
      </c>
      <c r="P696" t="inlineStr">
        <is>
          <t xml:space="preserve">dr </t>
        </is>
      </c>
      <c r="Q696" t="inlineStr">
        <is>
          <t>Cuadernos de sociedad y educaci©đn ; 9</t>
        </is>
      </c>
      <c r="R696" t="inlineStr">
        <is>
          <t xml:space="preserve">LB </t>
        </is>
      </c>
      <c r="S696" t="n">
        <v>1</v>
      </c>
      <c r="T696" t="n">
        <v>1</v>
      </c>
      <c r="U696" t="inlineStr">
        <is>
          <t>2006-02-11</t>
        </is>
      </c>
      <c r="V696" t="inlineStr">
        <is>
          <t>2006-02-11</t>
        </is>
      </c>
      <c r="W696" t="inlineStr">
        <is>
          <t>2006-01-23</t>
        </is>
      </c>
      <c r="X696" t="inlineStr">
        <is>
          <t>2006-01-23</t>
        </is>
      </c>
      <c r="Y696" t="n">
        <v>3</v>
      </c>
      <c r="Z696" t="n">
        <v>3</v>
      </c>
      <c r="AA696" t="n">
        <v>3</v>
      </c>
      <c r="AB696" t="n">
        <v>1</v>
      </c>
      <c r="AC696" t="n">
        <v>1</v>
      </c>
      <c r="AD696" t="n">
        <v>0</v>
      </c>
      <c r="AE696" t="n">
        <v>0</v>
      </c>
      <c r="AF696" t="n">
        <v>0</v>
      </c>
      <c r="AG696" t="n">
        <v>0</v>
      </c>
      <c r="AH696" t="n">
        <v>0</v>
      </c>
      <c r="AI696" t="n">
        <v>0</v>
      </c>
      <c r="AJ696" t="n">
        <v>0</v>
      </c>
      <c r="AK696" t="n">
        <v>0</v>
      </c>
      <c r="AL696" t="n">
        <v>0</v>
      </c>
      <c r="AM696" t="n">
        <v>0</v>
      </c>
      <c r="AN696" t="n">
        <v>0</v>
      </c>
      <c r="AO696" t="n">
        <v>0</v>
      </c>
      <c r="AP696" t="inlineStr">
        <is>
          <t>No</t>
        </is>
      </c>
      <c r="AQ696" t="inlineStr">
        <is>
          <t>No</t>
        </is>
      </c>
      <c r="AS696">
        <f>HYPERLINK("https://creighton-primo.hosted.exlibrisgroup.com/primo-explore/search?tab=default_tab&amp;search_scope=EVERYTHING&amp;vid=01CRU&amp;lang=en_US&amp;offset=0&amp;query=any,contains,991004720769702656","Catalog Record")</f>
        <v/>
      </c>
      <c r="AT696">
        <f>HYPERLINK("http://www.worldcat.org/oclc/62752392","WorldCat Record")</f>
        <v/>
      </c>
      <c r="AU696" t="inlineStr">
        <is>
          <t>47070324:spa</t>
        </is>
      </c>
      <c r="AV696" t="inlineStr">
        <is>
          <t>62752392</t>
        </is>
      </c>
      <c r="AW696" t="inlineStr">
        <is>
          <t>991004720769702656</t>
        </is>
      </c>
      <c r="AX696" t="inlineStr">
        <is>
          <t>991004720769702656</t>
        </is>
      </c>
      <c r="AY696" t="inlineStr">
        <is>
          <t>2269994270002656</t>
        </is>
      </c>
      <c r="AZ696" t="inlineStr">
        <is>
          <t>BOOK</t>
        </is>
      </c>
      <c r="BB696" t="inlineStr">
        <is>
          <t>9788492389360</t>
        </is>
      </c>
      <c r="BC696" t="inlineStr">
        <is>
          <t>32285005100218</t>
        </is>
      </c>
      <c r="BD696" t="inlineStr">
        <is>
          <t>893612689</t>
        </is>
      </c>
    </row>
    <row r="697">
      <c r="A697" t="inlineStr">
        <is>
          <t>No</t>
        </is>
      </c>
      <c r="B697" t="inlineStr">
        <is>
          <t>LB1570 .A26 1994</t>
        </is>
      </c>
      <c r="C697" t="inlineStr">
        <is>
          <t>0                      LB 1570000A  26          1994</t>
        </is>
      </c>
      <c r="D697" t="inlineStr">
        <is>
          <t>New designs for teaching and learning : promoting active learning in tomorrow's schools / Dennis Adams, Mary Hamm.</t>
        </is>
      </c>
      <c r="F697" t="inlineStr">
        <is>
          <t>No</t>
        </is>
      </c>
      <c r="G697" t="inlineStr">
        <is>
          <t>1</t>
        </is>
      </c>
      <c r="H697" t="inlineStr">
        <is>
          <t>No</t>
        </is>
      </c>
      <c r="I697" t="inlineStr">
        <is>
          <t>No</t>
        </is>
      </c>
      <c r="J697" t="inlineStr">
        <is>
          <t>0</t>
        </is>
      </c>
      <c r="K697" t="inlineStr">
        <is>
          <t>Adams, Dennis, 1947-</t>
        </is>
      </c>
      <c r="L697" t="inlineStr">
        <is>
          <t>San Francisco : Jossey-Bass, c1994.</t>
        </is>
      </c>
      <c r="M697" t="inlineStr">
        <is>
          <t>1994</t>
        </is>
      </c>
      <c r="N697" t="inlineStr">
        <is>
          <t>1st ed.</t>
        </is>
      </c>
      <c r="O697" t="inlineStr">
        <is>
          <t>eng</t>
        </is>
      </c>
      <c r="P697" t="inlineStr">
        <is>
          <t>cau</t>
        </is>
      </c>
      <c r="Q697" t="inlineStr">
        <is>
          <t>The Jossey-Bass education series</t>
        </is>
      </c>
      <c r="R697" t="inlineStr">
        <is>
          <t xml:space="preserve">LB </t>
        </is>
      </c>
      <c r="S697" t="n">
        <v>3</v>
      </c>
      <c r="T697" t="n">
        <v>3</v>
      </c>
      <c r="U697" t="inlineStr">
        <is>
          <t>2001-08-22</t>
        </is>
      </c>
      <c r="V697" t="inlineStr">
        <is>
          <t>2001-08-22</t>
        </is>
      </c>
      <c r="W697" t="inlineStr">
        <is>
          <t>1996-02-01</t>
        </is>
      </c>
      <c r="X697" t="inlineStr">
        <is>
          <t>1996-02-01</t>
        </is>
      </c>
      <c r="Y697" t="n">
        <v>492</v>
      </c>
      <c r="Z697" t="n">
        <v>417</v>
      </c>
      <c r="AA697" t="n">
        <v>423</v>
      </c>
      <c r="AB697" t="n">
        <v>3</v>
      </c>
      <c r="AC697" t="n">
        <v>3</v>
      </c>
      <c r="AD697" t="n">
        <v>21</v>
      </c>
      <c r="AE697" t="n">
        <v>21</v>
      </c>
      <c r="AF697" t="n">
        <v>8</v>
      </c>
      <c r="AG697" t="n">
        <v>8</v>
      </c>
      <c r="AH697" t="n">
        <v>3</v>
      </c>
      <c r="AI697" t="n">
        <v>3</v>
      </c>
      <c r="AJ697" t="n">
        <v>13</v>
      </c>
      <c r="AK697" t="n">
        <v>13</v>
      </c>
      <c r="AL697" t="n">
        <v>2</v>
      </c>
      <c r="AM697" t="n">
        <v>2</v>
      </c>
      <c r="AN697" t="n">
        <v>0</v>
      </c>
      <c r="AO697" t="n">
        <v>0</v>
      </c>
      <c r="AP697" t="inlineStr">
        <is>
          <t>No</t>
        </is>
      </c>
      <c r="AQ697" t="inlineStr">
        <is>
          <t>Yes</t>
        </is>
      </c>
      <c r="AR697">
        <f>HYPERLINK("http://catalog.hathitrust.org/Record/002905735","HathiTrust Record")</f>
        <v/>
      </c>
      <c r="AS697">
        <f>HYPERLINK("https://creighton-primo.hosted.exlibrisgroup.com/primo-explore/search?tab=default_tab&amp;search_scope=EVERYTHING&amp;vid=01CRU&amp;lang=en_US&amp;offset=0&amp;query=any,contains,991002353719702656","Catalog Record")</f>
        <v/>
      </c>
      <c r="AT697">
        <f>HYPERLINK("http://www.worldcat.org/oclc/30625316","WorldCat Record")</f>
        <v/>
      </c>
      <c r="AU697" t="inlineStr">
        <is>
          <t>890299732:eng</t>
        </is>
      </c>
      <c r="AV697" t="inlineStr">
        <is>
          <t>30625316</t>
        </is>
      </c>
      <c r="AW697" t="inlineStr">
        <is>
          <t>991002353719702656</t>
        </is>
      </c>
      <c r="AX697" t="inlineStr">
        <is>
          <t>991002353719702656</t>
        </is>
      </c>
      <c r="AY697" t="inlineStr">
        <is>
          <t>2260688900002656</t>
        </is>
      </c>
      <c r="AZ697" t="inlineStr">
        <is>
          <t>BOOK</t>
        </is>
      </c>
      <c r="BB697" t="inlineStr">
        <is>
          <t>9780787900205</t>
        </is>
      </c>
      <c r="BC697" t="inlineStr">
        <is>
          <t>32285002127289</t>
        </is>
      </c>
      <c r="BD697" t="inlineStr">
        <is>
          <t>893886157</t>
        </is>
      </c>
    </row>
    <row r="698">
      <c r="A698" t="inlineStr">
        <is>
          <t>No</t>
        </is>
      </c>
      <c r="B698" t="inlineStr">
        <is>
          <t>LB1570 .A67 1996</t>
        </is>
      </c>
      <c r="C698" t="inlineStr">
        <is>
          <t>0                      LB 1570000A  67          1996</t>
        </is>
      </c>
      <c r="D698" t="inlineStr">
        <is>
          <t>Curriculum as conversation : transforming traditions of teaching and learning / Arthur N. Applebee.</t>
        </is>
      </c>
      <c r="F698" t="inlineStr">
        <is>
          <t>No</t>
        </is>
      </c>
      <c r="G698" t="inlineStr">
        <is>
          <t>1</t>
        </is>
      </c>
      <c r="H698" t="inlineStr">
        <is>
          <t>No</t>
        </is>
      </c>
      <c r="I698" t="inlineStr">
        <is>
          <t>No</t>
        </is>
      </c>
      <c r="J698" t="inlineStr">
        <is>
          <t>0</t>
        </is>
      </c>
      <c r="K698" t="inlineStr">
        <is>
          <t>Applebee, Arthur N.</t>
        </is>
      </c>
      <c r="L698" t="inlineStr">
        <is>
          <t>Chicago : University of Chicago Press, 1996.</t>
        </is>
      </c>
      <c r="M698" t="inlineStr">
        <is>
          <t>1996</t>
        </is>
      </c>
      <c r="O698" t="inlineStr">
        <is>
          <t>eng</t>
        </is>
      </c>
      <c r="P698" t="inlineStr">
        <is>
          <t>ilu</t>
        </is>
      </c>
      <c r="R698" t="inlineStr">
        <is>
          <t xml:space="preserve">LB </t>
        </is>
      </c>
      <c r="S698" t="n">
        <v>1</v>
      </c>
      <c r="T698" t="n">
        <v>1</v>
      </c>
      <c r="U698" t="inlineStr">
        <is>
          <t>2009-08-24</t>
        </is>
      </c>
      <c r="V698" t="inlineStr">
        <is>
          <t>2009-08-24</t>
        </is>
      </c>
      <c r="W698" t="inlineStr">
        <is>
          <t>1997-05-07</t>
        </is>
      </c>
      <c r="X698" t="inlineStr">
        <is>
          <t>1997-05-07</t>
        </is>
      </c>
      <c r="Y698" t="n">
        <v>835</v>
      </c>
      <c r="Z698" t="n">
        <v>726</v>
      </c>
      <c r="AA698" t="n">
        <v>769</v>
      </c>
      <c r="AB698" t="n">
        <v>4</v>
      </c>
      <c r="AC698" t="n">
        <v>5</v>
      </c>
      <c r="AD698" t="n">
        <v>36</v>
      </c>
      <c r="AE698" t="n">
        <v>37</v>
      </c>
      <c r="AF698" t="n">
        <v>19</v>
      </c>
      <c r="AG698" t="n">
        <v>19</v>
      </c>
      <c r="AH698" t="n">
        <v>6</v>
      </c>
      <c r="AI698" t="n">
        <v>6</v>
      </c>
      <c r="AJ698" t="n">
        <v>17</v>
      </c>
      <c r="AK698" t="n">
        <v>17</v>
      </c>
      <c r="AL698" t="n">
        <v>3</v>
      </c>
      <c r="AM698" t="n">
        <v>4</v>
      </c>
      <c r="AN698" t="n">
        <v>0</v>
      </c>
      <c r="AO698" t="n">
        <v>0</v>
      </c>
      <c r="AP698" t="inlineStr">
        <is>
          <t>No</t>
        </is>
      </c>
      <c r="AQ698" t="inlineStr">
        <is>
          <t>No</t>
        </is>
      </c>
      <c r="AS698">
        <f>HYPERLINK("https://creighton-primo.hosted.exlibrisgroup.com/primo-explore/search?tab=default_tab&amp;search_scope=EVERYTHING&amp;vid=01CRU&amp;lang=en_US&amp;offset=0&amp;query=any,contains,991002552409702656","Catalog Record")</f>
        <v/>
      </c>
      <c r="AT698">
        <f>HYPERLINK("http://www.worldcat.org/oclc/33163113","WorldCat Record")</f>
        <v/>
      </c>
      <c r="AU698" t="inlineStr">
        <is>
          <t>314972001:eng</t>
        </is>
      </c>
      <c r="AV698" t="inlineStr">
        <is>
          <t>33163113</t>
        </is>
      </c>
      <c r="AW698" t="inlineStr">
        <is>
          <t>991002552409702656</t>
        </is>
      </c>
      <c r="AX698" t="inlineStr">
        <is>
          <t>991002552409702656</t>
        </is>
      </c>
      <c r="AY698" t="inlineStr">
        <is>
          <t>2255318170002656</t>
        </is>
      </c>
      <c r="AZ698" t="inlineStr">
        <is>
          <t>BOOK</t>
        </is>
      </c>
      <c r="BB698" t="inlineStr">
        <is>
          <t>9780226021218</t>
        </is>
      </c>
      <c r="BC698" t="inlineStr">
        <is>
          <t>32285002605862</t>
        </is>
      </c>
      <c r="BD698" t="inlineStr">
        <is>
          <t>893517416</t>
        </is>
      </c>
    </row>
    <row r="699">
      <c r="A699" t="inlineStr">
        <is>
          <t>No</t>
        </is>
      </c>
      <c r="B699" t="inlineStr">
        <is>
          <t>LB1570 .B3134 2009</t>
        </is>
      </c>
      <c r="C699" t="inlineStr">
        <is>
          <t>0                      LB 1570000B  3134        2009</t>
        </is>
      </c>
      <c r="D699" t="inlineStr">
        <is>
          <t>Designing elementary instruction and assessment : using the cognitive domain / John L. Badgett, Edwin P. Christmann.</t>
        </is>
      </c>
      <c r="F699" t="inlineStr">
        <is>
          <t>No</t>
        </is>
      </c>
      <c r="G699" t="inlineStr">
        <is>
          <t>1</t>
        </is>
      </c>
      <c r="H699" t="inlineStr">
        <is>
          <t>No</t>
        </is>
      </c>
      <c r="I699" t="inlineStr">
        <is>
          <t>No</t>
        </is>
      </c>
      <c r="J699" t="inlineStr">
        <is>
          <t>0</t>
        </is>
      </c>
      <c r="K699" t="inlineStr">
        <is>
          <t>Badgett, John L.</t>
        </is>
      </c>
      <c r="L699" t="inlineStr">
        <is>
          <t>Thousand Oaks, Calif. : Corwin, c2009.</t>
        </is>
      </c>
      <c r="M699" t="inlineStr">
        <is>
          <t>2009</t>
        </is>
      </c>
      <c r="O699" t="inlineStr">
        <is>
          <t>eng</t>
        </is>
      </c>
      <c r="P699" t="inlineStr">
        <is>
          <t>cau</t>
        </is>
      </c>
      <c r="R699" t="inlineStr">
        <is>
          <t xml:space="preserve">LB </t>
        </is>
      </c>
      <c r="S699" t="n">
        <v>1</v>
      </c>
      <c r="T699" t="n">
        <v>1</v>
      </c>
      <c r="U699" t="inlineStr">
        <is>
          <t>2009-06-25</t>
        </is>
      </c>
      <c r="V699" t="inlineStr">
        <is>
          <t>2009-06-25</t>
        </is>
      </c>
      <c r="W699" t="inlineStr">
        <is>
          <t>2009-06-25</t>
        </is>
      </c>
      <c r="X699" t="inlineStr">
        <is>
          <t>2009-06-25</t>
        </is>
      </c>
      <c r="Y699" t="n">
        <v>205</v>
      </c>
      <c r="Z699" t="n">
        <v>168</v>
      </c>
      <c r="AA699" t="n">
        <v>564</v>
      </c>
      <c r="AB699" t="n">
        <v>2</v>
      </c>
      <c r="AC699" t="n">
        <v>5</v>
      </c>
      <c r="AD699" t="n">
        <v>9</v>
      </c>
      <c r="AE699" t="n">
        <v>14</v>
      </c>
      <c r="AF699" t="n">
        <v>3</v>
      </c>
      <c r="AG699" t="n">
        <v>5</v>
      </c>
      <c r="AH699" t="n">
        <v>3</v>
      </c>
      <c r="AI699" t="n">
        <v>4</v>
      </c>
      <c r="AJ699" t="n">
        <v>5</v>
      </c>
      <c r="AK699" t="n">
        <v>6</v>
      </c>
      <c r="AL699" t="n">
        <v>1</v>
      </c>
      <c r="AM699" t="n">
        <v>4</v>
      </c>
      <c r="AN699" t="n">
        <v>0</v>
      </c>
      <c r="AO699" t="n">
        <v>0</v>
      </c>
      <c r="AP699" t="inlineStr">
        <is>
          <t>No</t>
        </is>
      </c>
      <c r="AQ699" t="inlineStr">
        <is>
          <t>No</t>
        </is>
      </c>
      <c r="AS699">
        <f>HYPERLINK("https://creighton-primo.hosted.exlibrisgroup.com/primo-explore/search?tab=default_tab&amp;search_scope=EVERYTHING&amp;vid=01CRU&amp;lang=en_US&amp;offset=0&amp;query=any,contains,991005324679702656","Catalog Record")</f>
        <v/>
      </c>
      <c r="AT699">
        <f>HYPERLINK("http://www.worldcat.org/oclc/282966338","WorldCat Record")</f>
        <v/>
      </c>
      <c r="AU699" t="inlineStr">
        <is>
          <t>797268990:eng</t>
        </is>
      </c>
      <c r="AV699" t="inlineStr">
        <is>
          <t>282966338</t>
        </is>
      </c>
      <c r="AW699" t="inlineStr">
        <is>
          <t>991005324679702656</t>
        </is>
      </c>
      <c r="AX699" t="inlineStr">
        <is>
          <t>991005324679702656</t>
        </is>
      </c>
      <c r="AY699" t="inlineStr">
        <is>
          <t>2268387090002656</t>
        </is>
      </c>
      <c r="AZ699" t="inlineStr">
        <is>
          <t>BOOK</t>
        </is>
      </c>
      <c r="BB699" t="inlineStr">
        <is>
          <t>9781412971201</t>
        </is>
      </c>
      <c r="BC699" t="inlineStr">
        <is>
          <t>32285005537039</t>
        </is>
      </c>
      <c r="BD699" t="inlineStr">
        <is>
          <t>893707642</t>
        </is>
      </c>
    </row>
    <row r="700">
      <c r="A700" t="inlineStr">
        <is>
          <t>No</t>
        </is>
      </c>
      <c r="B700" t="inlineStr">
        <is>
          <t>LB1570 .B326 1980</t>
        </is>
      </c>
      <c r="C700" t="inlineStr">
        <is>
          <t>0                      LB 1570000B  326         1980</t>
        </is>
      </c>
      <c r="D700" t="inlineStr">
        <is>
          <t>Dilemmas of the curriculum / G. H. Bantock.</t>
        </is>
      </c>
      <c r="F700" t="inlineStr">
        <is>
          <t>No</t>
        </is>
      </c>
      <c r="G700" t="inlineStr">
        <is>
          <t>1</t>
        </is>
      </c>
      <c r="H700" t="inlineStr">
        <is>
          <t>No</t>
        </is>
      </c>
      <c r="I700" t="inlineStr">
        <is>
          <t>No</t>
        </is>
      </c>
      <c r="J700" t="inlineStr">
        <is>
          <t>0</t>
        </is>
      </c>
      <c r="K700" t="inlineStr">
        <is>
          <t>Bantock, G. H. (Geoffrey Herman), 1914-</t>
        </is>
      </c>
      <c r="L700" t="inlineStr">
        <is>
          <t>New York : Wiley, c1980.</t>
        </is>
      </c>
      <c r="M700" t="inlineStr">
        <is>
          <t>1980</t>
        </is>
      </c>
      <c r="O700" t="inlineStr">
        <is>
          <t>eng</t>
        </is>
      </c>
      <c r="P700" t="inlineStr">
        <is>
          <t>nyu</t>
        </is>
      </c>
      <c r="R700" t="inlineStr">
        <is>
          <t xml:space="preserve">LB </t>
        </is>
      </c>
      <c r="S700" t="n">
        <v>2</v>
      </c>
      <c r="T700" t="n">
        <v>2</v>
      </c>
      <c r="U700" t="inlineStr">
        <is>
          <t>1996-11-13</t>
        </is>
      </c>
      <c r="V700" t="inlineStr">
        <is>
          <t>1996-11-13</t>
        </is>
      </c>
      <c r="W700" t="inlineStr">
        <is>
          <t>1993-01-26</t>
        </is>
      </c>
      <c r="X700" t="inlineStr">
        <is>
          <t>1993-01-26</t>
        </is>
      </c>
      <c r="Y700" t="n">
        <v>283</v>
      </c>
      <c r="Z700" t="n">
        <v>236</v>
      </c>
      <c r="AA700" t="n">
        <v>258</v>
      </c>
      <c r="AB700" t="n">
        <v>1</v>
      </c>
      <c r="AC700" t="n">
        <v>2</v>
      </c>
      <c r="AD700" t="n">
        <v>14</v>
      </c>
      <c r="AE700" t="n">
        <v>15</v>
      </c>
      <c r="AF700" t="n">
        <v>5</v>
      </c>
      <c r="AG700" t="n">
        <v>5</v>
      </c>
      <c r="AH700" t="n">
        <v>3</v>
      </c>
      <c r="AI700" t="n">
        <v>3</v>
      </c>
      <c r="AJ700" t="n">
        <v>11</v>
      </c>
      <c r="AK700" t="n">
        <v>11</v>
      </c>
      <c r="AL700" t="n">
        <v>0</v>
      </c>
      <c r="AM700" t="n">
        <v>1</v>
      </c>
      <c r="AN700" t="n">
        <v>0</v>
      </c>
      <c r="AO700" t="n">
        <v>0</v>
      </c>
      <c r="AP700" t="inlineStr">
        <is>
          <t>No</t>
        </is>
      </c>
      <c r="AQ700" t="inlineStr">
        <is>
          <t>No</t>
        </is>
      </c>
      <c r="AS700">
        <f>HYPERLINK("https://creighton-primo.hosted.exlibrisgroup.com/primo-explore/search?tab=default_tab&amp;search_scope=EVERYTHING&amp;vid=01CRU&amp;lang=en_US&amp;offset=0&amp;query=any,contains,991004925979702656","Catalog Record")</f>
        <v/>
      </c>
      <c r="AT700">
        <f>HYPERLINK("http://www.worldcat.org/oclc/6085958","WorldCat Record")</f>
        <v/>
      </c>
      <c r="AU700" t="inlineStr">
        <is>
          <t>20998518:eng</t>
        </is>
      </c>
      <c r="AV700" t="inlineStr">
        <is>
          <t>6085958</t>
        </is>
      </c>
      <c r="AW700" t="inlineStr">
        <is>
          <t>991004925979702656</t>
        </is>
      </c>
      <c r="AX700" t="inlineStr">
        <is>
          <t>991004925979702656</t>
        </is>
      </c>
      <c r="AY700" t="inlineStr">
        <is>
          <t>2260920180002656</t>
        </is>
      </c>
      <c r="AZ700" t="inlineStr">
        <is>
          <t>BOOK</t>
        </is>
      </c>
      <c r="BB700" t="inlineStr">
        <is>
          <t>9780470269206</t>
        </is>
      </c>
      <c r="BC700" t="inlineStr">
        <is>
          <t>32285001478154</t>
        </is>
      </c>
      <c r="BD700" t="inlineStr">
        <is>
          <t>893625246</t>
        </is>
      </c>
    </row>
    <row r="701">
      <c r="A701" t="inlineStr">
        <is>
          <t>No</t>
        </is>
      </c>
      <c r="B701" t="inlineStr">
        <is>
          <t>LB1570 .C877</t>
        </is>
      </c>
      <c r="C701" t="inlineStr">
        <is>
          <t>0                      LB 1570000C  877</t>
        </is>
      </c>
      <c r="D701" t="inlineStr">
        <is>
          <t>Creative ideas for small schools.</t>
        </is>
      </c>
      <c r="F701" t="inlineStr">
        <is>
          <t>No</t>
        </is>
      </c>
      <c r="G701" t="inlineStr">
        <is>
          <t>1</t>
        </is>
      </c>
      <c r="H701" t="inlineStr">
        <is>
          <t>No</t>
        </is>
      </c>
      <c r="I701" t="inlineStr">
        <is>
          <t>No</t>
        </is>
      </c>
      <c r="J701" t="inlineStr">
        <is>
          <t>0</t>
        </is>
      </c>
      <c r="L701" t="inlineStr">
        <is>
          <t>Arlington, Va. (1801 North Moore St., Arlington 22209) : American Association of School Administrators, c1981.</t>
        </is>
      </c>
      <c r="M701" t="inlineStr">
        <is>
          <t>1981</t>
        </is>
      </c>
      <c r="O701" t="inlineStr">
        <is>
          <t>eng</t>
        </is>
      </c>
      <c r="P701" t="inlineStr">
        <is>
          <t>vau</t>
        </is>
      </c>
      <c r="R701" t="inlineStr">
        <is>
          <t xml:space="preserve">LB </t>
        </is>
      </c>
      <c r="S701" t="n">
        <v>2</v>
      </c>
      <c r="T701" t="n">
        <v>2</v>
      </c>
      <c r="U701" t="inlineStr">
        <is>
          <t>1996-02-04</t>
        </is>
      </c>
      <c r="V701" t="inlineStr">
        <is>
          <t>1996-02-04</t>
        </is>
      </c>
      <c r="W701" t="inlineStr">
        <is>
          <t>1993-01-26</t>
        </is>
      </c>
      <c r="X701" t="inlineStr">
        <is>
          <t>1993-01-26</t>
        </is>
      </c>
      <c r="Y701" t="n">
        <v>84</v>
      </c>
      <c r="Z701" t="n">
        <v>81</v>
      </c>
      <c r="AA701" t="n">
        <v>83</v>
      </c>
      <c r="AB701" t="n">
        <v>3</v>
      </c>
      <c r="AC701" t="n">
        <v>3</v>
      </c>
      <c r="AD701" t="n">
        <v>4</v>
      </c>
      <c r="AE701" t="n">
        <v>4</v>
      </c>
      <c r="AF701" t="n">
        <v>2</v>
      </c>
      <c r="AG701" t="n">
        <v>2</v>
      </c>
      <c r="AH701" t="n">
        <v>0</v>
      </c>
      <c r="AI701" t="n">
        <v>0</v>
      </c>
      <c r="AJ701" t="n">
        <v>1</v>
      </c>
      <c r="AK701" t="n">
        <v>1</v>
      </c>
      <c r="AL701" t="n">
        <v>2</v>
      </c>
      <c r="AM701" t="n">
        <v>2</v>
      </c>
      <c r="AN701" t="n">
        <v>0</v>
      </c>
      <c r="AO701" t="n">
        <v>0</v>
      </c>
      <c r="AP701" t="inlineStr">
        <is>
          <t>No</t>
        </is>
      </c>
      <c r="AQ701" t="inlineStr">
        <is>
          <t>No</t>
        </is>
      </c>
      <c r="AS701">
        <f>HYPERLINK("https://creighton-primo.hosted.exlibrisgroup.com/primo-explore/search?tab=default_tab&amp;search_scope=EVERYTHING&amp;vid=01CRU&amp;lang=en_US&amp;offset=0&amp;query=any,contains,991005176479702656","Catalog Record")</f>
        <v/>
      </c>
      <c r="AT701">
        <f>HYPERLINK("http://www.worldcat.org/oclc/7923558","WorldCat Record")</f>
        <v/>
      </c>
      <c r="AU701" t="inlineStr">
        <is>
          <t>449176:eng</t>
        </is>
      </c>
      <c r="AV701" t="inlineStr">
        <is>
          <t>7923558</t>
        </is>
      </c>
      <c r="AW701" t="inlineStr">
        <is>
          <t>991005176479702656</t>
        </is>
      </c>
      <c r="AX701" t="inlineStr">
        <is>
          <t>991005176479702656</t>
        </is>
      </c>
      <c r="AY701" t="inlineStr">
        <is>
          <t>2269255290002656</t>
        </is>
      </c>
      <c r="AZ701" t="inlineStr">
        <is>
          <t>BOOK</t>
        </is>
      </c>
      <c r="BC701" t="inlineStr">
        <is>
          <t>32285001478170</t>
        </is>
      </c>
      <c r="BD701" t="inlineStr">
        <is>
          <t>893520576</t>
        </is>
      </c>
    </row>
    <row r="702">
      <c r="A702" t="inlineStr">
        <is>
          <t>No</t>
        </is>
      </c>
      <c r="B702" t="inlineStr">
        <is>
          <t>LB1570 .C88377 1998</t>
        </is>
      </c>
      <c r="C702" t="inlineStr">
        <is>
          <t>0                      LB 1570000C  88377       1998</t>
        </is>
      </c>
      <c r="D702" t="inlineStr">
        <is>
          <t>Curriculum : toward new identities / edited by William F. Pinar.</t>
        </is>
      </c>
      <c r="F702" t="inlineStr">
        <is>
          <t>No</t>
        </is>
      </c>
      <c r="G702" t="inlineStr">
        <is>
          <t>1</t>
        </is>
      </c>
      <c r="H702" t="inlineStr">
        <is>
          <t>No</t>
        </is>
      </c>
      <c r="I702" t="inlineStr">
        <is>
          <t>No</t>
        </is>
      </c>
      <c r="J702" t="inlineStr">
        <is>
          <t>0</t>
        </is>
      </c>
      <c r="L702" t="inlineStr">
        <is>
          <t>New York : Garland Publ., c1998.</t>
        </is>
      </c>
      <c r="M702" t="inlineStr">
        <is>
          <t>1998</t>
        </is>
      </c>
      <c r="O702" t="inlineStr">
        <is>
          <t>eng</t>
        </is>
      </c>
      <c r="P702" t="inlineStr">
        <is>
          <t>nyu</t>
        </is>
      </c>
      <c r="Q702" t="inlineStr">
        <is>
          <t>Critical education practice ; v. 12</t>
        </is>
      </c>
      <c r="R702" t="inlineStr">
        <is>
          <t xml:space="preserve">LB </t>
        </is>
      </c>
      <c r="S702" t="n">
        <v>5</v>
      </c>
      <c r="T702" t="n">
        <v>5</v>
      </c>
      <c r="U702" t="inlineStr">
        <is>
          <t>2005-02-25</t>
        </is>
      </c>
      <c r="V702" t="inlineStr">
        <is>
          <t>2005-02-25</t>
        </is>
      </c>
      <c r="W702" t="inlineStr">
        <is>
          <t>1998-04-22</t>
        </is>
      </c>
      <c r="X702" t="inlineStr">
        <is>
          <t>1998-04-22</t>
        </is>
      </c>
      <c r="Y702" t="n">
        <v>291</v>
      </c>
      <c r="Z702" t="n">
        <v>212</v>
      </c>
      <c r="AA702" t="n">
        <v>237</v>
      </c>
      <c r="AB702" t="n">
        <v>4</v>
      </c>
      <c r="AC702" t="n">
        <v>4</v>
      </c>
      <c r="AD702" t="n">
        <v>13</v>
      </c>
      <c r="AE702" t="n">
        <v>13</v>
      </c>
      <c r="AF702" t="n">
        <v>4</v>
      </c>
      <c r="AG702" t="n">
        <v>4</v>
      </c>
      <c r="AH702" t="n">
        <v>2</v>
      </c>
      <c r="AI702" t="n">
        <v>2</v>
      </c>
      <c r="AJ702" t="n">
        <v>6</v>
      </c>
      <c r="AK702" t="n">
        <v>6</v>
      </c>
      <c r="AL702" t="n">
        <v>3</v>
      </c>
      <c r="AM702" t="n">
        <v>3</v>
      </c>
      <c r="AN702" t="n">
        <v>0</v>
      </c>
      <c r="AO702" t="n">
        <v>0</v>
      </c>
      <c r="AP702" t="inlineStr">
        <is>
          <t>No</t>
        </is>
      </c>
      <c r="AQ702" t="inlineStr">
        <is>
          <t>No</t>
        </is>
      </c>
      <c r="AS702">
        <f>HYPERLINK("https://creighton-primo.hosted.exlibrisgroup.com/primo-explore/search?tab=default_tab&amp;search_scope=EVERYTHING&amp;vid=01CRU&amp;lang=en_US&amp;offset=0&amp;query=any,contains,991002849009702656","Catalog Record")</f>
        <v/>
      </c>
      <c r="AT702">
        <f>HYPERLINK("http://www.worldcat.org/oclc/37545599","WorldCat Record")</f>
        <v/>
      </c>
      <c r="AU702" t="inlineStr">
        <is>
          <t>1163166874:eng</t>
        </is>
      </c>
      <c r="AV702" t="inlineStr">
        <is>
          <t>37545599</t>
        </is>
      </c>
      <c r="AW702" t="inlineStr">
        <is>
          <t>991002849009702656</t>
        </is>
      </c>
      <c r="AX702" t="inlineStr">
        <is>
          <t>991002849009702656</t>
        </is>
      </c>
      <c r="AY702" t="inlineStr">
        <is>
          <t>2258317540002656</t>
        </is>
      </c>
      <c r="AZ702" t="inlineStr">
        <is>
          <t>BOOK</t>
        </is>
      </c>
      <c r="BB702" t="inlineStr">
        <is>
          <t>9780815325222</t>
        </is>
      </c>
      <c r="BC702" t="inlineStr">
        <is>
          <t>32285003376513</t>
        </is>
      </c>
      <c r="BD702" t="inlineStr">
        <is>
          <t>893239584</t>
        </is>
      </c>
    </row>
    <row r="703">
      <c r="A703" t="inlineStr">
        <is>
          <t>No</t>
        </is>
      </c>
      <c r="B703" t="inlineStr">
        <is>
          <t>LB1570 .E4254 1985</t>
        </is>
      </c>
      <c r="C703" t="inlineStr">
        <is>
          <t>0                      LB 1570000E  4254        1985</t>
        </is>
      </c>
      <c r="D703" t="inlineStr">
        <is>
          <t>The educational imagination : on the design and evaluation of school programs / Elliot W. Eisner.</t>
        </is>
      </c>
      <c r="F703" t="inlineStr">
        <is>
          <t>No</t>
        </is>
      </c>
      <c r="G703" t="inlineStr">
        <is>
          <t>1</t>
        </is>
      </c>
      <c r="H703" t="inlineStr">
        <is>
          <t>No</t>
        </is>
      </c>
      <c r="I703" t="inlineStr">
        <is>
          <t>No</t>
        </is>
      </c>
      <c r="J703" t="inlineStr">
        <is>
          <t>0</t>
        </is>
      </c>
      <c r="K703" t="inlineStr">
        <is>
          <t>Eisner, Elliot W.</t>
        </is>
      </c>
      <c r="L703" t="inlineStr">
        <is>
          <t>New York : Macmillan ; London : Collier Macmillan, c1985.</t>
        </is>
      </c>
      <c r="M703" t="inlineStr">
        <is>
          <t>1985</t>
        </is>
      </c>
      <c r="N703" t="inlineStr">
        <is>
          <t>2nd ed.</t>
        </is>
      </c>
      <c r="O703" t="inlineStr">
        <is>
          <t>eng</t>
        </is>
      </c>
      <c r="P703" t="inlineStr">
        <is>
          <t>nyu</t>
        </is>
      </c>
      <c r="R703" t="inlineStr">
        <is>
          <t xml:space="preserve">LB </t>
        </is>
      </c>
      <c r="S703" t="n">
        <v>2</v>
      </c>
      <c r="T703" t="n">
        <v>2</v>
      </c>
      <c r="U703" t="inlineStr">
        <is>
          <t>2009-12-10</t>
        </is>
      </c>
      <c r="V703" t="inlineStr">
        <is>
          <t>2009-12-10</t>
        </is>
      </c>
      <c r="W703" t="inlineStr">
        <is>
          <t>1990-07-09</t>
        </is>
      </c>
      <c r="X703" t="inlineStr">
        <is>
          <t>1990-07-09</t>
        </is>
      </c>
      <c r="Y703" t="n">
        <v>579</v>
      </c>
      <c r="Z703" t="n">
        <v>440</v>
      </c>
      <c r="AA703" t="n">
        <v>1029</v>
      </c>
      <c r="AB703" t="n">
        <v>5</v>
      </c>
      <c r="AC703" t="n">
        <v>10</v>
      </c>
      <c r="AD703" t="n">
        <v>21</v>
      </c>
      <c r="AE703" t="n">
        <v>47</v>
      </c>
      <c r="AF703" t="n">
        <v>7</v>
      </c>
      <c r="AG703" t="n">
        <v>21</v>
      </c>
      <c r="AH703" t="n">
        <v>4</v>
      </c>
      <c r="AI703" t="n">
        <v>7</v>
      </c>
      <c r="AJ703" t="n">
        <v>10</v>
      </c>
      <c r="AK703" t="n">
        <v>20</v>
      </c>
      <c r="AL703" t="n">
        <v>4</v>
      </c>
      <c r="AM703" t="n">
        <v>9</v>
      </c>
      <c r="AN703" t="n">
        <v>0</v>
      </c>
      <c r="AO703" t="n">
        <v>0</v>
      </c>
      <c r="AP703" t="inlineStr">
        <is>
          <t>No</t>
        </is>
      </c>
      <c r="AQ703" t="inlineStr">
        <is>
          <t>No</t>
        </is>
      </c>
      <c r="AS703">
        <f>HYPERLINK("https://creighton-primo.hosted.exlibrisgroup.com/primo-explore/search?tab=default_tab&amp;search_scope=EVERYTHING&amp;vid=01CRU&amp;lang=en_US&amp;offset=0&amp;query=any,contains,991000345969702656","Catalog Record")</f>
        <v/>
      </c>
      <c r="AT703">
        <f>HYPERLINK("http://www.worldcat.org/oclc/10277812","WorldCat Record")</f>
        <v/>
      </c>
      <c r="AU703" t="inlineStr">
        <is>
          <t>1089226:eng</t>
        </is>
      </c>
      <c r="AV703" t="inlineStr">
        <is>
          <t>10277812</t>
        </is>
      </c>
      <c r="AW703" t="inlineStr">
        <is>
          <t>991000345969702656</t>
        </is>
      </c>
      <c r="AX703" t="inlineStr">
        <is>
          <t>991000345969702656</t>
        </is>
      </c>
      <c r="AY703" t="inlineStr">
        <is>
          <t>2265220820002656</t>
        </is>
      </c>
      <c r="AZ703" t="inlineStr">
        <is>
          <t>BOOK</t>
        </is>
      </c>
      <c r="BB703" t="inlineStr">
        <is>
          <t>9780023321108</t>
        </is>
      </c>
      <c r="BC703" t="inlineStr">
        <is>
          <t>32285000222777</t>
        </is>
      </c>
      <c r="BD703" t="inlineStr">
        <is>
          <t>893333389</t>
        </is>
      </c>
    </row>
    <row r="704">
      <c r="A704" t="inlineStr">
        <is>
          <t>No</t>
        </is>
      </c>
      <c r="B704" t="inlineStr">
        <is>
          <t>LB1570 .E74 1995</t>
        </is>
      </c>
      <c r="C704" t="inlineStr">
        <is>
          <t>0                      LB 1570000E  74          1995</t>
        </is>
      </c>
      <c r="D704" t="inlineStr">
        <is>
          <t>Stirring the head, heart, and soul : redefining curriculum and instruction / H. Lynn Erickson.</t>
        </is>
      </c>
      <c r="F704" t="inlineStr">
        <is>
          <t>No</t>
        </is>
      </c>
      <c r="G704" t="inlineStr">
        <is>
          <t>1</t>
        </is>
      </c>
      <c r="H704" t="inlineStr">
        <is>
          <t>No</t>
        </is>
      </c>
      <c r="I704" t="inlineStr">
        <is>
          <t>No</t>
        </is>
      </c>
      <c r="J704" t="inlineStr">
        <is>
          <t>0</t>
        </is>
      </c>
      <c r="K704" t="inlineStr">
        <is>
          <t>Erickson, H. Lynn.</t>
        </is>
      </c>
      <c r="L704" t="inlineStr">
        <is>
          <t>Thousand Oaks, Calif. : Corwin Press, c1995.</t>
        </is>
      </c>
      <c r="M704" t="inlineStr">
        <is>
          <t>1995</t>
        </is>
      </c>
      <c r="O704" t="inlineStr">
        <is>
          <t>eng</t>
        </is>
      </c>
      <c r="P704" t="inlineStr">
        <is>
          <t>cau</t>
        </is>
      </c>
      <c r="R704" t="inlineStr">
        <is>
          <t xml:space="preserve">LB </t>
        </is>
      </c>
      <c r="S704" t="n">
        <v>6</v>
      </c>
      <c r="T704" t="n">
        <v>6</v>
      </c>
      <c r="U704" t="inlineStr">
        <is>
          <t>2001-11-09</t>
        </is>
      </c>
      <c r="V704" t="inlineStr">
        <is>
          <t>2001-11-09</t>
        </is>
      </c>
      <c r="W704" t="inlineStr">
        <is>
          <t>1996-01-22</t>
        </is>
      </c>
      <c r="X704" t="inlineStr">
        <is>
          <t>1996-01-22</t>
        </is>
      </c>
      <c r="Y704" t="n">
        <v>482</v>
      </c>
      <c r="Z704" t="n">
        <v>416</v>
      </c>
      <c r="AA704" t="n">
        <v>695</v>
      </c>
      <c r="AB704" t="n">
        <v>4</v>
      </c>
      <c r="AC704" t="n">
        <v>8</v>
      </c>
      <c r="AD704" t="n">
        <v>24</v>
      </c>
      <c r="AE704" t="n">
        <v>40</v>
      </c>
      <c r="AF704" t="n">
        <v>10</v>
      </c>
      <c r="AG704" t="n">
        <v>18</v>
      </c>
      <c r="AH704" t="n">
        <v>3</v>
      </c>
      <c r="AI704" t="n">
        <v>5</v>
      </c>
      <c r="AJ704" t="n">
        <v>12</v>
      </c>
      <c r="AK704" t="n">
        <v>19</v>
      </c>
      <c r="AL704" t="n">
        <v>3</v>
      </c>
      <c r="AM704" t="n">
        <v>7</v>
      </c>
      <c r="AN704" t="n">
        <v>0</v>
      </c>
      <c r="AO704" t="n">
        <v>0</v>
      </c>
      <c r="AP704" t="inlineStr">
        <is>
          <t>No</t>
        </is>
      </c>
      <c r="AQ704" t="inlineStr">
        <is>
          <t>Yes</t>
        </is>
      </c>
      <c r="AR704">
        <f>HYPERLINK("http://catalog.hathitrust.org/Record/002912553","HathiTrust Record")</f>
        <v/>
      </c>
      <c r="AS704">
        <f>HYPERLINK("https://creighton-primo.hosted.exlibrisgroup.com/primo-explore/search?tab=default_tab&amp;search_scope=EVERYTHING&amp;vid=01CRU&amp;lang=en_US&amp;offset=0&amp;query=any,contains,991002394329702656","Catalog Record")</f>
        <v/>
      </c>
      <c r="AT704">
        <f>HYPERLINK("http://www.worldcat.org/oclc/31078806","WorldCat Record")</f>
        <v/>
      </c>
      <c r="AU704" t="inlineStr">
        <is>
          <t>836951956:eng</t>
        </is>
      </c>
      <c r="AV704" t="inlineStr">
        <is>
          <t>31078806</t>
        </is>
      </c>
      <c r="AW704" t="inlineStr">
        <is>
          <t>991002394329702656</t>
        </is>
      </c>
      <c r="AX704" t="inlineStr">
        <is>
          <t>991002394329702656</t>
        </is>
      </c>
      <c r="AY704" t="inlineStr">
        <is>
          <t>2271005100002656</t>
        </is>
      </c>
      <c r="AZ704" t="inlineStr">
        <is>
          <t>BOOK</t>
        </is>
      </c>
      <c r="BB704" t="inlineStr">
        <is>
          <t>9780803961531</t>
        </is>
      </c>
      <c r="BC704" t="inlineStr">
        <is>
          <t>32285002118718</t>
        </is>
      </c>
      <c r="BD704" t="inlineStr">
        <is>
          <t>893440106</t>
        </is>
      </c>
    </row>
    <row r="705">
      <c r="A705" t="inlineStr">
        <is>
          <t>No</t>
        </is>
      </c>
      <c r="B705" t="inlineStr">
        <is>
          <t>LB1570 .F68</t>
        </is>
      </c>
      <c r="C705" t="inlineStr">
        <is>
          <t>0                      LB 1570000F  68</t>
        </is>
      </c>
      <c r="D705" t="inlineStr">
        <is>
          <t>Values, curriculum, and the elementary school / Alexander Frazier.</t>
        </is>
      </c>
      <c r="F705" t="inlineStr">
        <is>
          <t>No</t>
        </is>
      </c>
      <c r="G705" t="inlineStr">
        <is>
          <t>1</t>
        </is>
      </c>
      <c r="H705" t="inlineStr">
        <is>
          <t>No</t>
        </is>
      </c>
      <c r="I705" t="inlineStr">
        <is>
          <t>No</t>
        </is>
      </c>
      <c r="J705" t="inlineStr">
        <is>
          <t>0</t>
        </is>
      </c>
      <c r="K705" t="inlineStr">
        <is>
          <t>Frazier, Alexander.</t>
        </is>
      </c>
      <c r="L705" t="inlineStr">
        <is>
          <t>Boston : Houghton Mifflin, c1980.</t>
        </is>
      </c>
      <c r="M705" t="inlineStr">
        <is>
          <t>1980</t>
        </is>
      </c>
      <c r="O705" t="inlineStr">
        <is>
          <t>eng</t>
        </is>
      </c>
      <c r="P705" t="inlineStr">
        <is>
          <t>mau</t>
        </is>
      </c>
      <c r="R705" t="inlineStr">
        <is>
          <t xml:space="preserve">LB </t>
        </is>
      </c>
      <c r="S705" t="n">
        <v>2</v>
      </c>
      <c r="T705" t="n">
        <v>2</v>
      </c>
      <c r="U705" t="inlineStr">
        <is>
          <t>2009-04-25</t>
        </is>
      </c>
      <c r="V705" t="inlineStr">
        <is>
          <t>2009-04-25</t>
        </is>
      </c>
      <c r="W705" t="inlineStr">
        <is>
          <t>1993-01-26</t>
        </is>
      </c>
      <c r="X705" t="inlineStr">
        <is>
          <t>1993-01-26</t>
        </is>
      </c>
      <c r="Y705" t="n">
        <v>273</v>
      </c>
      <c r="Z705" t="n">
        <v>209</v>
      </c>
      <c r="AA705" t="n">
        <v>216</v>
      </c>
      <c r="AB705" t="n">
        <v>3</v>
      </c>
      <c r="AC705" t="n">
        <v>3</v>
      </c>
      <c r="AD705" t="n">
        <v>8</v>
      </c>
      <c r="AE705" t="n">
        <v>8</v>
      </c>
      <c r="AF705" t="n">
        <v>2</v>
      </c>
      <c r="AG705" t="n">
        <v>2</v>
      </c>
      <c r="AH705" t="n">
        <v>2</v>
      </c>
      <c r="AI705" t="n">
        <v>2</v>
      </c>
      <c r="AJ705" t="n">
        <v>5</v>
      </c>
      <c r="AK705" t="n">
        <v>5</v>
      </c>
      <c r="AL705" t="n">
        <v>2</v>
      </c>
      <c r="AM705" t="n">
        <v>2</v>
      </c>
      <c r="AN705" t="n">
        <v>0</v>
      </c>
      <c r="AO705" t="n">
        <v>0</v>
      </c>
      <c r="AP705" t="inlineStr">
        <is>
          <t>No</t>
        </is>
      </c>
      <c r="AQ705" t="inlineStr">
        <is>
          <t>Yes</t>
        </is>
      </c>
      <c r="AR705">
        <f>HYPERLINK("http://catalog.hathitrust.org/Record/000761948","HathiTrust Record")</f>
        <v/>
      </c>
      <c r="AS705">
        <f>HYPERLINK("https://creighton-primo.hosted.exlibrisgroup.com/primo-explore/search?tab=default_tab&amp;search_scope=EVERYTHING&amp;vid=01CRU&amp;lang=en_US&amp;offset=0&amp;query=any,contains,991004959749702656","Catalog Record")</f>
        <v/>
      </c>
      <c r="AT705">
        <f>HYPERLINK("http://www.worldcat.org/oclc/6304083","WorldCat Record")</f>
        <v/>
      </c>
      <c r="AU705" t="inlineStr">
        <is>
          <t>21897202:eng</t>
        </is>
      </c>
      <c r="AV705" t="inlineStr">
        <is>
          <t>6304083</t>
        </is>
      </c>
      <c r="AW705" t="inlineStr">
        <is>
          <t>991004959749702656</t>
        </is>
      </c>
      <c r="AX705" t="inlineStr">
        <is>
          <t>991004959749702656</t>
        </is>
      </c>
      <c r="AY705" t="inlineStr">
        <is>
          <t>2257221680002656</t>
        </is>
      </c>
      <c r="AZ705" t="inlineStr">
        <is>
          <t>BOOK</t>
        </is>
      </c>
      <c r="BB705" t="inlineStr">
        <is>
          <t>9780395267394</t>
        </is>
      </c>
      <c r="BC705" t="inlineStr">
        <is>
          <t>32285001478220</t>
        </is>
      </c>
      <c r="BD705" t="inlineStr">
        <is>
          <t>893628432</t>
        </is>
      </c>
    </row>
    <row r="706">
      <c r="A706" t="inlineStr">
        <is>
          <t>No</t>
        </is>
      </c>
      <c r="B706" t="inlineStr">
        <is>
          <t>LB1570 .G56 1987</t>
        </is>
      </c>
      <c r="C706" t="inlineStr">
        <is>
          <t>0                      LB 1570000G  56          1987</t>
        </is>
      </c>
      <c r="D706" t="inlineStr">
        <is>
          <t>Curriculum leadership / Allan A. Glatthorn.</t>
        </is>
      </c>
      <c r="F706" t="inlineStr">
        <is>
          <t>No</t>
        </is>
      </c>
      <c r="G706" t="inlineStr">
        <is>
          <t>1</t>
        </is>
      </c>
      <c r="H706" t="inlineStr">
        <is>
          <t>No</t>
        </is>
      </c>
      <c r="I706" t="inlineStr">
        <is>
          <t>No</t>
        </is>
      </c>
      <c r="J706" t="inlineStr">
        <is>
          <t>0</t>
        </is>
      </c>
      <c r="K706" t="inlineStr">
        <is>
          <t>Glatthorn, Allan A., 1924-</t>
        </is>
      </c>
      <c r="L706" t="inlineStr">
        <is>
          <t>Glenview, Ill. : Scott, Foresman, 1987.</t>
        </is>
      </c>
      <c r="M706" t="inlineStr">
        <is>
          <t>1987</t>
        </is>
      </c>
      <c r="O706" t="inlineStr">
        <is>
          <t>eng</t>
        </is>
      </c>
      <c r="P706" t="inlineStr">
        <is>
          <t>ilu</t>
        </is>
      </c>
      <c r="R706" t="inlineStr">
        <is>
          <t xml:space="preserve">LB </t>
        </is>
      </c>
      <c r="S706" t="n">
        <v>2</v>
      </c>
      <c r="T706" t="n">
        <v>2</v>
      </c>
      <c r="U706" t="inlineStr">
        <is>
          <t>2003-09-18</t>
        </is>
      </c>
      <c r="V706" t="inlineStr">
        <is>
          <t>2003-09-18</t>
        </is>
      </c>
      <c r="W706" t="inlineStr">
        <is>
          <t>1990-02-19</t>
        </is>
      </c>
      <c r="X706" t="inlineStr">
        <is>
          <t>1990-02-19</t>
        </is>
      </c>
      <c r="Y706" t="n">
        <v>352</v>
      </c>
      <c r="Z706" t="n">
        <v>301</v>
      </c>
      <c r="AA706" t="n">
        <v>497</v>
      </c>
      <c r="AB706" t="n">
        <v>3</v>
      </c>
      <c r="AC706" t="n">
        <v>5</v>
      </c>
      <c r="AD706" t="n">
        <v>15</v>
      </c>
      <c r="AE706" t="n">
        <v>25</v>
      </c>
      <c r="AF706" t="n">
        <v>7</v>
      </c>
      <c r="AG706" t="n">
        <v>9</v>
      </c>
      <c r="AH706" t="n">
        <v>3</v>
      </c>
      <c r="AI706" t="n">
        <v>6</v>
      </c>
      <c r="AJ706" t="n">
        <v>9</v>
      </c>
      <c r="AK706" t="n">
        <v>13</v>
      </c>
      <c r="AL706" t="n">
        <v>1</v>
      </c>
      <c r="AM706" t="n">
        <v>3</v>
      </c>
      <c r="AN706" t="n">
        <v>0</v>
      </c>
      <c r="AO706" t="n">
        <v>0</v>
      </c>
      <c r="AP706" t="inlineStr">
        <is>
          <t>No</t>
        </is>
      </c>
      <c r="AQ706" t="inlineStr">
        <is>
          <t>Yes</t>
        </is>
      </c>
      <c r="AR706">
        <f>HYPERLINK("http://catalog.hathitrust.org/Record/000832537","HathiTrust Record")</f>
        <v/>
      </c>
      <c r="AS706">
        <f>HYPERLINK("https://creighton-primo.hosted.exlibrisgroup.com/primo-explore/search?tab=default_tab&amp;search_scope=EVERYTHING&amp;vid=01CRU&amp;lang=en_US&amp;offset=0&amp;query=any,contains,991000964789702656","Catalog Record")</f>
        <v/>
      </c>
      <c r="AT706">
        <f>HYPERLINK("http://www.worldcat.org/oclc/14904660","WorldCat Record")</f>
        <v/>
      </c>
      <c r="AU706" t="inlineStr">
        <is>
          <t>1010261:eng</t>
        </is>
      </c>
      <c r="AV706" t="inlineStr">
        <is>
          <t>14904660</t>
        </is>
      </c>
      <c r="AW706" t="inlineStr">
        <is>
          <t>991000964789702656</t>
        </is>
      </c>
      <c r="AX706" t="inlineStr">
        <is>
          <t>991000964789702656</t>
        </is>
      </c>
      <c r="AY706" t="inlineStr">
        <is>
          <t>2266743350002656</t>
        </is>
      </c>
      <c r="AZ706" t="inlineStr">
        <is>
          <t>BOOK</t>
        </is>
      </c>
      <c r="BB706" t="inlineStr">
        <is>
          <t>9780673182678</t>
        </is>
      </c>
      <c r="BC706" t="inlineStr">
        <is>
          <t>32285000054485</t>
        </is>
      </c>
      <c r="BD706" t="inlineStr">
        <is>
          <t>893515787</t>
        </is>
      </c>
    </row>
    <row r="707">
      <c r="A707" t="inlineStr">
        <is>
          <t>No</t>
        </is>
      </c>
      <c r="B707" t="inlineStr">
        <is>
          <t>LB1570 .G72 2001</t>
        </is>
      </c>
      <c r="C707" t="inlineStr">
        <is>
          <t>0                      LB 1570000G  72          2001</t>
        </is>
      </c>
      <c r="D707" t="inlineStr">
        <is>
          <t>The great curriculum debate : how should we teach reading and math? / Tom Loveless, editor.</t>
        </is>
      </c>
      <c r="F707" t="inlineStr">
        <is>
          <t>No</t>
        </is>
      </c>
      <c r="G707" t="inlineStr">
        <is>
          <t>1</t>
        </is>
      </c>
      <c r="H707" t="inlineStr">
        <is>
          <t>No</t>
        </is>
      </c>
      <c r="I707" t="inlineStr">
        <is>
          <t>No</t>
        </is>
      </c>
      <c r="J707" t="inlineStr">
        <is>
          <t>0</t>
        </is>
      </c>
      <c r="L707" t="inlineStr">
        <is>
          <t>Washington, D.C. : Brookings Institution Press, c2001.</t>
        </is>
      </c>
      <c r="M707" t="inlineStr">
        <is>
          <t>2001</t>
        </is>
      </c>
      <c r="O707" t="inlineStr">
        <is>
          <t>eng</t>
        </is>
      </c>
      <c r="P707" t="inlineStr">
        <is>
          <t>dcu</t>
        </is>
      </c>
      <c r="R707" t="inlineStr">
        <is>
          <t xml:space="preserve">LB </t>
        </is>
      </c>
      <c r="S707" t="n">
        <v>6</v>
      </c>
      <c r="T707" t="n">
        <v>6</v>
      </c>
      <c r="U707" t="inlineStr">
        <is>
          <t>2004-11-02</t>
        </is>
      </c>
      <c r="V707" t="inlineStr">
        <is>
          <t>2004-11-02</t>
        </is>
      </c>
      <c r="W707" t="inlineStr">
        <is>
          <t>2002-02-11</t>
        </is>
      </c>
      <c r="X707" t="inlineStr">
        <is>
          <t>2002-02-11</t>
        </is>
      </c>
      <c r="Y707" t="n">
        <v>566</v>
      </c>
      <c r="Z707" t="n">
        <v>506</v>
      </c>
      <c r="AA707" t="n">
        <v>1362</v>
      </c>
      <c r="AB707" t="n">
        <v>3</v>
      </c>
      <c r="AC707" t="n">
        <v>29</v>
      </c>
      <c r="AD707" t="n">
        <v>24</v>
      </c>
      <c r="AE707" t="n">
        <v>50</v>
      </c>
      <c r="AF707" t="n">
        <v>9</v>
      </c>
      <c r="AG707" t="n">
        <v>17</v>
      </c>
      <c r="AH707" t="n">
        <v>6</v>
      </c>
      <c r="AI707" t="n">
        <v>9</v>
      </c>
      <c r="AJ707" t="n">
        <v>14</v>
      </c>
      <c r="AK707" t="n">
        <v>19</v>
      </c>
      <c r="AL707" t="n">
        <v>2</v>
      </c>
      <c r="AM707" t="n">
        <v>14</v>
      </c>
      <c r="AN707" t="n">
        <v>1</v>
      </c>
      <c r="AO707" t="n">
        <v>2</v>
      </c>
      <c r="AP707" t="inlineStr">
        <is>
          <t>No</t>
        </is>
      </c>
      <c r="AQ707" t="inlineStr">
        <is>
          <t>No</t>
        </is>
      </c>
      <c r="AS707">
        <f>HYPERLINK("https://creighton-primo.hosted.exlibrisgroup.com/primo-explore/search?tab=default_tab&amp;search_scope=EVERYTHING&amp;vid=01CRU&amp;lang=en_US&amp;offset=0&amp;query=any,contains,991003732849702656","Catalog Record")</f>
        <v/>
      </c>
      <c r="AT707">
        <f>HYPERLINK("http://www.worldcat.org/oclc/47297579","WorldCat Record")</f>
        <v/>
      </c>
      <c r="AU707" t="inlineStr">
        <is>
          <t>793898400:eng</t>
        </is>
      </c>
      <c r="AV707" t="inlineStr">
        <is>
          <t>47297579</t>
        </is>
      </c>
      <c r="AW707" t="inlineStr">
        <is>
          <t>991003732849702656</t>
        </is>
      </c>
      <c r="AX707" t="inlineStr">
        <is>
          <t>991003732849702656</t>
        </is>
      </c>
      <c r="AY707" t="inlineStr">
        <is>
          <t>2268284540002656</t>
        </is>
      </c>
      <c r="AZ707" t="inlineStr">
        <is>
          <t>BOOK</t>
        </is>
      </c>
      <c r="BB707" t="inlineStr">
        <is>
          <t>9780815753094</t>
        </is>
      </c>
      <c r="BC707" t="inlineStr">
        <is>
          <t>32285004453543</t>
        </is>
      </c>
      <c r="BD707" t="inlineStr">
        <is>
          <t>893806146</t>
        </is>
      </c>
    </row>
    <row r="708">
      <c r="A708" t="inlineStr">
        <is>
          <t>No</t>
        </is>
      </c>
      <c r="B708" t="inlineStr">
        <is>
          <t>LB1570 .H263 1977b</t>
        </is>
      </c>
      <c r="C708" t="inlineStr">
        <is>
          <t>0                      LB 1570000H  263         1977b</t>
        </is>
      </c>
      <c r="D708" t="inlineStr">
        <is>
          <t>Handbook of curriculum evaluation / edited by Arieh Lewy.</t>
        </is>
      </c>
      <c r="F708" t="inlineStr">
        <is>
          <t>No</t>
        </is>
      </c>
      <c r="G708" t="inlineStr">
        <is>
          <t>1</t>
        </is>
      </c>
      <c r="H708" t="inlineStr">
        <is>
          <t>No</t>
        </is>
      </c>
      <c r="I708" t="inlineStr">
        <is>
          <t>No</t>
        </is>
      </c>
      <c r="J708" t="inlineStr">
        <is>
          <t>0</t>
        </is>
      </c>
      <c r="L708" t="inlineStr">
        <is>
          <t>Paris : Unesco ; New York : Longman, 1977.</t>
        </is>
      </c>
      <c r="M708" t="inlineStr">
        <is>
          <t>1977</t>
        </is>
      </c>
      <c r="O708" t="inlineStr">
        <is>
          <t>eng</t>
        </is>
      </c>
      <c r="P708" t="inlineStr">
        <is>
          <t xml:space="preserve">fr </t>
        </is>
      </c>
      <c r="R708" t="inlineStr">
        <is>
          <t xml:space="preserve">LB </t>
        </is>
      </c>
      <c r="S708" t="n">
        <v>1</v>
      </c>
      <c r="T708" t="n">
        <v>1</v>
      </c>
      <c r="U708" t="inlineStr">
        <is>
          <t>2002-04-18</t>
        </is>
      </c>
      <c r="V708" t="inlineStr">
        <is>
          <t>2002-04-18</t>
        </is>
      </c>
      <c r="W708" t="inlineStr">
        <is>
          <t>1997-05-09</t>
        </is>
      </c>
      <c r="X708" t="inlineStr">
        <is>
          <t>1997-05-09</t>
        </is>
      </c>
      <c r="Y708" t="n">
        <v>483</v>
      </c>
      <c r="Z708" t="n">
        <v>347</v>
      </c>
      <c r="AA708" t="n">
        <v>356</v>
      </c>
      <c r="AB708" t="n">
        <v>1</v>
      </c>
      <c r="AC708" t="n">
        <v>1</v>
      </c>
      <c r="AD708" t="n">
        <v>9</v>
      </c>
      <c r="AE708" t="n">
        <v>9</v>
      </c>
      <c r="AF708" t="n">
        <v>2</v>
      </c>
      <c r="AG708" t="n">
        <v>2</v>
      </c>
      <c r="AH708" t="n">
        <v>2</v>
      </c>
      <c r="AI708" t="n">
        <v>2</v>
      </c>
      <c r="AJ708" t="n">
        <v>9</v>
      </c>
      <c r="AK708" t="n">
        <v>9</v>
      </c>
      <c r="AL708" t="n">
        <v>0</v>
      </c>
      <c r="AM708" t="n">
        <v>0</v>
      </c>
      <c r="AN708" t="n">
        <v>0</v>
      </c>
      <c r="AO708" t="n">
        <v>0</v>
      </c>
      <c r="AP708" t="inlineStr">
        <is>
          <t>No</t>
        </is>
      </c>
      <c r="AQ708" t="inlineStr">
        <is>
          <t>Yes</t>
        </is>
      </c>
      <c r="AR708">
        <f>HYPERLINK("http://catalog.hathitrust.org/Record/000133043","HathiTrust Record")</f>
        <v/>
      </c>
      <c r="AS708">
        <f>HYPERLINK("https://creighton-primo.hosted.exlibrisgroup.com/primo-explore/search?tab=default_tab&amp;search_scope=EVERYTHING&amp;vid=01CRU&amp;lang=en_US&amp;offset=0&amp;query=any,contains,991004360959702656","Catalog Record")</f>
        <v/>
      </c>
      <c r="AT708">
        <f>HYPERLINK("http://www.worldcat.org/oclc/3167164","WorldCat Record")</f>
        <v/>
      </c>
      <c r="AU708" t="inlineStr">
        <is>
          <t>354558720:eng</t>
        </is>
      </c>
      <c r="AV708" t="inlineStr">
        <is>
          <t>3167164</t>
        </is>
      </c>
      <c r="AW708" t="inlineStr">
        <is>
          <t>991004360959702656</t>
        </is>
      </c>
      <c r="AX708" t="inlineStr">
        <is>
          <t>991004360959702656</t>
        </is>
      </c>
      <c r="AY708" t="inlineStr">
        <is>
          <t>2262190110002656</t>
        </is>
      </c>
      <c r="AZ708" t="inlineStr">
        <is>
          <t>BOOK</t>
        </is>
      </c>
      <c r="BB708" t="inlineStr">
        <is>
          <t>9780582280021</t>
        </is>
      </c>
      <c r="BC708" t="inlineStr">
        <is>
          <t>32285002665205</t>
        </is>
      </c>
      <c r="BD708" t="inlineStr">
        <is>
          <t>893331503</t>
        </is>
      </c>
    </row>
    <row r="709">
      <c r="A709" t="inlineStr">
        <is>
          <t>No</t>
        </is>
      </c>
      <c r="B709" t="inlineStr">
        <is>
          <t>LB1570 .K435 1985</t>
        </is>
      </c>
      <c r="C709" t="inlineStr">
        <is>
          <t>0                      LB 1570000K  435         1985</t>
        </is>
      </c>
      <c r="D709" t="inlineStr">
        <is>
          <t>The instructional design process / Jerrold E. Kemp.</t>
        </is>
      </c>
      <c r="F709" t="inlineStr">
        <is>
          <t>No</t>
        </is>
      </c>
      <c r="G709" t="inlineStr">
        <is>
          <t>1</t>
        </is>
      </c>
      <c r="H709" t="inlineStr">
        <is>
          <t>No</t>
        </is>
      </c>
      <c r="I709" t="inlineStr">
        <is>
          <t>No</t>
        </is>
      </c>
      <c r="J709" t="inlineStr">
        <is>
          <t>0</t>
        </is>
      </c>
      <c r="K709" t="inlineStr">
        <is>
          <t>Kemp, Jerrold E.</t>
        </is>
      </c>
      <c r="L709" t="inlineStr">
        <is>
          <t>New York : Harper &amp; Row, c1985.</t>
        </is>
      </c>
      <c r="M709" t="inlineStr">
        <is>
          <t>1985</t>
        </is>
      </c>
      <c r="O709" t="inlineStr">
        <is>
          <t>eng</t>
        </is>
      </c>
      <c r="P709" t="inlineStr">
        <is>
          <t>nyu</t>
        </is>
      </c>
      <c r="R709" t="inlineStr">
        <is>
          <t xml:space="preserve">LB </t>
        </is>
      </c>
      <c r="S709" t="n">
        <v>1</v>
      </c>
      <c r="T709" t="n">
        <v>1</v>
      </c>
      <c r="U709" t="inlineStr">
        <is>
          <t>1997-05-23</t>
        </is>
      </c>
      <c r="V709" t="inlineStr">
        <is>
          <t>1997-05-23</t>
        </is>
      </c>
      <c r="W709" t="inlineStr">
        <is>
          <t>1990-07-09</t>
        </is>
      </c>
      <c r="X709" t="inlineStr">
        <is>
          <t>1990-07-09</t>
        </is>
      </c>
      <c r="Y709" t="n">
        <v>353</v>
      </c>
      <c r="Z709" t="n">
        <v>256</v>
      </c>
      <c r="AA709" t="n">
        <v>260</v>
      </c>
      <c r="AB709" t="n">
        <v>4</v>
      </c>
      <c r="AC709" t="n">
        <v>4</v>
      </c>
      <c r="AD709" t="n">
        <v>12</v>
      </c>
      <c r="AE709" t="n">
        <v>12</v>
      </c>
      <c r="AF709" t="n">
        <v>4</v>
      </c>
      <c r="AG709" t="n">
        <v>4</v>
      </c>
      <c r="AH709" t="n">
        <v>2</v>
      </c>
      <c r="AI709" t="n">
        <v>2</v>
      </c>
      <c r="AJ709" t="n">
        <v>5</v>
      </c>
      <c r="AK709" t="n">
        <v>5</v>
      </c>
      <c r="AL709" t="n">
        <v>3</v>
      </c>
      <c r="AM709" t="n">
        <v>3</v>
      </c>
      <c r="AN709" t="n">
        <v>0</v>
      </c>
      <c r="AO709" t="n">
        <v>0</v>
      </c>
      <c r="AP709" t="inlineStr">
        <is>
          <t>No</t>
        </is>
      </c>
      <c r="AQ709" t="inlineStr">
        <is>
          <t>No</t>
        </is>
      </c>
      <c r="AS709">
        <f>HYPERLINK("https://creighton-primo.hosted.exlibrisgroup.com/primo-explore/search?tab=default_tab&amp;search_scope=EVERYTHING&amp;vid=01CRU&amp;lang=en_US&amp;offset=0&amp;query=any,contains,991000478749702656","Catalog Record")</f>
        <v/>
      </c>
      <c r="AT709">
        <f>HYPERLINK("http://www.worldcat.org/oclc/11044194","WorldCat Record")</f>
        <v/>
      </c>
      <c r="AU709" t="inlineStr">
        <is>
          <t>3372192220:eng</t>
        </is>
      </c>
      <c r="AV709" t="inlineStr">
        <is>
          <t>11044194</t>
        </is>
      </c>
      <c r="AW709" t="inlineStr">
        <is>
          <t>991000478749702656</t>
        </is>
      </c>
      <c r="AX709" t="inlineStr">
        <is>
          <t>991000478749702656</t>
        </is>
      </c>
      <c r="AY709" t="inlineStr">
        <is>
          <t>2260993830002656</t>
        </is>
      </c>
      <c r="AZ709" t="inlineStr">
        <is>
          <t>BOOK</t>
        </is>
      </c>
      <c r="BB709" t="inlineStr">
        <is>
          <t>9780060435899</t>
        </is>
      </c>
      <c r="BC709" t="inlineStr">
        <is>
          <t>32285000222843</t>
        </is>
      </c>
      <c r="BD709" t="inlineStr">
        <is>
          <t>893614203</t>
        </is>
      </c>
    </row>
    <row r="710">
      <c r="A710" t="inlineStr">
        <is>
          <t>No</t>
        </is>
      </c>
      <c r="B710" t="inlineStr">
        <is>
          <t>LB1570 .K587 1999</t>
        </is>
      </c>
      <c r="C710" t="inlineStr">
        <is>
          <t>0                      LB 1570000K  587         1999</t>
        </is>
      </c>
      <c r="D710" t="inlineStr">
        <is>
          <t>Schooled to work : vocationalism and the American curriculum, 1876-1946 / Herbert M. Kliebard.</t>
        </is>
      </c>
      <c r="F710" t="inlineStr">
        <is>
          <t>No</t>
        </is>
      </c>
      <c r="G710" t="inlineStr">
        <is>
          <t>1</t>
        </is>
      </c>
      <c r="H710" t="inlineStr">
        <is>
          <t>No</t>
        </is>
      </c>
      <c r="I710" t="inlineStr">
        <is>
          <t>No</t>
        </is>
      </c>
      <c r="J710" t="inlineStr">
        <is>
          <t>0</t>
        </is>
      </c>
      <c r="K710" t="inlineStr">
        <is>
          <t>Kliebard, Herbert M.</t>
        </is>
      </c>
      <c r="L710" t="inlineStr">
        <is>
          <t>New York : Teachers College Press, c1999.</t>
        </is>
      </c>
      <c r="M710" t="inlineStr">
        <is>
          <t>1999</t>
        </is>
      </c>
      <c r="O710" t="inlineStr">
        <is>
          <t>eng</t>
        </is>
      </c>
      <c r="P710" t="inlineStr">
        <is>
          <t>nyu</t>
        </is>
      </c>
      <c r="Q710" t="inlineStr">
        <is>
          <t>Reflective history series</t>
        </is>
      </c>
      <c r="R710" t="inlineStr">
        <is>
          <t xml:space="preserve">LB </t>
        </is>
      </c>
      <c r="S710" t="n">
        <v>2</v>
      </c>
      <c r="T710" t="n">
        <v>2</v>
      </c>
      <c r="U710" t="inlineStr">
        <is>
          <t>2001-08-28</t>
        </is>
      </c>
      <c r="V710" t="inlineStr">
        <is>
          <t>2001-08-28</t>
        </is>
      </c>
      <c r="W710" t="inlineStr">
        <is>
          <t>2001-08-28</t>
        </is>
      </c>
      <c r="X710" t="inlineStr">
        <is>
          <t>2001-08-28</t>
        </is>
      </c>
      <c r="Y710" t="n">
        <v>460</v>
      </c>
      <c r="Z710" t="n">
        <v>427</v>
      </c>
      <c r="AA710" t="n">
        <v>427</v>
      </c>
      <c r="AB710" t="n">
        <v>3</v>
      </c>
      <c r="AC710" t="n">
        <v>3</v>
      </c>
      <c r="AD710" t="n">
        <v>16</v>
      </c>
      <c r="AE710" t="n">
        <v>16</v>
      </c>
      <c r="AF710" t="n">
        <v>7</v>
      </c>
      <c r="AG710" t="n">
        <v>7</v>
      </c>
      <c r="AH710" t="n">
        <v>3</v>
      </c>
      <c r="AI710" t="n">
        <v>3</v>
      </c>
      <c r="AJ710" t="n">
        <v>6</v>
      </c>
      <c r="AK710" t="n">
        <v>6</v>
      </c>
      <c r="AL710" t="n">
        <v>2</v>
      </c>
      <c r="AM710" t="n">
        <v>2</v>
      </c>
      <c r="AN710" t="n">
        <v>0</v>
      </c>
      <c r="AO710" t="n">
        <v>0</v>
      </c>
      <c r="AP710" t="inlineStr">
        <is>
          <t>No</t>
        </is>
      </c>
      <c r="AQ710" t="inlineStr">
        <is>
          <t>No</t>
        </is>
      </c>
      <c r="AS710">
        <f>HYPERLINK("https://creighton-primo.hosted.exlibrisgroup.com/primo-explore/search?tab=default_tab&amp;search_scope=EVERYTHING&amp;vid=01CRU&amp;lang=en_US&amp;offset=0&amp;query=any,contains,991003595869702656","Catalog Record")</f>
        <v/>
      </c>
      <c r="AT710">
        <f>HYPERLINK("http://www.worldcat.org/oclc/40881589","WorldCat Record")</f>
        <v/>
      </c>
      <c r="AU710" t="inlineStr">
        <is>
          <t>894344010:eng</t>
        </is>
      </c>
      <c r="AV710" t="inlineStr">
        <is>
          <t>40881589</t>
        </is>
      </c>
      <c r="AW710" t="inlineStr">
        <is>
          <t>991003595869702656</t>
        </is>
      </c>
      <c r="AX710" t="inlineStr">
        <is>
          <t>991003595869702656</t>
        </is>
      </c>
      <c r="AY710" t="inlineStr">
        <is>
          <t>2256421860002656</t>
        </is>
      </c>
      <c r="AZ710" t="inlineStr">
        <is>
          <t>BOOK</t>
        </is>
      </c>
      <c r="BB710" t="inlineStr">
        <is>
          <t>9780807738665</t>
        </is>
      </c>
      <c r="BC710" t="inlineStr">
        <is>
          <t>32285004381702</t>
        </is>
      </c>
      <c r="BD710" t="inlineStr">
        <is>
          <t>893228206</t>
        </is>
      </c>
    </row>
    <row r="711">
      <c r="A711" t="inlineStr">
        <is>
          <t>No</t>
        </is>
      </c>
      <c r="B711" t="inlineStr">
        <is>
          <t>LB1570 .L453 1984</t>
        </is>
      </c>
      <c r="C711" t="inlineStr">
        <is>
          <t>0                      LB 1570000L  453         1984</t>
        </is>
      </c>
      <c r="D711" t="inlineStr">
        <is>
          <t>Curriculum and instructional methods for the elementary school / Johanna Kasin Lemlech.</t>
        </is>
      </c>
      <c r="F711" t="inlineStr">
        <is>
          <t>No</t>
        </is>
      </c>
      <c r="G711" t="inlineStr">
        <is>
          <t>1</t>
        </is>
      </c>
      <c r="H711" t="inlineStr">
        <is>
          <t>No</t>
        </is>
      </c>
      <c r="I711" t="inlineStr">
        <is>
          <t>No</t>
        </is>
      </c>
      <c r="J711" t="inlineStr">
        <is>
          <t>0</t>
        </is>
      </c>
      <c r="K711" t="inlineStr">
        <is>
          <t>Lemlech, Johanna Kasin.</t>
        </is>
      </c>
      <c r="L711" t="inlineStr">
        <is>
          <t>New York : Macmillan ; London : Collier Macmillan, c1984.</t>
        </is>
      </c>
      <c r="M711" t="inlineStr">
        <is>
          <t>1984</t>
        </is>
      </c>
      <c r="O711" t="inlineStr">
        <is>
          <t>eng</t>
        </is>
      </c>
      <c r="P711" t="inlineStr">
        <is>
          <t>nyu</t>
        </is>
      </c>
      <c r="R711" t="inlineStr">
        <is>
          <t xml:space="preserve">LB </t>
        </is>
      </c>
      <c r="S711" t="n">
        <v>4</v>
      </c>
      <c r="T711" t="n">
        <v>4</v>
      </c>
      <c r="U711" t="inlineStr">
        <is>
          <t>2001-12-01</t>
        </is>
      </c>
      <c r="V711" t="inlineStr">
        <is>
          <t>2001-12-01</t>
        </is>
      </c>
      <c r="W711" t="inlineStr">
        <is>
          <t>1990-05-07</t>
        </is>
      </c>
      <c r="X711" t="inlineStr">
        <is>
          <t>1990-05-07</t>
        </is>
      </c>
      <c r="Y711" t="n">
        <v>197</v>
      </c>
      <c r="Z711" t="n">
        <v>155</v>
      </c>
      <c r="AA711" t="n">
        <v>270</v>
      </c>
      <c r="AB711" t="n">
        <v>3</v>
      </c>
      <c r="AC711" t="n">
        <v>3</v>
      </c>
      <c r="AD711" t="n">
        <v>7</v>
      </c>
      <c r="AE711" t="n">
        <v>15</v>
      </c>
      <c r="AF711" t="n">
        <v>1</v>
      </c>
      <c r="AG711" t="n">
        <v>6</v>
      </c>
      <c r="AH711" t="n">
        <v>3</v>
      </c>
      <c r="AI711" t="n">
        <v>3</v>
      </c>
      <c r="AJ711" t="n">
        <v>4</v>
      </c>
      <c r="AK711" t="n">
        <v>9</v>
      </c>
      <c r="AL711" t="n">
        <v>2</v>
      </c>
      <c r="AM711" t="n">
        <v>2</v>
      </c>
      <c r="AN711" t="n">
        <v>0</v>
      </c>
      <c r="AO711" t="n">
        <v>0</v>
      </c>
      <c r="AP711" t="inlineStr">
        <is>
          <t>No</t>
        </is>
      </c>
      <c r="AQ711" t="inlineStr">
        <is>
          <t>No</t>
        </is>
      </c>
      <c r="AS711">
        <f>HYPERLINK("https://creighton-primo.hosted.exlibrisgroup.com/primo-explore/search?tab=default_tab&amp;search_scope=EVERYTHING&amp;vid=01CRU&amp;lang=en_US&amp;offset=0&amp;query=any,contains,991000209199702656","Catalog Record")</f>
        <v/>
      </c>
      <c r="AT711">
        <f>HYPERLINK("http://www.worldcat.org/oclc/9532930","WorldCat Record")</f>
        <v/>
      </c>
      <c r="AU711" t="inlineStr">
        <is>
          <t>3768797476:eng</t>
        </is>
      </c>
      <c r="AV711" t="inlineStr">
        <is>
          <t>9532930</t>
        </is>
      </c>
      <c r="AW711" t="inlineStr">
        <is>
          <t>991000209199702656</t>
        </is>
      </c>
      <c r="AX711" t="inlineStr">
        <is>
          <t>991000209199702656</t>
        </is>
      </c>
      <c r="AY711" t="inlineStr">
        <is>
          <t>2262230330002656</t>
        </is>
      </c>
      <c r="AZ711" t="inlineStr">
        <is>
          <t>BOOK</t>
        </is>
      </c>
      <c r="BB711" t="inlineStr">
        <is>
          <t>9780023697302</t>
        </is>
      </c>
      <c r="BC711" t="inlineStr">
        <is>
          <t>32285000149798</t>
        </is>
      </c>
      <c r="BD711" t="inlineStr">
        <is>
          <t>893714415</t>
        </is>
      </c>
    </row>
    <row r="712">
      <c r="A712" t="inlineStr">
        <is>
          <t>No</t>
        </is>
      </c>
      <c r="B712" t="inlineStr">
        <is>
          <t>LB1570 .L57 1980</t>
        </is>
      </c>
      <c r="C712" t="inlineStr">
        <is>
          <t>0                      LB 1570000L  57          1980</t>
        </is>
      </c>
      <c r="D712" t="inlineStr">
        <is>
          <t>Philosophy in the classroom / Matthew Lipman, Ann Margaret Sharp, Frederick S. Oscanyan.</t>
        </is>
      </c>
      <c r="F712" t="inlineStr">
        <is>
          <t>No</t>
        </is>
      </c>
      <c r="G712" t="inlineStr">
        <is>
          <t>1</t>
        </is>
      </c>
      <c r="H712" t="inlineStr">
        <is>
          <t>No</t>
        </is>
      </c>
      <c r="I712" t="inlineStr">
        <is>
          <t>No</t>
        </is>
      </c>
      <c r="J712" t="inlineStr">
        <is>
          <t>0</t>
        </is>
      </c>
      <c r="K712" t="inlineStr">
        <is>
          <t>Lipman, Matthew.</t>
        </is>
      </c>
      <c r="L712" t="inlineStr">
        <is>
          <t>Philadelphia : Temple University Press, 1980.</t>
        </is>
      </c>
      <c r="M712" t="inlineStr">
        <is>
          <t>1980</t>
        </is>
      </c>
      <c r="N712" t="inlineStr">
        <is>
          <t>2d ed.</t>
        </is>
      </c>
      <c r="O712" t="inlineStr">
        <is>
          <t>eng</t>
        </is>
      </c>
      <c r="P712" t="inlineStr">
        <is>
          <t>pau</t>
        </is>
      </c>
      <c r="R712" t="inlineStr">
        <is>
          <t xml:space="preserve">LB </t>
        </is>
      </c>
      <c r="S712" t="n">
        <v>13</v>
      </c>
      <c r="T712" t="n">
        <v>13</v>
      </c>
      <c r="U712" t="inlineStr">
        <is>
          <t>2009-03-31</t>
        </is>
      </c>
      <c r="V712" t="inlineStr">
        <is>
          <t>2009-03-31</t>
        </is>
      </c>
      <c r="W712" t="inlineStr">
        <is>
          <t>1990-07-09</t>
        </is>
      </c>
      <c r="X712" t="inlineStr">
        <is>
          <t>1990-07-09</t>
        </is>
      </c>
      <c r="Y712" t="n">
        <v>531</v>
      </c>
      <c r="Z712" t="n">
        <v>396</v>
      </c>
      <c r="AA712" t="n">
        <v>727</v>
      </c>
      <c r="AB712" t="n">
        <v>2</v>
      </c>
      <c r="AC712" t="n">
        <v>4</v>
      </c>
      <c r="AD712" t="n">
        <v>18</v>
      </c>
      <c r="AE712" t="n">
        <v>33</v>
      </c>
      <c r="AF712" t="n">
        <v>7</v>
      </c>
      <c r="AG712" t="n">
        <v>15</v>
      </c>
      <c r="AH712" t="n">
        <v>4</v>
      </c>
      <c r="AI712" t="n">
        <v>8</v>
      </c>
      <c r="AJ712" t="n">
        <v>10</v>
      </c>
      <c r="AK712" t="n">
        <v>18</v>
      </c>
      <c r="AL712" t="n">
        <v>1</v>
      </c>
      <c r="AM712" t="n">
        <v>2</v>
      </c>
      <c r="AN712" t="n">
        <v>1</v>
      </c>
      <c r="AO712" t="n">
        <v>1</v>
      </c>
      <c r="AP712" t="inlineStr">
        <is>
          <t>No</t>
        </is>
      </c>
      <c r="AQ712" t="inlineStr">
        <is>
          <t>Yes</t>
        </is>
      </c>
      <c r="AR712">
        <f>HYPERLINK("http://catalog.hathitrust.org/Record/000746340","HathiTrust Record")</f>
        <v/>
      </c>
      <c r="AS712">
        <f>HYPERLINK("https://creighton-primo.hosted.exlibrisgroup.com/primo-explore/search?tab=default_tab&amp;search_scope=EVERYTHING&amp;vid=01CRU&amp;lang=en_US&amp;offset=0&amp;query=any,contains,991004935359702656","Catalog Record")</f>
        <v/>
      </c>
      <c r="AT712">
        <f>HYPERLINK("http://www.worldcat.org/oclc/6142660","WorldCat Record")</f>
        <v/>
      </c>
      <c r="AU712" t="inlineStr">
        <is>
          <t>535723:eng</t>
        </is>
      </c>
      <c r="AV712" t="inlineStr">
        <is>
          <t>6142660</t>
        </is>
      </c>
      <c r="AW712" t="inlineStr">
        <is>
          <t>991004935359702656</t>
        </is>
      </c>
      <c r="AX712" t="inlineStr">
        <is>
          <t>991004935359702656</t>
        </is>
      </c>
      <c r="AY712" t="inlineStr">
        <is>
          <t>2261514440002656</t>
        </is>
      </c>
      <c r="AZ712" t="inlineStr">
        <is>
          <t>BOOK</t>
        </is>
      </c>
      <c r="BB712" t="inlineStr">
        <is>
          <t>9780877221777</t>
        </is>
      </c>
      <c r="BC712" t="inlineStr">
        <is>
          <t>32285000222850</t>
        </is>
      </c>
      <c r="BD712" t="inlineStr">
        <is>
          <t>893619238</t>
        </is>
      </c>
    </row>
    <row r="713">
      <c r="A713" t="inlineStr">
        <is>
          <t>No</t>
        </is>
      </c>
      <c r="B713" t="inlineStr">
        <is>
          <t>LB1570 .M545 1985</t>
        </is>
      </c>
      <c r="C713" t="inlineStr">
        <is>
          <t>0                      LB 1570000M  545         1985</t>
        </is>
      </c>
      <c r="D713" t="inlineStr">
        <is>
          <t>Curriculum, perspectives and practice / John P. Miller, Wayne Seller.</t>
        </is>
      </c>
      <c r="F713" t="inlineStr">
        <is>
          <t>No</t>
        </is>
      </c>
      <c r="G713" t="inlineStr">
        <is>
          <t>1</t>
        </is>
      </c>
      <c r="H713" t="inlineStr">
        <is>
          <t>No</t>
        </is>
      </c>
      <c r="I713" t="inlineStr">
        <is>
          <t>No</t>
        </is>
      </c>
      <c r="J713" t="inlineStr">
        <is>
          <t>0</t>
        </is>
      </c>
      <c r="K713" t="inlineStr">
        <is>
          <t>Miller, John P., 1943-</t>
        </is>
      </c>
      <c r="L713" t="inlineStr">
        <is>
          <t>New York : Longman, c1985.</t>
        </is>
      </c>
      <c r="M713" t="inlineStr">
        <is>
          <t>1985</t>
        </is>
      </c>
      <c r="O713" t="inlineStr">
        <is>
          <t>eng</t>
        </is>
      </c>
      <c r="P713" t="inlineStr">
        <is>
          <t>nyu</t>
        </is>
      </c>
      <c r="R713" t="inlineStr">
        <is>
          <t xml:space="preserve">LB </t>
        </is>
      </c>
      <c r="S713" t="n">
        <v>6</v>
      </c>
      <c r="T713" t="n">
        <v>6</v>
      </c>
      <c r="U713" t="inlineStr">
        <is>
          <t>1996-10-28</t>
        </is>
      </c>
      <c r="V713" t="inlineStr">
        <is>
          <t>1996-10-28</t>
        </is>
      </c>
      <c r="W713" t="inlineStr">
        <is>
          <t>1990-07-09</t>
        </is>
      </c>
      <c r="X713" t="inlineStr">
        <is>
          <t>1990-07-09</t>
        </is>
      </c>
      <c r="Y713" t="n">
        <v>336</v>
      </c>
      <c r="Z713" t="n">
        <v>280</v>
      </c>
      <c r="AA713" t="n">
        <v>289</v>
      </c>
      <c r="AB713" t="n">
        <v>4</v>
      </c>
      <c r="AC713" t="n">
        <v>4</v>
      </c>
      <c r="AD713" t="n">
        <v>8</v>
      </c>
      <c r="AE713" t="n">
        <v>8</v>
      </c>
      <c r="AF713" t="n">
        <v>1</v>
      </c>
      <c r="AG713" t="n">
        <v>1</v>
      </c>
      <c r="AH713" t="n">
        <v>2</v>
      </c>
      <c r="AI713" t="n">
        <v>2</v>
      </c>
      <c r="AJ713" t="n">
        <v>4</v>
      </c>
      <c r="AK713" t="n">
        <v>4</v>
      </c>
      <c r="AL713" t="n">
        <v>3</v>
      </c>
      <c r="AM713" t="n">
        <v>3</v>
      </c>
      <c r="AN713" t="n">
        <v>0</v>
      </c>
      <c r="AO713" t="n">
        <v>0</v>
      </c>
      <c r="AP713" t="inlineStr">
        <is>
          <t>No</t>
        </is>
      </c>
      <c r="AQ713" t="inlineStr">
        <is>
          <t>Yes</t>
        </is>
      </c>
      <c r="AR713">
        <f>HYPERLINK("http://catalog.hathitrust.org/Record/000626234","HathiTrust Record")</f>
        <v/>
      </c>
      <c r="AS713">
        <f>HYPERLINK("https://creighton-primo.hosted.exlibrisgroup.com/primo-explore/search?tab=default_tab&amp;search_scope=EVERYTHING&amp;vid=01CRU&amp;lang=en_US&amp;offset=0&amp;query=any,contains,991000484939702656","Catalog Record")</f>
        <v/>
      </c>
      <c r="AT713">
        <f>HYPERLINK("http://www.worldcat.org/oclc/11068905","WorldCat Record")</f>
        <v/>
      </c>
      <c r="AU713" t="inlineStr">
        <is>
          <t>3861507:eng</t>
        </is>
      </c>
      <c r="AV713" t="inlineStr">
        <is>
          <t>11068905</t>
        </is>
      </c>
      <c r="AW713" t="inlineStr">
        <is>
          <t>991000484939702656</t>
        </is>
      </c>
      <c r="AX713" t="inlineStr">
        <is>
          <t>991000484939702656</t>
        </is>
      </c>
      <c r="AY713" t="inlineStr">
        <is>
          <t>2261505940002656</t>
        </is>
      </c>
      <c r="AZ713" t="inlineStr">
        <is>
          <t>BOOK</t>
        </is>
      </c>
      <c r="BB713" t="inlineStr">
        <is>
          <t>9780582284753</t>
        </is>
      </c>
      <c r="BC713" t="inlineStr">
        <is>
          <t>32285000222868</t>
        </is>
      </c>
      <c r="BD713" t="inlineStr">
        <is>
          <t>893314973</t>
        </is>
      </c>
    </row>
    <row r="714">
      <c r="A714" t="inlineStr">
        <is>
          <t>No</t>
        </is>
      </c>
      <c r="B714" t="inlineStr">
        <is>
          <t>LB1570 .M56 1976</t>
        </is>
      </c>
      <c r="C714" t="inlineStr">
        <is>
          <t>0                      LB 1570000M  56          1976</t>
        </is>
      </c>
      <c r="D714" t="inlineStr">
        <is>
          <t>Curriculum theory : selected papers from the Milwaukee Curriculum Theory Conference held at the University of Wisconsin-Milwaukee, November 11-14, 1976 / Alex Molnar and John A. Zahorik, editors.</t>
        </is>
      </c>
      <c r="F714" t="inlineStr">
        <is>
          <t>No</t>
        </is>
      </c>
      <c r="G714" t="inlineStr">
        <is>
          <t>1</t>
        </is>
      </c>
      <c r="H714" t="inlineStr">
        <is>
          <t>No</t>
        </is>
      </c>
      <c r="I714" t="inlineStr">
        <is>
          <t>No</t>
        </is>
      </c>
      <c r="J714" t="inlineStr">
        <is>
          <t>0</t>
        </is>
      </c>
      <c r="K714" t="inlineStr">
        <is>
          <t>Milwaukee Curriculum Theory Conference (1976 : University of Wisconsin--Milwaukee)</t>
        </is>
      </c>
      <c r="L714" t="inlineStr">
        <is>
          <t>Washington : Association for Supervision and Curriculum Development, c1977.</t>
        </is>
      </c>
      <c r="M714" t="inlineStr">
        <is>
          <t>1977</t>
        </is>
      </c>
      <c r="O714" t="inlineStr">
        <is>
          <t>eng</t>
        </is>
      </c>
      <c r="P714" t="inlineStr">
        <is>
          <t>dcu</t>
        </is>
      </c>
      <c r="R714" t="inlineStr">
        <is>
          <t xml:space="preserve">LB </t>
        </is>
      </c>
      <c r="S714" t="n">
        <v>4</v>
      </c>
      <c r="T714" t="n">
        <v>4</v>
      </c>
      <c r="U714" t="inlineStr">
        <is>
          <t>2001-03-26</t>
        </is>
      </c>
      <c r="V714" t="inlineStr">
        <is>
          <t>2001-03-26</t>
        </is>
      </c>
      <c r="W714" t="inlineStr">
        <is>
          <t>1993-01-26</t>
        </is>
      </c>
      <c r="X714" t="inlineStr">
        <is>
          <t>1993-01-26</t>
        </is>
      </c>
      <c r="Y714" t="n">
        <v>445</v>
      </c>
      <c r="Z714" t="n">
        <v>391</v>
      </c>
      <c r="AA714" t="n">
        <v>391</v>
      </c>
      <c r="AB714" t="n">
        <v>2</v>
      </c>
      <c r="AC714" t="n">
        <v>2</v>
      </c>
      <c r="AD714" t="n">
        <v>15</v>
      </c>
      <c r="AE714" t="n">
        <v>15</v>
      </c>
      <c r="AF714" t="n">
        <v>6</v>
      </c>
      <c r="AG714" t="n">
        <v>6</v>
      </c>
      <c r="AH714" t="n">
        <v>4</v>
      </c>
      <c r="AI714" t="n">
        <v>4</v>
      </c>
      <c r="AJ714" t="n">
        <v>10</v>
      </c>
      <c r="AK714" t="n">
        <v>10</v>
      </c>
      <c r="AL714" t="n">
        <v>1</v>
      </c>
      <c r="AM714" t="n">
        <v>1</v>
      </c>
      <c r="AN714" t="n">
        <v>0</v>
      </c>
      <c r="AO714" t="n">
        <v>0</v>
      </c>
      <c r="AP714" t="inlineStr">
        <is>
          <t>No</t>
        </is>
      </c>
      <c r="AQ714" t="inlineStr">
        <is>
          <t>No</t>
        </is>
      </c>
      <c r="AS714">
        <f>HYPERLINK("https://creighton-primo.hosted.exlibrisgroup.com/primo-explore/search?tab=default_tab&amp;search_scope=EVERYTHING&amp;vid=01CRU&amp;lang=en_US&amp;offset=0&amp;query=any,contains,991004489179702656","Catalog Record")</f>
        <v/>
      </c>
      <c r="AT714">
        <f>HYPERLINK("http://www.worldcat.org/oclc/3650794","WorldCat Record")</f>
        <v/>
      </c>
      <c r="AU714" t="inlineStr">
        <is>
          <t>279314731:eng</t>
        </is>
      </c>
      <c r="AV714" t="inlineStr">
        <is>
          <t>3650794</t>
        </is>
      </c>
      <c r="AW714" t="inlineStr">
        <is>
          <t>991004489179702656</t>
        </is>
      </c>
      <c r="AX714" t="inlineStr">
        <is>
          <t>991004489179702656</t>
        </is>
      </c>
      <c r="AY714" t="inlineStr">
        <is>
          <t>2261403550002656</t>
        </is>
      </c>
      <c r="AZ714" t="inlineStr">
        <is>
          <t>BOOK</t>
        </is>
      </c>
      <c r="BB714" t="inlineStr">
        <is>
          <t>9780871200860</t>
        </is>
      </c>
      <c r="BC714" t="inlineStr">
        <is>
          <t>32285001478303</t>
        </is>
      </c>
      <c r="BD714" t="inlineStr">
        <is>
          <t>893901283</t>
        </is>
      </c>
    </row>
    <row r="715">
      <c r="A715" t="inlineStr">
        <is>
          <t>No</t>
        </is>
      </c>
      <c r="B715" t="inlineStr">
        <is>
          <t>LB1570 .N49 1978</t>
        </is>
      </c>
      <c r="C715" t="inlineStr">
        <is>
          <t>0                      LB 1570000N  49          1978</t>
        </is>
      </c>
      <c r="D715" t="inlineStr">
        <is>
          <t>Developing a curriculum : a practical guide / Audrey Nicholls, S. Howard Nicholls.</t>
        </is>
      </c>
      <c r="F715" t="inlineStr">
        <is>
          <t>No</t>
        </is>
      </c>
      <c r="G715" t="inlineStr">
        <is>
          <t>1</t>
        </is>
      </c>
      <c r="H715" t="inlineStr">
        <is>
          <t>No</t>
        </is>
      </c>
      <c r="I715" t="inlineStr">
        <is>
          <t>No</t>
        </is>
      </c>
      <c r="J715" t="inlineStr">
        <is>
          <t>0</t>
        </is>
      </c>
      <c r="K715" t="inlineStr">
        <is>
          <t>Nicholls, Audrey.</t>
        </is>
      </c>
      <c r="L715" t="inlineStr">
        <is>
          <t>London ; Boston : G. Allen &amp; Unwin, 1978.</t>
        </is>
      </c>
      <c r="M715" t="inlineStr">
        <is>
          <t>1978</t>
        </is>
      </c>
      <c r="N715" t="inlineStr">
        <is>
          <t>2d ed.</t>
        </is>
      </c>
      <c r="O715" t="inlineStr">
        <is>
          <t>eng</t>
        </is>
      </c>
      <c r="P715" t="inlineStr">
        <is>
          <t>enk</t>
        </is>
      </c>
      <c r="Q715" t="inlineStr">
        <is>
          <t>Unwin education books ; 12</t>
        </is>
      </c>
      <c r="R715" t="inlineStr">
        <is>
          <t xml:space="preserve">LB </t>
        </is>
      </c>
      <c r="S715" t="n">
        <v>2</v>
      </c>
      <c r="T715" t="n">
        <v>2</v>
      </c>
      <c r="U715" t="inlineStr">
        <is>
          <t>2001-11-13</t>
        </is>
      </c>
      <c r="V715" t="inlineStr">
        <is>
          <t>2001-11-13</t>
        </is>
      </c>
      <c r="W715" t="inlineStr">
        <is>
          <t>1997-05-09</t>
        </is>
      </c>
      <c r="X715" t="inlineStr">
        <is>
          <t>1997-05-09</t>
        </is>
      </c>
      <c r="Y715" t="n">
        <v>321</v>
      </c>
      <c r="Z715" t="n">
        <v>185</v>
      </c>
      <c r="AA715" t="n">
        <v>266</v>
      </c>
      <c r="AB715" t="n">
        <v>3</v>
      </c>
      <c r="AC715" t="n">
        <v>5</v>
      </c>
      <c r="AD715" t="n">
        <v>9</v>
      </c>
      <c r="AE715" t="n">
        <v>13</v>
      </c>
      <c r="AF715" t="n">
        <v>1</v>
      </c>
      <c r="AG715" t="n">
        <v>1</v>
      </c>
      <c r="AH715" t="n">
        <v>4</v>
      </c>
      <c r="AI715" t="n">
        <v>4</v>
      </c>
      <c r="AJ715" t="n">
        <v>3</v>
      </c>
      <c r="AK715" t="n">
        <v>5</v>
      </c>
      <c r="AL715" t="n">
        <v>2</v>
      </c>
      <c r="AM715" t="n">
        <v>4</v>
      </c>
      <c r="AN715" t="n">
        <v>0</v>
      </c>
      <c r="AO715" t="n">
        <v>0</v>
      </c>
      <c r="AP715" t="inlineStr">
        <is>
          <t>No</t>
        </is>
      </c>
      <c r="AQ715" t="inlineStr">
        <is>
          <t>No</t>
        </is>
      </c>
      <c r="AS715">
        <f>HYPERLINK("https://creighton-primo.hosted.exlibrisgroup.com/primo-explore/search?tab=default_tab&amp;search_scope=EVERYTHING&amp;vid=01CRU&amp;lang=en_US&amp;offset=0&amp;query=any,contains,991004543769702656","Catalog Record")</f>
        <v/>
      </c>
      <c r="AT715">
        <f>HYPERLINK("http://www.worldcat.org/oclc/3909565","WorldCat Record")</f>
        <v/>
      </c>
      <c r="AU715" t="inlineStr">
        <is>
          <t>1748663:eng</t>
        </is>
      </c>
      <c r="AV715" t="inlineStr">
        <is>
          <t>3909565</t>
        </is>
      </c>
      <c r="AW715" t="inlineStr">
        <is>
          <t>991004543769702656</t>
        </is>
      </c>
      <c r="AX715" t="inlineStr">
        <is>
          <t>991004543769702656</t>
        </is>
      </c>
      <c r="AY715" t="inlineStr">
        <is>
          <t>2256128520002656</t>
        </is>
      </c>
      <c r="AZ715" t="inlineStr">
        <is>
          <t>BOOK</t>
        </is>
      </c>
      <c r="BB715" t="inlineStr">
        <is>
          <t>9780042710532</t>
        </is>
      </c>
      <c r="BC715" t="inlineStr">
        <is>
          <t>32285002665270</t>
        </is>
      </c>
      <c r="BD715" t="inlineStr">
        <is>
          <t>893895130</t>
        </is>
      </c>
    </row>
    <row r="716">
      <c r="A716" t="inlineStr">
        <is>
          <t>No</t>
        </is>
      </c>
      <c r="B716" t="inlineStr">
        <is>
          <t>LB1570 .P643 1992</t>
        </is>
      </c>
      <c r="C716" t="inlineStr">
        <is>
          <t>0                      LB 1570000P  643         1992</t>
        </is>
      </c>
      <c r="D716" t="inlineStr">
        <is>
          <t>Analyzing the curriculum / George J. Posner.</t>
        </is>
      </c>
      <c r="F716" t="inlineStr">
        <is>
          <t>No</t>
        </is>
      </c>
      <c r="G716" t="inlineStr">
        <is>
          <t>1</t>
        </is>
      </c>
      <c r="H716" t="inlineStr">
        <is>
          <t>No</t>
        </is>
      </c>
      <c r="I716" t="inlineStr">
        <is>
          <t>No</t>
        </is>
      </c>
      <c r="J716" t="inlineStr">
        <is>
          <t>0</t>
        </is>
      </c>
      <c r="K716" t="inlineStr">
        <is>
          <t>Posner, George J.</t>
        </is>
      </c>
      <c r="L716" t="inlineStr">
        <is>
          <t>New York : McGraw-Hill, c1992.</t>
        </is>
      </c>
      <c r="M716" t="inlineStr">
        <is>
          <t>1992</t>
        </is>
      </c>
      <c r="O716" t="inlineStr">
        <is>
          <t>eng</t>
        </is>
      </c>
      <c r="P716" t="inlineStr">
        <is>
          <t>nyu</t>
        </is>
      </c>
      <c r="R716" t="inlineStr">
        <is>
          <t xml:space="preserve">LB </t>
        </is>
      </c>
      <c r="S716" t="n">
        <v>9</v>
      </c>
      <c r="T716" t="n">
        <v>9</v>
      </c>
      <c r="U716" t="inlineStr">
        <is>
          <t>2008-09-05</t>
        </is>
      </c>
      <c r="V716" t="inlineStr">
        <is>
          <t>2008-09-05</t>
        </is>
      </c>
      <c r="W716" t="inlineStr">
        <is>
          <t>1992-04-22</t>
        </is>
      </c>
      <c r="X716" t="inlineStr">
        <is>
          <t>1992-04-22</t>
        </is>
      </c>
      <c r="Y716" t="n">
        <v>226</v>
      </c>
      <c r="Z716" t="n">
        <v>174</v>
      </c>
      <c r="AA716" t="n">
        <v>355</v>
      </c>
      <c r="AB716" t="n">
        <v>1</v>
      </c>
      <c r="AC716" t="n">
        <v>4</v>
      </c>
      <c r="AD716" t="n">
        <v>10</v>
      </c>
      <c r="AE716" t="n">
        <v>16</v>
      </c>
      <c r="AF716" t="n">
        <v>4</v>
      </c>
      <c r="AG716" t="n">
        <v>7</v>
      </c>
      <c r="AH716" t="n">
        <v>1</v>
      </c>
      <c r="AI716" t="n">
        <v>2</v>
      </c>
      <c r="AJ716" t="n">
        <v>9</v>
      </c>
      <c r="AK716" t="n">
        <v>9</v>
      </c>
      <c r="AL716" t="n">
        <v>0</v>
      </c>
      <c r="AM716" t="n">
        <v>2</v>
      </c>
      <c r="AN716" t="n">
        <v>0</v>
      </c>
      <c r="AO716" t="n">
        <v>0</v>
      </c>
      <c r="AP716" t="inlineStr">
        <is>
          <t>No</t>
        </is>
      </c>
      <c r="AQ716" t="inlineStr">
        <is>
          <t>Yes</t>
        </is>
      </c>
      <c r="AR716">
        <f>HYPERLINK("http://catalog.hathitrust.org/Record/002895289","HathiTrust Record")</f>
        <v/>
      </c>
      <c r="AS716">
        <f>HYPERLINK("https://creighton-primo.hosted.exlibrisgroup.com/primo-explore/search?tab=default_tab&amp;search_scope=EVERYTHING&amp;vid=01CRU&amp;lang=en_US&amp;offset=0&amp;query=any,contains,991001849849702656","Catalog Record")</f>
        <v/>
      </c>
      <c r="AT716">
        <f>HYPERLINK("http://www.worldcat.org/oclc/23217401","WorldCat Record")</f>
        <v/>
      </c>
      <c r="AU716" t="inlineStr">
        <is>
          <t>654206:eng</t>
        </is>
      </c>
      <c r="AV716" t="inlineStr">
        <is>
          <t>23217401</t>
        </is>
      </c>
      <c r="AW716" t="inlineStr">
        <is>
          <t>991001849849702656</t>
        </is>
      </c>
      <c r="AX716" t="inlineStr">
        <is>
          <t>991001849849702656</t>
        </is>
      </c>
      <c r="AY716" t="inlineStr">
        <is>
          <t>2259789480002656</t>
        </is>
      </c>
      <c r="AZ716" t="inlineStr">
        <is>
          <t>BOOK</t>
        </is>
      </c>
      <c r="BB716" t="inlineStr">
        <is>
          <t>9780070506206</t>
        </is>
      </c>
      <c r="BC716" t="inlineStr">
        <is>
          <t>32285001036523</t>
        </is>
      </c>
      <c r="BD716" t="inlineStr">
        <is>
          <t>893898108</t>
        </is>
      </c>
    </row>
    <row r="717">
      <c r="A717" t="inlineStr">
        <is>
          <t>No</t>
        </is>
      </c>
      <c r="B717" t="inlineStr">
        <is>
          <t>LB1570 .R3 1982</t>
        </is>
      </c>
      <c r="C717" t="inlineStr">
        <is>
          <t>0                      LB 1570000R  3           1982</t>
        </is>
      </c>
      <c r="D717" t="inlineStr">
        <is>
          <t>Modern elementary curriculum / Gene D. Shepherd, William B. Ragan.</t>
        </is>
      </c>
      <c r="F717" t="inlineStr">
        <is>
          <t>No</t>
        </is>
      </c>
      <c r="G717" t="inlineStr">
        <is>
          <t>1</t>
        </is>
      </c>
      <c r="H717" t="inlineStr">
        <is>
          <t>No</t>
        </is>
      </c>
      <c r="I717" t="inlineStr">
        <is>
          <t>No</t>
        </is>
      </c>
      <c r="J717" t="inlineStr">
        <is>
          <t>0</t>
        </is>
      </c>
      <c r="K717" t="inlineStr">
        <is>
          <t>Shepherd, Gene D.</t>
        </is>
      </c>
      <c r="L717" t="inlineStr">
        <is>
          <t>New York : Holt, Rinehart, Winston, 1982.</t>
        </is>
      </c>
      <c r="M717" t="inlineStr">
        <is>
          <t>1982</t>
        </is>
      </c>
      <c r="N717" t="inlineStr">
        <is>
          <t>6th ed.</t>
        </is>
      </c>
      <c r="O717" t="inlineStr">
        <is>
          <t>eng</t>
        </is>
      </c>
      <c r="P717" t="inlineStr">
        <is>
          <t>nyu</t>
        </is>
      </c>
      <c r="R717" t="inlineStr">
        <is>
          <t xml:space="preserve">LB </t>
        </is>
      </c>
      <c r="S717" t="n">
        <v>1</v>
      </c>
      <c r="T717" t="n">
        <v>1</v>
      </c>
      <c r="U717" t="inlineStr">
        <is>
          <t>2003-09-27</t>
        </is>
      </c>
      <c r="V717" t="inlineStr">
        <is>
          <t>2003-09-27</t>
        </is>
      </c>
      <c r="W717" t="inlineStr">
        <is>
          <t>1993-01-26</t>
        </is>
      </c>
      <c r="X717" t="inlineStr">
        <is>
          <t>1993-01-26</t>
        </is>
      </c>
      <c r="Y717" t="n">
        <v>261</v>
      </c>
      <c r="Z717" t="n">
        <v>215</v>
      </c>
      <c r="AA717" t="n">
        <v>702</v>
      </c>
      <c r="AB717" t="n">
        <v>4</v>
      </c>
      <c r="AC717" t="n">
        <v>10</v>
      </c>
      <c r="AD717" t="n">
        <v>7</v>
      </c>
      <c r="AE717" t="n">
        <v>28</v>
      </c>
      <c r="AF717" t="n">
        <v>2</v>
      </c>
      <c r="AG717" t="n">
        <v>10</v>
      </c>
      <c r="AH717" t="n">
        <v>1</v>
      </c>
      <c r="AI717" t="n">
        <v>3</v>
      </c>
      <c r="AJ717" t="n">
        <v>2</v>
      </c>
      <c r="AK717" t="n">
        <v>14</v>
      </c>
      <c r="AL717" t="n">
        <v>3</v>
      </c>
      <c r="AM717" t="n">
        <v>7</v>
      </c>
      <c r="AN717" t="n">
        <v>0</v>
      </c>
      <c r="AO717" t="n">
        <v>0</v>
      </c>
      <c r="AP717" t="inlineStr">
        <is>
          <t>No</t>
        </is>
      </c>
      <c r="AQ717" t="inlineStr">
        <is>
          <t>No</t>
        </is>
      </c>
      <c r="AS717">
        <f>HYPERLINK("https://creighton-primo.hosted.exlibrisgroup.com/primo-explore/search?tab=default_tab&amp;search_scope=EVERYTHING&amp;vid=01CRU&amp;lang=en_US&amp;offset=0&amp;query=any,contains,991005190849702656","Catalog Record")</f>
        <v/>
      </c>
      <c r="AT717">
        <f>HYPERLINK("http://www.worldcat.org/oclc/7998869","WorldCat Record")</f>
        <v/>
      </c>
      <c r="AU717" t="inlineStr">
        <is>
          <t>156653530:eng</t>
        </is>
      </c>
      <c r="AV717" t="inlineStr">
        <is>
          <t>7998869</t>
        </is>
      </c>
      <c r="AW717" t="inlineStr">
        <is>
          <t>991005190849702656</t>
        </is>
      </c>
      <c r="AX717" t="inlineStr">
        <is>
          <t>991005190849702656</t>
        </is>
      </c>
      <c r="AY717" t="inlineStr">
        <is>
          <t>2257765460002656</t>
        </is>
      </c>
      <c r="AZ717" t="inlineStr">
        <is>
          <t>BOOK</t>
        </is>
      </c>
      <c r="BB717" t="inlineStr">
        <is>
          <t>9780030583247</t>
        </is>
      </c>
      <c r="BC717" t="inlineStr">
        <is>
          <t>32285001478360</t>
        </is>
      </c>
      <c r="BD717" t="inlineStr">
        <is>
          <t>893783169</t>
        </is>
      </c>
    </row>
    <row r="718">
      <c r="A718" t="inlineStr">
        <is>
          <t>No</t>
        </is>
      </c>
      <c r="B718" t="inlineStr">
        <is>
          <t>LB1570 .R3785 1986</t>
        </is>
      </c>
      <c r="C718" t="inlineStr">
        <is>
          <t>0                      LB 1570000R  3785        1986</t>
        </is>
      </c>
      <c r="D718" t="inlineStr">
        <is>
          <t>Recent developments in curriculum studies / edited by Philip H. Taylor.</t>
        </is>
      </c>
      <c r="F718" t="inlineStr">
        <is>
          <t>No</t>
        </is>
      </c>
      <c r="G718" t="inlineStr">
        <is>
          <t>1</t>
        </is>
      </c>
      <c r="H718" t="inlineStr">
        <is>
          <t>No</t>
        </is>
      </c>
      <c r="I718" t="inlineStr">
        <is>
          <t>No</t>
        </is>
      </c>
      <c r="J718" t="inlineStr">
        <is>
          <t>0</t>
        </is>
      </c>
      <c r="L718" t="inlineStr">
        <is>
          <t>Berkshire ; Philadelphia : NFER-Nelson, 1986.</t>
        </is>
      </c>
      <c r="M718" t="inlineStr">
        <is>
          <t>1986</t>
        </is>
      </c>
      <c r="O718" t="inlineStr">
        <is>
          <t>eng</t>
        </is>
      </c>
      <c r="P718" t="inlineStr">
        <is>
          <t>enk</t>
        </is>
      </c>
      <c r="R718" t="inlineStr">
        <is>
          <t xml:space="preserve">LB </t>
        </is>
      </c>
      <c r="S718" t="n">
        <v>1</v>
      </c>
      <c r="T718" t="n">
        <v>1</v>
      </c>
      <c r="U718" t="inlineStr">
        <is>
          <t>2001-03-26</t>
        </is>
      </c>
      <c r="V718" t="inlineStr">
        <is>
          <t>2001-03-26</t>
        </is>
      </c>
      <c r="W718" t="inlineStr">
        <is>
          <t>1990-07-09</t>
        </is>
      </c>
      <c r="X718" t="inlineStr">
        <is>
          <t>1990-07-09</t>
        </is>
      </c>
      <c r="Y718" t="n">
        <v>179</v>
      </c>
      <c r="Z718" t="n">
        <v>93</v>
      </c>
      <c r="AA718" t="n">
        <v>95</v>
      </c>
      <c r="AB718" t="n">
        <v>1</v>
      </c>
      <c r="AC718" t="n">
        <v>1</v>
      </c>
      <c r="AD718" t="n">
        <v>4</v>
      </c>
      <c r="AE718" t="n">
        <v>4</v>
      </c>
      <c r="AF718" t="n">
        <v>3</v>
      </c>
      <c r="AG718" t="n">
        <v>3</v>
      </c>
      <c r="AH718" t="n">
        <v>1</v>
      </c>
      <c r="AI718" t="n">
        <v>1</v>
      </c>
      <c r="AJ718" t="n">
        <v>2</v>
      </c>
      <c r="AK718" t="n">
        <v>2</v>
      </c>
      <c r="AL718" t="n">
        <v>0</v>
      </c>
      <c r="AM718" t="n">
        <v>0</v>
      </c>
      <c r="AN718" t="n">
        <v>0</v>
      </c>
      <c r="AO718" t="n">
        <v>0</v>
      </c>
      <c r="AP718" t="inlineStr">
        <is>
          <t>No</t>
        </is>
      </c>
      <c r="AQ718" t="inlineStr">
        <is>
          <t>Yes</t>
        </is>
      </c>
      <c r="AR718">
        <f>HYPERLINK("http://catalog.hathitrust.org/Record/009491149","HathiTrust Record")</f>
        <v/>
      </c>
      <c r="AS718">
        <f>HYPERLINK("https://creighton-primo.hosted.exlibrisgroup.com/primo-explore/search?tab=default_tab&amp;search_scope=EVERYTHING&amp;vid=01CRU&amp;lang=en_US&amp;offset=0&amp;query=any,contains,991000785789702656","Catalog Record")</f>
        <v/>
      </c>
      <c r="AT718">
        <f>HYPERLINK("http://www.worldcat.org/oclc/13124490","WorldCat Record")</f>
        <v/>
      </c>
      <c r="AU718" t="inlineStr">
        <is>
          <t>5685342:eng</t>
        </is>
      </c>
      <c r="AV718" t="inlineStr">
        <is>
          <t>13124490</t>
        </is>
      </c>
      <c r="AW718" t="inlineStr">
        <is>
          <t>991000785789702656</t>
        </is>
      </c>
      <c r="AX718" t="inlineStr">
        <is>
          <t>991000785789702656</t>
        </is>
      </c>
      <c r="AY718" t="inlineStr">
        <is>
          <t>2257373910002656</t>
        </is>
      </c>
      <c r="AZ718" t="inlineStr">
        <is>
          <t>BOOK</t>
        </is>
      </c>
      <c r="BB718" t="inlineStr">
        <is>
          <t>9780700510412</t>
        </is>
      </c>
      <c r="BC718" t="inlineStr">
        <is>
          <t>32285000223460</t>
        </is>
      </c>
      <c r="BD718" t="inlineStr">
        <is>
          <t>893891021</t>
        </is>
      </c>
    </row>
    <row r="719">
      <c r="A719" t="inlineStr">
        <is>
          <t>No</t>
        </is>
      </c>
      <c r="B719" t="inlineStr">
        <is>
          <t>LB1570 .S77</t>
        </is>
      </c>
      <c r="C719" t="inlineStr">
        <is>
          <t>0                      LB 1570000S  77</t>
        </is>
      </c>
      <c r="D719" t="inlineStr">
        <is>
          <t>Strategies for curriculum development / edited by Jon Schaffarzick and David H. Hampson.</t>
        </is>
      </c>
      <c r="F719" t="inlineStr">
        <is>
          <t>No</t>
        </is>
      </c>
      <c r="G719" t="inlineStr">
        <is>
          <t>1</t>
        </is>
      </c>
      <c r="H719" t="inlineStr">
        <is>
          <t>No</t>
        </is>
      </c>
      <c r="I719" t="inlineStr">
        <is>
          <t>No</t>
        </is>
      </c>
      <c r="J719" t="inlineStr">
        <is>
          <t>0</t>
        </is>
      </c>
      <c r="L719" t="inlineStr">
        <is>
          <t>Berkeley, Calif. : McCutchan Pub. Corp., c1975.</t>
        </is>
      </c>
      <c r="M719" t="inlineStr">
        <is>
          <t>1975</t>
        </is>
      </c>
      <c r="O719" t="inlineStr">
        <is>
          <t>eng</t>
        </is>
      </c>
      <c r="P719" t="inlineStr">
        <is>
          <t>cau</t>
        </is>
      </c>
      <c r="R719" t="inlineStr">
        <is>
          <t xml:space="preserve">LB </t>
        </is>
      </c>
      <c r="S719" t="n">
        <v>2</v>
      </c>
      <c r="T719" t="n">
        <v>2</v>
      </c>
      <c r="U719" t="inlineStr">
        <is>
          <t>2007-09-05</t>
        </is>
      </c>
      <c r="V719" t="inlineStr">
        <is>
          <t>2007-09-05</t>
        </is>
      </c>
      <c r="W719" t="inlineStr">
        <is>
          <t>1997-05-12</t>
        </is>
      </c>
      <c r="X719" t="inlineStr">
        <is>
          <t>1997-05-12</t>
        </is>
      </c>
      <c r="Y719" t="n">
        <v>393</v>
      </c>
      <c r="Z719" t="n">
        <v>331</v>
      </c>
      <c r="AA719" t="n">
        <v>341</v>
      </c>
      <c r="AB719" t="n">
        <v>2</v>
      </c>
      <c r="AC719" t="n">
        <v>2</v>
      </c>
      <c r="AD719" t="n">
        <v>12</v>
      </c>
      <c r="AE719" t="n">
        <v>12</v>
      </c>
      <c r="AF719" t="n">
        <v>3</v>
      </c>
      <c r="AG719" t="n">
        <v>3</v>
      </c>
      <c r="AH719" t="n">
        <v>3</v>
      </c>
      <c r="AI719" t="n">
        <v>3</v>
      </c>
      <c r="AJ719" t="n">
        <v>9</v>
      </c>
      <c r="AK719" t="n">
        <v>9</v>
      </c>
      <c r="AL719" t="n">
        <v>1</v>
      </c>
      <c r="AM719" t="n">
        <v>1</v>
      </c>
      <c r="AN719" t="n">
        <v>0</v>
      </c>
      <c r="AO719" t="n">
        <v>0</v>
      </c>
      <c r="AP719" t="inlineStr">
        <is>
          <t>No</t>
        </is>
      </c>
      <c r="AQ719" t="inlineStr">
        <is>
          <t>Yes</t>
        </is>
      </c>
      <c r="AR719">
        <f>HYPERLINK("http://catalog.hathitrust.org/Record/000689055","HathiTrust Record")</f>
        <v/>
      </c>
      <c r="AS719">
        <f>HYPERLINK("https://creighton-primo.hosted.exlibrisgroup.com/primo-explore/search?tab=default_tab&amp;search_scope=EVERYTHING&amp;vid=01CRU&amp;lang=en_US&amp;offset=0&amp;query=any,contains,991004282659702656","Catalog Record")</f>
        <v/>
      </c>
      <c r="AT719">
        <f>HYPERLINK("http://www.worldcat.org/oclc/2913285","WorldCat Record")</f>
        <v/>
      </c>
      <c r="AU719" t="inlineStr">
        <is>
          <t>355902150:eng</t>
        </is>
      </c>
      <c r="AV719" t="inlineStr">
        <is>
          <t>2913285</t>
        </is>
      </c>
      <c r="AW719" t="inlineStr">
        <is>
          <t>991004282659702656</t>
        </is>
      </c>
      <c r="AX719" t="inlineStr">
        <is>
          <t>991004282659702656</t>
        </is>
      </c>
      <c r="AY719" t="inlineStr">
        <is>
          <t>2265190540002656</t>
        </is>
      </c>
      <c r="AZ719" t="inlineStr">
        <is>
          <t>BOOK</t>
        </is>
      </c>
      <c r="BB719" t="inlineStr">
        <is>
          <t>9780821107560</t>
        </is>
      </c>
      <c r="BC719" t="inlineStr">
        <is>
          <t>32285002665346</t>
        </is>
      </c>
      <c r="BD719" t="inlineStr">
        <is>
          <t>893869538</t>
        </is>
      </c>
    </row>
    <row r="720">
      <c r="A720" t="inlineStr">
        <is>
          <t>No</t>
        </is>
      </c>
      <c r="B720" t="inlineStr">
        <is>
          <t>LB1570 .T23 1980</t>
        </is>
      </c>
      <c r="C720" t="inlineStr">
        <is>
          <t>0                      LB 1570000T  23          1980</t>
        </is>
      </c>
      <c r="D720" t="inlineStr">
        <is>
          <t>Curriculum development : theory into practice / Daniel Tanner, Laurel N. Tanner.</t>
        </is>
      </c>
      <c r="F720" t="inlineStr">
        <is>
          <t>No</t>
        </is>
      </c>
      <c r="G720" t="inlineStr">
        <is>
          <t>1</t>
        </is>
      </c>
      <c r="H720" t="inlineStr">
        <is>
          <t>No</t>
        </is>
      </c>
      <c r="I720" t="inlineStr">
        <is>
          <t>No</t>
        </is>
      </c>
      <c r="J720" t="inlineStr">
        <is>
          <t>0</t>
        </is>
      </c>
      <c r="K720" t="inlineStr">
        <is>
          <t>Tanner, Daniel.</t>
        </is>
      </c>
      <c r="L720" t="inlineStr">
        <is>
          <t>New York : Macmillan, c1980.</t>
        </is>
      </c>
      <c r="M720" t="inlineStr">
        <is>
          <t>1980</t>
        </is>
      </c>
      <c r="N720" t="inlineStr">
        <is>
          <t>2d ed.</t>
        </is>
      </c>
      <c r="O720" t="inlineStr">
        <is>
          <t>eng</t>
        </is>
      </c>
      <c r="P720" t="inlineStr">
        <is>
          <t>nyu</t>
        </is>
      </c>
      <c r="R720" t="inlineStr">
        <is>
          <t xml:space="preserve">LB </t>
        </is>
      </c>
      <c r="S720" t="n">
        <v>5</v>
      </c>
      <c r="T720" t="n">
        <v>5</v>
      </c>
      <c r="U720" t="inlineStr">
        <is>
          <t>1996-11-12</t>
        </is>
      </c>
      <c r="V720" t="inlineStr">
        <is>
          <t>1996-11-12</t>
        </is>
      </c>
      <c r="W720" t="inlineStr">
        <is>
          <t>1990-07-09</t>
        </is>
      </c>
      <c r="X720" t="inlineStr">
        <is>
          <t>1990-07-09</t>
        </is>
      </c>
      <c r="Y720" t="n">
        <v>526</v>
      </c>
      <c r="Z720" t="n">
        <v>390</v>
      </c>
      <c r="AA720" t="n">
        <v>833</v>
      </c>
      <c r="AB720" t="n">
        <v>5</v>
      </c>
      <c r="AC720" t="n">
        <v>7</v>
      </c>
      <c r="AD720" t="n">
        <v>21</v>
      </c>
      <c r="AE720" t="n">
        <v>38</v>
      </c>
      <c r="AF720" t="n">
        <v>5</v>
      </c>
      <c r="AG720" t="n">
        <v>15</v>
      </c>
      <c r="AH720" t="n">
        <v>4</v>
      </c>
      <c r="AI720" t="n">
        <v>6</v>
      </c>
      <c r="AJ720" t="n">
        <v>12</v>
      </c>
      <c r="AK720" t="n">
        <v>19</v>
      </c>
      <c r="AL720" t="n">
        <v>4</v>
      </c>
      <c r="AM720" t="n">
        <v>6</v>
      </c>
      <c r="AN720" t="n">
        <v>0</v>
      </c>
      <c r="AO720" t="n">
        <v>0</v>
      </c>
      <c r="AP720" t="inlineStr">
        <is>
          <t>No</t>
        </is>
      </c>
      <c r="AQ720" t="inlineStr">
        <is>
          <t>Yes</t>
        </is>
      </c>
      <c r="AR720">
        <f>HYPERLINK("http://catalog.hathitrust.org/Record/000746553","HathiTrust Record")</f>
        <v/>
      </c>
      <c r="AS720">
        <f>HYPERLINK("https://creighton-primo.hosted.exlibrisgroup.com/primo-explore/search?tab=default_tab&amp;search_scope=EVERYTHING&amp;vid=01CRU&amp;lang=en_US&amp;offset=0&amp;query=any,contains,991004750689702656","Catalog Record")</f>
        <v/>
      </c>
      <c r="AT720">
        <f>HYPERLINK("http://www.worldcat.org/oclc/4933338","WorldCat Record")</f>
        <v/>
      </c>
      <c r="AU720" t="inlineStr">
        <is>
          <t>4928356911:eng</t>
        </is>
      </c>
      <c r="AV720" t="inlineStr">
        <is>
          <t>4933338</t>
        </is>
      </c>
      <c r="AW720" t="inlineStr">
        <is>
          <t>991004750689702656</t>
        </is>
      </c>
      <c r="AX720" t="inlineStr">
        <is>
          <t>991004750689702656</t>
        </is>
      </c>
      <c r="AY720" t="inlineStr">
        <is>
          <t>2269080300002656</t>
        </is>
      </c>
      <c r="AZ720" t="inlineStr">
        <is>
          <t>BOOK</t>
        </is>
      </c>
      <c r="BB720" t="inlineStr">
        <is>
          <t>9780024189608</t>
        </is>
      </c>
      <c r="BC720" t="inlineStr">
        <is>
          <t>32285000223486</t>
        </is>
      </c>
      <c r="BD720" t="inlineStr">
        <is>
          <t>893319587</t>
        </is>
      </c>
    </row>
    <row r="721">
      <c r="A721" t="inlineStr">
        <is>
          <t>No</t>
        </is>
      </c>
      <c r="B721" t="inlineStr">
        <is>
          <t>LB1570 .T337 1990</t>
        </is>
      </c>
      <c r="C721" t="inlineStr">
        <is>
          <t>0                      LB 1570000T  337         1990</t>
        </is>
      </c>
      <c r="D721" t="inlineStr">
        <is>
          <t>Teaching and thinking about curriculum : critical inquiries / James T. Sears, J. Dan Marshall, editors ; foreword by Nel Noddings.</t>
        </is>
      </c>
      <c r="F721" t="inlineStr">
        <is>
          <t>No</t>
        </is>
      </c>
      <c r="G721" t="inlineStr">
        <is>
          <t>1</t>
        </is>
      </c>
      <c r="H721" t="inlineStr">
        <is>
          <t>No</t>
        </is>
      </c>
      <c r="I721" t="inlineStr">
        <is>
          <t>No</t>
        </is>
      </c>
      <c r="J721" t="inlineStr">
        <is>
          <t>0</t>
        </is>
      </c>
      <c r="L721" t="inlineStr">
        <is>
          <t>New York ; London : Teachers College, Columbia University, c1990.</t>
        </is>
      </c>
      <c r="M721" t="inlineStr">
        <is>
          <t>1990</t>
        </is>
      </c>
      <c r="O721" t="inlineStr">
        <is>
          <t>eng</t>
        </is>
      </c>
      <c r="P721" t="inlineStr">
        <is>
          <t>nyu</t>
        </is>
      </c>
      <c r="R721" t="inlineStr">
        <is>
          <t xml:space="preserve">LB </t>
        </is>
      </c>
      <c r="S721" t="n">
        <v>5</v>
      </c>
      <c r="T721" t="n">
        <v>5</v>
      </c>
      <c r="U721" t="inlineStr">
        <is>
          <t>2005-12-03</t>
        </is>
      </c>
      <c r="V721" t="inlineStr">
        <is>
          <t>2005-12-03</t>
        </is>
      </c>
      <c r="W721" t="inlineStr">
        <is>
          <t>1990-11-05</t>
        </is>
      </c>
      <c r="X721" t="inlineStr">
        <is>
          <t>1990-11-05</t>
        </is>
      </c>
      <c r="Y721" t="n">
        <v>706</v>
      </c>
      <c r="Z721" t="n">
        <v>624</v>
      </c>
      <c r="AA721" t="n">
        <v>636</v>
      </c>
      <c r="AB721" t="n">
        <v>8</v>
      </c>
      <c r="AC721" t="n">
        <v>8</v>
      </c>
      <c r="AD721" t="n">
        <v>37</v>
      </c>
      <c r="AE721" t="n">
        <v>38</v>
      </c>
      <c r="AF721" t="n">
        <v>15</v>
      </c>
      <c r="AG721" t="n">
        <v>16</v>
      </c>
      <c r="AH721" t="n">
        <v>6</v>
      </c>
      <c r="AI721" t="n">
        <v>6</v>
      </c>
      <c r="AJ721" t="n">
        <v>14</v>
      </c>
      <c r="AK721" t="n">
        <v>15</v>
      </c>
      <c r="AL721" t="n">
        <v>7</v>
      </c>
      <c r="AM721" t="n">
        <v>7</v>
      </c>
      <c r="AN721" t="n">
        <v>0</v>
      </c>
      <c r="AO721" t="n">
        <v>0</v>
      </c>
      <c r="AP721" t="inlineStr">
        <is>
          <t>No</t>
        </is>
      </c>
      <c r="AQ721" t="inlineStr">
        <is>
          <t>No</t>
        </is>
      </c>
      <c r="AS721">
        <f>HYPERLINK("https://creighton-primo.hosted.exlibrisgroup.com/primo-explore/search?tab=default_tab&amp;search_scope=EVERYTHING&amp;vid=01CRU&amp;lang=en_US&amp;offset=0&amp;query=any,contains,991001550829702656","Catalog Record")</f>
        <v/>
      </c>
      <c r="AT721">
        <f>HYPERLINK("http://www.worldcat.org/oclc/20219760","WorldCat Record")</f>
        <v/>
      </c>
      <c r="AU721" t="inlineStr">
        <is>
          <t>355385103:eng</t>
        </is>
      </c>
      <c r="AV721" t="inlineStr">
        <is>
          <t>20219760</t>
        </is>
      </c>
      <c r="AW721" t="inlineStr">
        <is>
          <t>991001550829702656</t>
        </is>
      </c>
      <c r="AX721" t="inlineStr">
        <is>
          <t>991001550829702656</t>
        </is>
      </c>
      <c r="AY721" t="inlineStr">
        <is>
          <t>2272229030002656</t>
        </is>
      </c>
      <c r="AZ721" t="inlineStr">
        <is>
          <t>BOOK</t>
        </is>
      </c>
      <c r="BB721" t="inlineStr">
        <is>
          <t>9780807729687</t>
        </is>
      </c>
      <c r="BC721" t="inlineStr">
        <is>
          <t>32285000313097</t>
        </is>
      </c>
      <c r="BD721" t="inlineStr">
        <is>
          <t>893256305</t>
        </is>
      </c>
    </row>
    <row r="722">
      <c r="A722" t="inlineStr">
        <is>
          <t>No</t>
        </is>
      </c>
      <c r="B722" t="inlineStr">
        <is>
          <t>LB1570 .U47 1984</t>
        </is>
      </c>
      <c r="C722" t="inlineStr">
        <is>
          <t>0                      LB 1570000U  47          1984</t>
        </is>
      </c>
      <c r="D722" t="inlineStr">
        <is>
          <t>Curriculum development : problems, processes, and progress / by Glenys G. Unruh and Adolph Unruh.</t>
        </is>
      </c>
      <c r="F722" t="inlineStr">
        <is>
          <t>No</t>
        </is>
      </c>
      <c r="G722" t="inlineStr">
        <is>
          <t>1</t>
        </is>
      </c>
      <c r="H722" t="inlineStr">
        <is>
          <t>No</t>
        </is>
      </c>
      <c r="I722" t="inlineStr">
        <is>
          <t>No</t>
        </is>
      </c>
      <c r="J722" t="inlineStr">
        <is>
          <t>0</t>
        </is>
      </c>
      <c r="K722" t="inlineStr">
        <is>
          <t>Unruh, Glenys G.</t>
        </is>
      </c>
      <c r="L722" t="inlineStr">
        <is>
          <t>Berkeley, Calif. : McCutchan, 1984.</t>
        </is>
      </c>
      <c r="M722" t="inlineStr">
        <is>
          <t>1984</t>
        </is>
      </c>
      <c r="O722" t="inlineStr">
        <is>
          <t>eng</t>
        </is>
      </c>
      <c r="P722" t="inlineStr">
        <is>
          <t>cau</t>
        </is>
      </c>
      <c r="R722" t="inlineStr">
        <is>
          <t xml:space="preserve">LB </t>
        </is>
      </c>
      <c r="S722" t="n">
        <v>7</v>
      </c>
      <c r="T722" t="n">
        <v>7</v>
      </c>
      <c r="U722" t="inlineStr">
        <is>
          <t>1998-11-11</t>
        </is>
      </c>
      <c r="V722" t="inlineStr">
        <is>
          <t>1998-11-11</t>
        </is>
      </c>
      <c r="W722" t="inlineStr">
        <is>
          <t>1990-07-09</t>
        </is>
      </c>
      <c r="X722" t="inlineStr">
        <is>
          <t>1990-07-09</t>
        </is>
      </c>
      <c r="Y722" t="n">
        <v>302</v>
      </c>
      <c r="Z722" t="n">
        <v>268</v>
      </c>
      <c r="AA722" t="n">
        <v>270</v>
      </c>
      <c r="AB722" t="n">
        <v>3</v>
      </c>
      <c r="AC722" t="n">
        <v>3</v>
      </c>
      <c r="AD722" t="n">
        <v>11</v>
      </c>
      <c r="AE722" t="n">
        <v>11</v>
      </c>
      <c r="AF722" t="n">
        <v>5</v>
      </c>
      <c r="AG722" t="n">
        <v>5</v>
      </c>
      <c r="AH722" t="n">
        <v>3</v>
      </c>
      <c r="AI722" t="n">
        <v>3</v>
      </c>
      <c r="AJ722" t="n">
        <v>6</v>
      </c>
      <c r="AK722" t="n">
        <v>6</v>
      </c>
      <c r="AL722" t="n">
        <v>1</v>
      </c>
      <c r="AM722" t="n">
        <v>1</v>
      </c>
      <c r="AN722" t="n">
        <v>0</v>
      </c>
      <c r="AO722" t="n">
        <v>0</v>
      </c>
      <c r="AP722" t="inlineStr">
        <is>
          <t>No</t>
        </is>
      </c>
      <c r="AQ722" t="inlineStr">
        <is>
          <t>Yes</t>
        </is>
      </c>
      <c r="AR722">
        <f>HYPERLINK("http://catalog.hathitrust.org/Record/005069276","HathiTrust Record")</f>
        <v/>
      </c>
      <c r="AS722">
        <f>HYPERLINK("https://creighton-primo.hosted.exlibrisgroup.com/primo-explore/search?tab=default_tab&amp;search_scope=EVERYTHING&amp;vid=01CRU&amp;lang=en_US&amp;offset=0&amp;query=any,contains,991000452989702656","Catalog Record")</f>
        <v/>
      </c>
      <c r="AT722">
        <f>HYPERLINK("http://www.worldcat.org/oclc/10907140","WorldCat Record")</f>
        <v/>
      </c>
      <c r="AU722" t="inlineStr">
        <is>
          <t>428527076:eng</t>
        </is>
      </c>
      <c r="AV722" t="inlineStr">
        <is>
          <t>10907140</t>
        </is>
      </c>
      <c r="AW722" t="inlineStr">
        <is>
          <t>991000452989702656</t>
        </is>
      </c>
      <c r="AX722" t="inlineStr">
        <is>
          <t>991000452989702656</t>
        </is>
      </c>
      <c r="AY722" t="inlineStr">
        <is>
          <t>2269860270002656</t>
        </is>
      </c>
      <c r="AZ722" t="inlineStr">
        <is>
          <t>BOOK</t>
        </is>
      </c>
      <c r="BB722" t="inlineStr">
        <is>
          <t>9780821120033</t>
        </is>
      </c>
      <c r="BC722" t="inlineStr">
        <is>
          <t>32285000223510</t>
        </is>
      </c>
      <c r="BD722" t="inlineStr">
        <is>
          <t>893865361</t>
        </is>
      </c>
    </row>
    <row r="723">
      <c r="A723" t="inlineStr">
        <is>
          <t>No</t>
        </is>
      </c>
      <c r="B723" t="inlineStr">
        <is>
          <t>LB1570 .V37</t>
        </is>
      </c>
      <c r="C723" t="inlineStr">
        <is>
          <t>0                      LB 1570000V  37</t>
        </is>
      </c>
      <c r="D723" t="inlineStr">
        <is>
          <t>Philosophical foundations of the curriculum, by Tom C. Venable.</t>
        </is>
      </c>
      <c r="F723" t="inlineStr">
        <is>
          <t>No</t>
        </is>
      </c>
      <c r="G723" t="inlineStr">
        <is>
          <t>1</t>
        </is>
      </c>
      <c r="H723" t="inlineStr">
        <is>
          <t>No</t>
        </is>
      </c>
      <c r="I723" t="inlineStr">
        <is>
          <t>No</t>
        </is>
      </c>
      <c r="J723" t="inlineStr">
        <is>
          <t>0</t>
        </is>
      </c>
      <c r="K723" t="inlineStr">
        <is>
          <t>Venable, Tom C., 1921-</t>
        </is>
      </c>
      <c r="L723" t="inlineStr">
        <is>
          <t>Chicago, Rand McNally [1967]</t>
        </is>
      </c>
      <c r="M723" t="inlineStr">
        <is>
          <t>1967</t>
        </is>
      </c>
      <c r="O723" t="inlineStr">
        <is>
          <t>eng</t>
        </is>
      </c>
      <c r="P723" t="inlineStr">
        <is>
          <t xml:space="preserve">xx </t>
        </is>
      </c>
      <c r="Q723" t="inlineStr">
        <is>
          <t>Rand McNally curriculum series</t>
        </is>
      </c>
      <c r="R723" t="inlineStr">
        <is>
          <t xml:space="preserve">LB </t>
        </is>
      </c>
      <c r="S723" t="n">
        <v>1</v>
      </c>
      <c r="T723" t="n">
        <v>1</v>
      </c>
      <c r="U723" t="inlineStr">
        <is>
          <t>2005-04-19</t>
        </is>
      </c>
      <c r="V723" t="inlineStr">
        <is>
          <t>2005-04-19</t>
        </is>
      </c>
      <c r="W723" t="inlineStr">
        <is>
          <t>1997-05-12</t>
        </is>
      </c>
      <c r="X723" t="inlineStr">
        <is>
          <t>1997-05-12</t>
        </is>
      </c>
      <c r="Y723" t="n">
        <v>285</v>
      </c>
      <c r="Z723" t="n">
        <v>250</v>
      </c>
      <c r="AA723" t="n">
        <v>251</v>
      </c>
      <c r="AB723" t="n">
        <v>2</v>
      </c>
      <c r="AC723" t="n">
        <v>2</v>
      </c>
      <c r="AD723" t="n">
        <v>13</v>
      </c>
      <c r="AE723" t="n">
        <v>13</v>
      </c>
      <c r="AF723" t="n">
        <v>4</v>
      </c>
      <c r="AG723" t="n">
        <v>4</v>
      </c>
      <c r="AH723" t="n">
        <v>4</v>
      </c>
      <c r="AI723" t="n">
        <v>4</v>
      </c>
      <c r="AJ723" t="n">
        <v>9</v>
      </c>
      <c r="AK723" t="n">
        <v>9</v>
      </c>
      <c r="AL723" t="n">
        <v>1</v>
      </c>
      <c r="AM723" t="n">
        <v>1</v>
      </c>
      <c r="AN723" t="n">
        <v>0</v>
      </c>
      <c r="AO723" t="n">
        <v>0</v>
      </c>
      <c r="AP723" t="inlineStr">
        <is>
          <t>No</t>
        </is>
      </c>
      <c r="AQ723" t="inlineStr">
        <is>
          <t>Yes</t>
        </is>
      </c>
      <c r="AR723">
        <f>HYPERLINK("http://catalog.hathitrust.org/Record/001281810","HathiTrust Record")</f>
        <v/>
      </c>
      <c r="AS723">
        <f>HYPERLINK("https://creighton-primo.hosted.exlibrisgroup.com/primo-explore/search?tab=default_tab&amp;search_scope=EVERYTHING&amp;vid=01CRU&amp;lang=en_US&amp;offset=0&amp;query=any,contains,991003947729702656","Catalog Record")</f>
        <v/>
      </c>
      <c r="AT723">
        <f>HYPERLINK("http://www.worldcat.org/oclc/1948746","WorldCat Record")</f>
        <v/>
      </c>
      <c r="AU723" t="inlineStr">
        <is>
          <t>3375386:eng</t>
        </is>
      </c>
      <c r="AV723" t="inlineStr">
        <is>
          <t>1948746</t>
        </is>
      </c>
      <c r="AW723" t="inlineStr">
        <is>
          <t>991003947729702656</t>
        </is>
      </c>
      <c r="AX723" t="inlineStr">
        <is>
          <t>991003947729702656</t>
        </is>
      </c>
      <c r="AY723" t="inlineStr">
        <is>
          <t>2263454380002656</t>
        </is>
      </c>
      <c r="AZ723" t="inlineStr">
        <is>
          <t>BOOK</t>
        </is>
      </c>
      <c r="BC723" t="inlineStr">
        <is>
          <t>32285002665361</t>
        </is>
      </c>
      <c r="BD723" t="inlineStr">
        <is>
          <t>893417036</t>
        </is>
      </c>
    </row>
    <row r="724">
      <c r="A724" t="inlineStr">
        <is>
          <t>No</t>
        </is>
      </c>
      <c r="B724" t="inlineStr">
        <is>
          <t>LB1570 .W48 1987</t>
        </is>
      </c>
      <c r="C724" t="inlineStr">
        <is>
          <t>0                      LB 1570000W  48          1987</t>
        </is>
      </c>
      <c r="D724" t="inlineStr">
        <is>
          <t>What curriculum for the information age? / edited by Mary Alice White.</t>
        </is>
      </c>
      <c r="F724" t="inlineStr">
        <is>
          <t>No</t>
        </is>
      </c>
      <c r="G724" t="inlineStr">
        <is>
          <t>1</t>
        </is>
      </c>
      <c r="H724" t="inlineStr">
        <is>
          <t>No</t>
        </is>
      </c>
      <c r="I724" t="inlineStr">
        <is>
          <t>No</t>
        </is>
      </c>
      <c r="J724" t="inlineStr">
        <is>
          <t>0</t>
        </is>
      </c>
      <c r="L724" t="inlineStr">
        <is>
          <t>Hillsdale, NJ : L. Erlbaum Associates, c1987.</t>
        </is>
      </c>
      <c r="M724" t="inlineStr">
        <is>
          <t>1987</t>
        </is>
      </c>
      <c r="O724" t="inlineStr">
        <is>
          <t>eng</t>
        </is>
      </c>
      <c r="P724" t="inlineStr">
        <is>
          <t>nju</t>
        </is>
      </c>
      <c r="R724" t="inlineStr">
        <is>
          <t xml:space="preserve">LB </t>
        </is>
      </c>
      <c r="S724" t="n">
        <v>2</v>
      </c>
      <c r="T724" t="n">
        <v>2</v>
      </c>
      <c r="U724" t="inlineStr">
        <is>
          <t>1994-11-27</t>
        </is>
      </c>
      <c r="V724" t="inlineStr">
        <is>
          <t>1994-11-27</t>
        </is>
      </c>
      <c r="W724" t="inlineStr">
        <is>
          <t>1993-01-26</t>
        </is>
      </c>
      <c r="X724" t="inlineStr">
        <is>
          <t>1993-01-26</t>
        </is>
      </c>
      <c r="Y724" t="n">
        <v>589</v>
      </c>
      <c r="Z724" t="n">
        <v>508</v>
      </c>
      <c r="AA724" t="n">
        <v>531</v>
      </c>
      <c r="AB724" t="n">
        <v>5</v>
      </c>
      <c r="AC724" t="n">
        <v>5</v>
      </c>
      <c r="AD724" t="n">
        <v>24</v>
      </c>
      <c r="AE724" t="n">
        <v>24</v>
      </c>
      <c r="AF724" t="n">
        <v>9</v>
      </c>
      <c r="AG724" t="n">
        <v>9</v>
      </c>
      <c r="AH724" t="n">
        <v>4</v>
      </c>
      <c r="AI724" t="n">
        <v>4</v>
      </c>
      <c r="AJ724" t="n">
        <v>13</v>
      </c>
      <c r="AK724" t="n">
        <v>13</v>
      </c>
      <c r="AL724" t="n">
        <v>4</v>
      </c>
      <c r="AM724" t="n">
        <v>4</v>
      </c>
      <c r="AN724" t="n">
        <v>0</v>
      </c>
      <c r="AO724" t="n">
        <v>0</v>
      </c>
      <c r="AP724" t="inlineStr">
        <is>
          <t>No</t>
        </is>
      </c>
      <c r="AQ724" t="inlineStr">
        <is>
          <t>Yes</t>
        </is>
      </c>
      <c r="AR724">
        <f>HYPERLINK("http://catalog.hathitrust.org/Record/000847059","HathiTrust Record")</f>
        <v/>
      </c>
      <c r="AS724">
        <f>HYPERLINK("https://creighton-primo.hosted.exlibrisgroup.com/primo-explore/search?tab=default_tab&amp;search_scope=EVERYTHING&amp;vid=01CRU&amp;lang=en_US&amp;offset=0&amp;query=any,contains,991001024079702656","Catalog Record")</f>
        <v/>
      </c>
      <c r="AT724">
        <f>HYPERLINK("http://www.worldcat.org/oclc/15427527","WorldCat Record")</f>
        <v/>
      </c>
      <c r="AU724" t="inlineStr">
        <is>
          <t>10479993:eng</t>
        </is>
      </c>
      <c r="AV724" t="inlineStr">
        <is>
          <t>15427527</t>
        </is>
      </c>
      <c r="AW724" t="inlineStr">
        <is>
          <t>991001024079702656</t>
        </is>
      </c>
      <c r="AX724" t="inlineStr">
        <is>
          <t>991001024079702656</t>
        </is>
      </c>
      <c r="AY724" t="inlineStr">
        <is>
          <t>2262224260002656</t>
        </is>
      </c>
      <c r="AZ724" t="inlineStr">
        <is>
          <t>BOOK</t>
        </is>
      </c>
      <c r="BB724" t="inlineStr">
        <is>
          <t>9780898599220</t>
        </is>
      </c>
      <c r="BC724" t="inlineStr">
        <is>
          <t>32285001478436</t>
        </is>
      </c>
      <c r="BD724" t="inlineStr">
        <is>
          <t>893419985</t>
        </is>
      </c>
    </row>
    <row r="725">
      <c r="A725" t="inlineStr">
        <is>
          <t>No</t>
        </is>
      </c>
      <c r="B725" t="inlineStr">
        <is>
          <t>LB1570 .W574 1984</t>
        </is>
      </c>
      <c r="C725" t="inlineStr">
        <is>
          <t>0                      LB 1570000W  574         1984</t>
        </is>
      </c>
      <c r="D725" t="inlineStr">
        <is>
          <t>Curriculum development : a guide to practice / Jon Wiles, Joseph C. Bondi.</t>
        </is>
      </c>
      <c r="F725" t="inlineStr">
        <is>
          <t>No</t>
        </is>
      </c>
      <c r="G725" t="inlineStr">
        <is>
          <t>1</t>
        </is>
      </c>
      <c r="H725" t="inlineStr">
        <is>
          <t>No</t>
        </is>
      </c>
      <c r="I725" t="inlineStr">
        <is>
          <t>No</t>
        </is>
      </c>
      <c r="J725" t="inlineStr">
        <is>
          <t>0</t>
        </is>
      </c>
      <c r="K725" t="inlineStr">
        <is>
          <t>Wiles, Jon.</t>
        </is>
      </c>
      <c r="L725" t="inlineStr">
        <is>
          <t>Columbus : C.E. Merrill Pub. Co., c1984.</t>
        </is>
      </c>
      <c r="M725" t="inlineStr">
        <is>
          <t>1984</t>
        </is>
      </c>
      <c r="N725" t="inlineStr">
        <is>
          <t>2nd ed.</t>
        </is>
      </c>
      <c r="O725" t="inlineStr">
        <is>
          <t>eng</t>
        </is>
      </c>
      <c r="P725" t="inlineStr">
        <is>
          <t>ohu</t>
        </is>
      </c>
      <c r="R725" t="inlineStr">
        <is>
          <t xml:space="preserve">LB </t>
        </is>
      </c>
      <c r="S725" t="n">
        <v>6</v>
      </c>
      <c r="T725" t="n">
        <v>6</v>
      </c>
      <c r="U725" t="inlineStr">
        <is>
          <t>1996-11-13</t>
        </is>
      </c>
      <c r="V725" t="inlineStr">
        <is>
          <t>1996-11-13</t>
        </is>
      </c>
      <c r="W725" t="inlineStr">
        <is>
          <t>1990-07-09</t>
        </is>
      </c>
      <c r="X725" t="inlineStr">
        <is>
          <t>1990-07-09</t>
        </is>
      </c>
      <c r="Y725" t="n">
        <v>232</v>
      </c>
      <c r="Z725" t="n">
        <v>195</v>
      </c>
      <c r="AA725" t="n">
        <v>778</v>
      </c>
      <c r="AB725" t="n">
        <v>2</v>
      </c>
      <c r="AC725" t="n">
        <v>8</v>
      </c>
      <c r="AD725" t="n">
        <v>4</v>
      </c>
      <c r="AE725" t="n">
        <v>32</v>
      </c>
      <c r="AF725" t="n">
        <v>3</v>
      </c>
      <c r="AG725" t="n">
        <v>12</v>
      </c>
      <c r="AH725" t="n">
        <v>1</v>
      </c>
      <c r="AI725" t="n">
        <v>7</v>
      </c>
      <c r="AJ725" t="n">
        <v>1</v>
      </c>
      <c r="AK725" t="n">
        <v>15</v>
      </c>
      <c r="AL725" t="n">
        <v>1</v>
      </c>
      <c r="AM725" t="n">
        <v>7</v>
      </c>
      <c r="AN725" t="n">
        <v>0</v>
      </c>
      <c r="AO725" t="n">
        <v>0</v>
      </c>
      <c r="AP725" t="inlineStr">
        <is>
          <t>No</t>
        </is>
      </c>
      <c r="AQ725" t="inlineStr">
        <is>
          <t>Yes</t>
        </is>
      </c>
      <c r="AR725">
        <f>HYPERLINK("http://catalog.hathitrust.org/Record/007551071","HathiTrust Record")</f>
        <v/>
      </c>
      <c r="AS725">
        <f>HYPERLINK("https://creighton-primo.hosted.exlibrisgroup.com/primo-explore/search?tab=default_tab&amp;search_scope=EVERYTHING&amp;vid=01CRU&amp;lang=en_US&amp;offset=0&amp;query=any,contains,991000394649702656","Catalog Record")</f>
        <v/>
      </c>
      <c r="AT725">
        <f>HYPERLINK("http://www.worldcat.org/oclc/10562231","WorldCat Record")</f>
        <v/>
      </c>
      <c r="AU725" t="inlineStr">
        <is>
          <t>592858:eng</t>
        </is>
      </c>
      <c r="AV725" t="inlineStr">
        <is>
          <t>10562231</t>
        </is>
      </c>
      <c r="AW725" t="inlineStr">
        <is>
          <t>991000394649702656</t>
        </is>
      </c>
      <c r="AX725" t="inlineStr">
        <is>
          <t>991000394649702656</t>
        </is>
      </c>
      <c r="AY725" t="inlineStr">
        <is>
          <t>2268160680002656</t>
        </is>
      </c>
      <c r="AZ725" t="inlineStr">
        <is>
          <t>BOOK</t>
        </is>
      </c>
      <c r="BB725" t="inlineStr">
        <is>
          <t>9780675201704</t>
        </is>
      </c>
      <c r="BC725" t="inlineStr">
        <is>
          <t>32285000223544</t>
        </is>
      </c>
      <c r="BD725" t="inlineStr">
        <is>
          <t>893620439</t>
        </is>
      </c>
    </row>
    <row r="726">
      <c r="A726" t="inlineStr">
        <is>
          <t>No</t>
        </is>
      </c>
      <c r="B726" t="inlineStr">
        <is>
          <t>LB1570 .Z38 1982</t>
        </is>
      </c>
      <c r="C726" t="inlineStr">
        <is>
          <t>0                      LB 1570000Z  38          1982</t>
        </is>
      </c>
      <c r="D726" t="inlineStr">
        <is>
          <t>Curriculum planning : a ten-step process / by Weldon F. Zenger and Sharon K. Zenger.</t>
        </is>
      </c>
      <c r="F726" t="inlineStr">
        <is>
          <t>No</t>
        </is>
      </c>
      <c r="G726" t="inlineStr">
        <is>
          <t>1</t>
        </is>
      </c>
      <c r="H726" t="inlineStr">
        <is>
          <t>No</t>
        </is>
      </c>
      <c r="I726" t="inlineStr">
        <is>
          <t>No</t>
        </is>
      </c>
      <c r="J726" t="inlineStr">
        <is>
          <t>0</t>
        </is>
      </c>
      <c r="K726" t="inlineStr">
        <is>
          <t>Zenger, Weldon F.</t>
        </is>
      </c>
      <c r="L726" t="inlineStr">
        <is>
          <t>Palo Alto, Calif. : R &amp; E Research Associates, c1982.</t>
        </is>
      </c>
      <c r="M726" t="inlineStr">
        <is>
          <t>1982</t>
        </is>
      </c>
      <c r="O726" t="inlineStr">
        <is>
          <t>eng</t>
        </is>
      </c>
      <c r="P726" t="inlineStr">
        <is>
          <t>cau</t>
        </is>
      </c>
      <c r="R726" t="inlineStr">
        <is>
          <t xml:space="preserve">LB </t>
        </is>
      </c>
      <c r="S726" t="n">
        <v>2</v>
      </c>
      <c r="T726" t="n">
        <v>2</v>
      </c>
      <c r="U726" t="inlineStr">
        <is>
          <t>2002-07-08</t>
        </is>
      </c>
      <c r="V726" t="inlineStr">
        <is>
          <t>2002-07-08</t>
        </is>
      </c>
      <c r="W726" t="inlineStr">
        <is>
          <t>1990-02-19</t>
        </is>
      </c>
      <c r="X726" t="inlineStr">
        <is>
          <t>1990-02-19</t>
        </is>
      </c>
      <c r="Y726" t="n">
        <v>261</v>
      </c>
      <c r="Z726" t="n">
        <v>237</v>
      </c>
      <c r="AA726" t="n">
        <v>245</v>
      </c>
      <c r="AB726" t="n">
        <v>3</v>
      </c>
      <c r="AC726" t="n">
        <v>3</v>
      </c>
      <c r="AD726" t="n">
        <v>11</v>
      </c>
      <c r="AE726" t="n">
        <v>11</v>
      </c>
      <c r="AF726" t="n">
        <v>5</v>
      </c>
      <c r="AG726" t="n">
        <v>5</v>
      </c>
      <c r="AH726" t="n">
        <v>1</v>
      </c>
      <c r="AI726" t="n">
        <v>1</v>
      </c>
      <c r="AJ726" t="n">
        <v>6</v>
      </c>
      <c r="AK726" t="n">
        <v>6</v>
      </c>
      <c r="AL726" t="n">
        <v>2</v>
      </c>
      <c r="AM726" t="n">
        <v>2</v>
      </c>
      <c r="AN726" t="n">
        <v>0</v>
      </c>
      <c r="AO726" t="n">
        <v>0</v>
      </c>
      <c r="AP726" t="inlineStr">
        <is>
          <t>No</t>
        </is>
      </c>
      <c r="AQ726" t="inlineStr">
        <is>
          <t>Yes</t>
        </is>
      </c>
      <c r="AR726">
        <f>HYPERLINK("http://catalog.hathitrust.org/Record/009916821","HathiTrust Record")</f>
        <v/>
      </c>
      <c r="AS726">
        <f>HYPERLINK("https://creighton-primo.hosted.exlibrisgroup.com/primo-explore/search?tab=default_tab&amp;search_scope=EVERYTHING&amp;vid=01CRU&amp;lang=en_US&amp;offset=0&amp;query=any,contains,991000137449702656","Catalog Record")</f>
        <v/>
      </c>
      <c r="AT726">
        <f>HYPERLINK("http://www.worldcat.org/oclc/9140327","WorldCat Record")</f>
        <v/>
      </c>
      <c r="AU726" t="inlineStr">
        <is>
          <t>919280961:eng</t>
        </is>
      </c>
      <c r="AV726" t="inlineStr">
        <is>
          <t>9140327</t>
        </is>
      </c>
      <c r="AW726" t="inlineStr">
        <is>
          <t>991000137449702656</t>
        </is>
      </c>
      <c r="AX726" t="inlineStr">
        <is>
          <t>991000137449702656</t>
        </is>
      </c>
      <c r="AY726" t="inlineStr">
        <is>
          <t>2271829280002656</t>
        </is>
      </c>
      <c r="AZ726" t="inlineStr">
        <is>
          <t>BOOK</t>
        </is>
      </c>
      <c r="BB726" t="inlineStr">
        <is>
          <t>9780882476759</t>
        </is>
      </c>
      <c r="BC726" t="inlineStr">
        <is>
          <t>32285000054477</t>
        </is>
      </c>
      <c r="BD726" t="inlineStr">
        <is>
          <t>893796456</t>
        </is>
      </c>
    </row>
    <row r="727">
      <c r="A727" t="inlineStr">
        <is>
          <t>No</t>
        </is>
      </c>
      <c r="B727" t="inlineStr">
        <is>
          <t>LB1571 1st .B37 2003</t>
        </is>
      </c>
      <c r="C727" t="inlineStr">
        <is>
          <t>0                      LB 1571000                                                           1st .B37 2003</t>
        </is>
      </c>
      <c r="D727" t="inlineStr">
        <is>
          <t>Everything you need to know to teach first grade / Pat Barrett Dragan.</t>
        </is>
      </c>
      <c r="F727" t="inlineStr">
        <is>
          <t>No</t>
        </is>
      </c>
      <c r="G727" t="inlineStr">
        <is>
          <t>1</t>
        </is>
      </c>
      <c r="H727" t="inlineStr">
        <is>
          <t>No</t>
        </is>
      </c>
      <c r="I727" t="inlineStr">
        <is>
          <t>No</t>
        </is>
      </c>
      <c r="J727" t="inlineStr">
        <is>
          <t>0</t>
        </is>
      </c>
      <c r="K727" t="inlineStr">
        <is>
          <t>Barrett-Dragan, Patricia.</t>
        </is>
      </c>
      <c r="L727" t="inlineStr">
        <is>
          <t>Portsmouth, NH : Heinemann, c2003.</t>
        </is>
      </c>
      <c r="M727" t="inlineStr">
        <is>
          <t>2003</t>
        </is>
      </c>
      <c r="O727" t="inlineStr">
        <is>
          <t>eng</t>
        </is>
      </c>
      <c r="P727" t="inlineStr">
        <is>
          <t>nhu</t>
        </is>
      </c>
      <c r="R727" t="inlineStr">
        <is>
          <t xml:space="preserve">LB </t>
        </is>
      </c>
      <c r="S727" t="n">
        <v>2</v>
      </c>
      <c r="T727" t="n">
        <v>2</v>
      </c>
      <c r="U727" t="inlineStr">
        <is>
          <t>2004-05-02</t>
        </is>
      </c>
      <c r="V727" t="inlineStr">
        <is>
          <t>2004-05-02</t>
        </is>
      </c>
      <c r="W727" t="inlineStr">
        <is>
          <t>2004-01-14</t>
        </is>
      </c>
      <c r="X727" t="inlineStr">
        <is>
          <t>2004-01-14</t>
        </is>
      </c>
      <c r="Y727" t="n">
        <v>233</v>
      </c>
      <c r="Z727" t="n">
        <v>215</v>
      </c>
      <c r="AA727" t="n">
        <v>216</v>
      </c>
      <c r="AB727" t="n">
        <v>3</v>
      </c>
      <c r="AC727" t="n">
        <v>3</v>
      </c>
      <c r="AD727" t="n">
        <v>11</v>
      </c>
      <c r="AE727" t="n">
        <v>11</v>
      </c>
      <c r="AF727" t="n">
        <v>2</v>
      </c>
      <c r="AG727" t="n">
        <v>2</v>
      </c>
      <c r="AH727" t="n">
        <v>3</v>
      </c>
      <c r="AI727" t="n">
        <v>3</v>
      </c>
      <c r="AJ727" t="n">
        <v>8</v>
      </c>
      <c r="AK727" t="n">
        <v>8</v>
      </c>
      <c r="AL727" t="n">
        <v>2</v>
      </c>
      <c r="AM727" t="n">
        <v>2</v>
      </c>
      <c r="AN727" t="n">
        <v>0</v>
      </c>
      <c r="AO727" t="n">
        <v>0</v>
      </c>
      <c r="AP727" t="inlineStr">
        <is>
          <t>No</t>
        </is>
      </c>
      <c r="AQ727" t="inlineStr">
        <is>
          <t>No</t>
        </is>
      </c>
      <c r="AS727">
        <f>HYPERLINK("https://creighton-primo.hosted.exlibrisgroup.com/primo-explore/search?tab=default_tab&amp;search_scope=EVERYTHING&amp;vid=01CRU&amp;lang=en_US&amp;offset=0&amp;query=any,contains,991004211219702656","Catalog Record")</f>
        <v/>
      </c>
      <c r="AT727">
        <f>HYPERLINK("http://www.worldcat.org/oclc/52459201","WorldCat Record")</f>
        <v/>
      </c>
      <c r="AU727" t="inlineStr">
        <is>
          <t>1152356323:eng</t>
        </is>
      </c>
      <c r="AV727" t="inlineStr">
        <is>
          <t>52459201</t>
        </is>
      </c>
      <c r="AW727" t="inlineStr">
        <is>
          <t>991004211219702656</t>
        </is>
      </c>
      <c r="AX727" t="inlineStr">
        <is>
          <t>991004211219702656</t>
        </is>
      </c>
      <c r="AY727" t="inlineStr">
        <is>
          <t>2267060930002656</t>
        </is>
      </c>
      <c r="AZ727" t="inlineStr">
        <is>
          <t>BOOK</t>
        </is>
      </c>
      <c r="BB727" t="inlineStr">
        <is>
          <t>9780325003917</t>
        </is>
      </c>
      <c r="BC727" t="inlineStr">
        <is>
          <t>32285004634308</t>
        </is>
      </c>
      <c r="BD727" t="inlineStr">
        <is>
          <t>893706105</t>
        </is>
      </c>
    </row>
    <row r="728">
      <c r="A728" t="inlineStr">
        <is>
          <t>No</t>
        </is>
      </c>
      <c r="B728" t="inlineStr">
        <is>
          <t>LB1573 .A47 2002</t>
        </is>
      </c>
      <c r="C728" t="inlineStr">
        <is>
          <t>0                      LB 1573000A  47          2002</t>
        </is>
      </c>
      <c r="D728" t="inlineStr">
        <is>
          <t>Reading to learn : lessons from exemplary fourth-grade classrooms / Richard L. Allington, Peter H. Johnston ; foreword by Michael Pressley ; afterword by Gerald G. Duffy.</t>
        </is>
      </c>
      <c r="F728" t="inlineStr">
        <is>
          <t>No</t>
        </is>
      </c>
      <c r="G728" t="inlineStr">
        <is>
          <t>1</t>
        </is>
      </c>
      <c r="H728" t="inlineStr">
        <is>
          <t>No</t>
        </is>
      </c>
      <c r="I728" t="inlineStr">
        <is>
          <t>No</t>
        </is>
      </c>
      <c r="J728" t="inlineStr">
        <is>
          <t>0</t>
        </is>
      </c>
      <c r="K728" t="inlineStr">
        <is>
          <t>Allington, Richard L.</t>
        </is>
      </c>
      <c r="L728" t="inlineStr">
        <is>
          <t>New York : Guilford Press, c2002.</t>
        </is>
      </c>
      <c r="M728" t="inlineStr">
        <is>
          <t>2002</t>
        </is>
      </c>
      <c r="O728" t="inlineStr">
        <is>
          <t>eng</t>
        </is>
      </c>
      <c r="P728" t="inlineStr">
        <is>
          <t>nyu</t>
        </is>
      </c>
      <c r="Q728" t="inlineStr">
        <is>
          <t>Solving problems in the teaching of literacy</t>
        </is>
      </c>
      <c r="R728" t="inlineStr">
        <is>
          <t xml:space="preserve">LB </t>
        </is>
      </c>
      <c r="S728" t="n">
        <v>1</v>
      </c>
      <c r="T728" t="n">
        <v>1</v>
      </c>
      <c r="U728" t="inlineStr">
        <is>
          <t>2003-06-11</t>
        </is>
      </c>
      <c r="V728" t="inlineStr">
        <is>
          <t>2003-06-11</t>
        </is>
      </c>
      <c r="W728" t="inlineStr">
        <is>
          <t>2003-06-11</t>
        </is>
      </c>
      <c r="X728" t="inlineStr">
        <is>
          <t>2003-06-11</t>
        </is>
      </c>
      <c r="Y728" t="n">
        <v>784</v>
      </c>
      <c r="Z728" t="n">
        <v>727</v>
      </c>
      <c r="AA728" t="n">
        <v>731</v>
      </c>
      <c r="AB728" t="n">
        <v>4</v>
      </c>
      <c r="AC728" t="n">
        <v>4</v>
      </c>
      <c r="AD728" t="n">
        <v>32</v>
      </c>
      <c r="AE728" t="n">
        <v>32</v>
      </c>
      <c r="AF728" t="n">
        <v>19</v>
      </c>
      <c r="AG728" t="n">
        <v>19</v>
      </c>
      <c r="AH728" t="n">
        <v>6</v>
      </c>
      <c r="AI728" t="n">
        <v>6</v>
      </c>
      <c r="AJ728" t="n">
        <v>12</v>
      </c>
      <c r="AK728" t="n">
        <v>12</v>
      </c>
      <c r="AL728" t="n">
        <v>3</v>
      </c>
      <c r="AM728" t="n">
        <v>3</v>
      </c>
      <c r="AN728" t="n">
        <v>0</v>
      </c>
      <c r="AO728" t="n">
        <v>0</v>
      </c>
      <c r="AP728" t="inlineStr">
        <is>
          <t>No</t>
        </is>
      </c>
      <c r="AQ728" t="inlineStr">
        <is>
          <t>No</t>
        </is>
      </c>
      <c r="AS728">
        <f>HYPERLINK("https://creighton-primo.hosted.exlibrisgroup.com/primo-explore/search?tab=default_tab&amp;search_scope=EVERYTHING&amp;vid=01CRU&amp;lang=en_US&amp;offset=0&amp;query=any,contains,991004053119702656","Catalog Record")</f>
        <v/>
      </c>
      <c r="AT728">
        <f>HYPERLINK("http://www.worldcat.org/oclc/49351974","WorldCat Record")</f>
        <v/>
      </c>
      <c r="AU728" t="inlineStr">
        <is>
          <t>1028095923:eng</t>
        </is>
      </c>
      <c r="AV728" t="inlineStr">
        <is>
          <t>49351974</t>
        </is>
      </c>
      <c r="AW728" t="inlineStr">
        <is>
          <t>991004053119702656</t>
        </is>
      </c>
      <c r="AX728" t="inlineStr">
        <is>
          <t>991004053119702656</t>
        </is>
      </c>
      <c r="AY728" t="inlineStr">
        <is>
          <t>2271169600002656</t>
        </is>
      </c>
      <c r="AZ728" t="inlineStr">
        <is>
          <t>BOOK</t>
        </is>
      </c>
      <c r="BB728" t="inlineStr">
        <is>
          <t>9781572307629</t>
        </is>
      </c>
      <c r="BC728" t="inlineStr">
        <is>
          <t>32285004751821</t>
        </is>
      </c>
      <c r="BD728" t="inlineStr">
        <is>
          <t>893343407</t>
        </is>
      </c>
    </row>
    <row r="729">
      <c r="A729" t="inlineStr">
        <is>
          <t>No</t>
        </is>
      </c>
      <c r="B729" t="inlineStr">
        <is>
          <t>LB1573 .B24 1998</t>
        </is>
      </c>
      <c r="C729" t="inlineStr">
        <is>
          <t>0                      LB 1573000B  24          1998</t>
        </is>
      </c>
      <c r="D729" t="inlineStr">
        <is>
          <t>Read to succeed : literacy tutor's manual / Lois A. Bader.</t>
        </is>
      </c>
      <c r="F729" t="inlineStr">
        <is>
          <t>No</t>
        </is>
      </c>
      <c r="G729" t="inlineStr">
        <is>
          <t>1</t>
        </is>
      </c>
      <c r="H729" t="inlineStr">
        <is>
          <t>No</t>
        </is>
      </c>
      <c r="I729" t="inlineStr">
        <is>
          <t>No</t>
        </is>
      </c>
      <c r="J729" t="inlineStr">
        <is>
          <t>0</t>
        </is>
      </c>
      <c r="K729" t="inlineStr">
        <is>
          <t>Bader, Lois A.</t>
        </is>
      </c>
      <c r="L729" t="inlineStr">
        <is>
          <t>Upper Saddle River, N.J. : Merrill, c1998.</t>
        </is>
      </c>
      <c r="M729" t="inlineStr">
        <is>
          <t>1998</t>
        </is>
      </c>
      <c r="O729" t="inlineStr">
        <is>
          <t>eng</t>
        </is>
      </c>
      <c r="P729" t="inlineStr">
        <is>
          <t>nju</t>
        </is>
      </c>
      <c r="R729" t="inlineStr">
        <is>
          <t xml:space="preserve">LB </t>
        </is>
      </c>
      <c r="S729" t="n">
        <v>2</v>
      </c>
      <c r="T729" t="n">
        <v>2</v>
      </c>
      <c r="U729" t="inlineStr">
        <is>
          <t>2010-03-12</t>
        </is>
      </c>
      <c r="V729" t="inlineStr">
        <is>
          <t>2010-03-12</t>
        </is>
      </c>
      <c r="W729" t="inlineStr">
        <is>
          <t>2006-11-06</t>
        </is>
      </c>
      <c r="X729" t="inlineStr">
        <is>
          <t>2006-11-06</t>
        </is>
      </c>
      <c r="Y729" t="n">
        <v>56</v>
      </c>
      <c r="Z729" t="n">
        <v>50</v>
      </c>
      <c r="AA729" t="n">
        <v>51</v>
      </c>
      <c r="AB729" t="n">
        <v>1</v>
      </c>
      <c r="AC729" t="n">
        <v>1</v>
      </c>
      <c r="AD729" t="n">
        <v>3</v>
      </c>
      <c r="AE729" t="n">
        <v>3</v>
      </c>
      <c r="AF729" t="n">
        <v>2</v>
      </c>
      <c r="AG729" t="n">
        <v>2</v>
      </c>
      <c r="AH729" t="n">
        <v>0</v>
      </c>
      <c r="AI729" t="n">
        <v>0</v>
      </c>
      <c r="AJ729" t="n">
        <v>2</v>
      </c>
      <c r="AK729" t="n">
        <v>2</v>
      </c>
      <c r="AL729" t="n">
        <v>0</v>
      </c>
      <c r="AM729" t="n">
        <v>0</v>
      </c>
      <c r="AN729" t="n">
        <v>0</v>
      </c>
      <c r="AO729" t="n">
        <v>0</v>
      </c>
      <c r="AP729" t="inlineStr">
        <is>
          <t>No</t>
        </is>
      </c>
      <c r="AQ729" t="inlineStr">
        <is>
          <t>No</t>
        </is>
      </c>
      <c r="AS729">
        <f>HYPERLINK("https://creighton-primo.hosted.exlibrisgroup.com/primo-explore/search?tab=default_tab&amp;search_scope=EVERYTHING&amp;vid=01CRU&amp;lang=en_US&amp;offset=0&amp;query=any,contains,991004968649702656","Catalog Record")</f>
        <v/>
      </c>
      <c r="AT729">
        <f>HYPERLINK("http://www.worldcat.org/oclc/37109177","WorldCat Record")</f>
        <v/>
      </c>
      <c r="AU729" t="inlineStr">
        <is>
          <t>3857993018:eng</t>
        </is>
      </c>
      <c r="AV729" t="inlineStr">
        <is>
          <t>37109177</t>
        </is>
      </c>
      <c r="AW729" t="inlineStr">
        <is>
          <t>991004968649702656</t>
        </is>
      </c>
      <c r="AX729" t="inlineStr">
        <is>
          <t>991004968649702656</t>
        </is>
      </c>
      <c r="AY729" t="inlineStr">
        <is>
          <t>2265263780002656</t>
        </is>
      </c>
      <c r="AZ729" t="inlineStr">
        <is>
          <t>BOOK</t>
        </is>
      </c>
      <c r="BB729" t="inlineStr">
        <is>
          <t>9780136905615</t>
        </is>
      </c>
      <c r="BC729" t="inlineStr">
        <is>
          <t>32285005236921</t>
        </is>
      </c>
      <c r="BD729" t="inlineStr">
        <is>
          <t>893236114</t>
        </is>
      </c>
    </row>
    <row r="730">
      <c r="A730" t="inlineStr">
        <is>
          <t>No</t>
        </is>
      </c>
      <c r="B730" t="inlineStr">
        <is>
          <t>LB1573 .B882 1980</t>
        </is>
      </c>
      <c r="C730" t="inlineStr">
        <is>
          <t>0                      LB 1573000B  882         1980</t>
        </is>
      </c>
      <c r="D730" t="inlineStr">
        <is>
          <t>Teaching reading in today's elementary schools / Paul C. Burns, Betty D. Roe ; [cover and text photos. by Michael Goss].</t>
        </is>
      </c>
      <c r="F730" t="inlineStr">
        <is>
          <t>No</t>
        </is>
      </c>
      <c r="G730" t="inlineStr">
        <is>
          <t>1</t>
        </is>
      </c>
      <c r="H730" t="inlineStr">
        <is>
          <t>No</t>
        </is>
      </c>
      <c r="I730" t="inlineStr">
        <is>
          <t>No</t>
        </is>
      </c>
      <c r="J730" t="inlineStr">
        <is>
          <t>0</t>
        </is>
      </c>
      <c r="K730" t="inlineStr">
        <is>
          <t>Burns, Paul Clay, 1923-1983.</t>
        </is>
      </c>
      <c r="L730" t="inlineStr">
        <is>
          <t>Chicago : Rand McNally College Pub. Co., c1980.</t>
        </is>
      </c>
      <c r="M730" t="inlineStr">
        <is>
          <t>1980</t>
        </is>
      </c>
      <c r="N730" t="inlineStr">
        <is>
          <t>2d ed.</t>
        </is>
      </c>
      <c r="O730" t="inlineStr">
        <is>
          <t>eng</t>
        </is>
      </c>
      <c r="P730" t="inlineStr">
        <is>
          <t>ilu</t>
        </is>
      </c>
      <c r="Q730" t="inlineStr">
        <is>
          <t>Rand McNally education series</t>
        </is>
      </c>
      <c r="R730" t="inlineStr">
        <is>
          <t xml:space="preserve">LB </t>
        </is>
      </c>
      <c r="S730" t="n">
        <v>7</v>
      </c>
      <c r="T730" t="n">
        <v>7</v>
      </c>
      <c r="U730" t="inlineStr">
        <is>
          <t>1996-03-26</t>
        </is>
      </c>
      <c r="V730" t="inlineStr">
        <is>
          <t>1996-03-26</t>
        </is>
      </c>
      <c r="W730" t="inlineStr">
        <is>
          <t>1993-02-17</t>
        </is>
      </c>
      <c r="X730" t="inlineStr">
        <is>
          <t>1993-02-17</t>
        </is>
      </c>
      <c r="Y730" t="n">
        <v>107</v>
      </c>
      <c r="Z730" t="n">
        <v>92</v>
      </c>
      <c r="AA730" t="n">
        <v>824</v>
      </c>
      <c r="AB730" t="n">
        <v>1</v>
      </c>
      <c r="AC730" t="n">
        <v>8</v>
      </c>
      <c r="AD730" t="n">
        <v>3</v>
      </c>
      <c r="AE730" t="n">
        <v>34</v>
      </c>
      <c r="AF730" t="n">
        <v>3</v>
      </c>
      <c r="AG730" t="n">
        <v>16</v>
      </c>
      <c r="AH730" t="n">
        <v>0</v>
      </c>
      <c r="AI730" t="n">
        <v>7</v>
      </c>
      <c r="AJ730" t="n">
        <v>0</v>
      </c>
      <c r="AK730" t="n">
        <v>14</v>
      </c>
      <c r="AL730" t="n">
        <v>0</v>
      </c>
      <c r="AM730" t="n">
        <v>6</v>
      </c>
      <c r="AN730" t="n">
        <v>0</v>
      </c>
      <c r="AO730" t="n">
        <v>0</v>
      </c>
      <c r="AP730" t="inlineStr">
        <is>
          <t>No</t>
        </is>
      </c>
      <c r="AQ730" t="inlineStr">
        <is>
          <t>Yes</t>
        </is>
      </c>
      <c r="AR730">
        <f>HYPERLINK("http://catalog.hathitrust.org/Record/004430001","HathiTrust Record")</f>
        <v/>
      </c>
      <c r="AS730">
        <f>HYPERLINK("https://creighton-primo.hosted.exlibrisgroup.com/primo-explore/search?tab=default_tab&amp;search_scope=EVERYTHING&amp;vid=01CRU&amp;lang=en_US&amp;offset=0&amp;query=any,contains,991004954319702656","Catalog Record")</f>
        <v/>
      </c>
      <c r="AT730">
        <f>HYPERLINK("http://www.worldcat.org/oclc/6274346","WorldCat Record")</f>
        <v/>
      </c>
      <c r="AU730" t="inlineStr">
        <is>
          <t>4918719151:eng</t>
        </is>
      </c>
      <c r="AV730" t="inlineStr">
        <is>
          <t>6274346</t>
        </is>
      </c>
      <c r="AW730" t="inlineStr">
        <is>
          <t>991004954319702656</t>
        </is>
      </c>
      <c r="AX730" t="inlineStr">
        <is>
          <t>991004954319702656</t>
        </is>
      </c>
      <c r="AY730" t="inlineStr">
        <is>
          <t>2260020500002656</t>
        </is>
      </c>
      <c r="AZ730" t="inlineStr">
        <is>
          <t>BOOK</t>
        </is>
      </c>
      <c r="BC730" t="inlineStr">
        <is>
          <t>32285001502664</t>
        </is>
      </c>
      <c r="BD730" t="inlineStr">
        <is>
          <t>893789265</t>
        </is>
      </c>
    </row>
    <row r="731">
      <c r="A731" t="inlineStr">
        <is>
          <t>No</t>
        </is>
      </c>
      <c r="B731" t="inlineStr">
        <is>
          <t>LB1573 .C166 1991</t>
        </is>
      </c>
      <c r="C731" t="inlineStr">
        <is>
          <t>0                      LB 1573000C  166         1991</t>
        </is>
      </c>
      <c r="D731" t="inlineStr">
        <is>
          <t>Other worlds : the endless possibilities of literature / Trevor H. Cairney.</t>
        </is>
      </c>
      <c r="F731" t="inlineStr">
        <is>
          <t>No</t>
        </is>
      </c>
      <c r="G731" t="inlineStr">
        <is>
          <t>1</t>
        </is>
      </c>
      <c r="H731" t="inlineStr">
        <is>
          <t>No</t>
        </is>
      </c>
      <c r="I731" t="inlineStr">
        <is>
          <t>No</t>
        </is>
      </c>
      <c r="J731" t="inlineStr">
        <is>
          <t>0</t>
        </is>
      </c>
      <c r="K731" t="inlineStr">
        <is>
          <t>Cairney, Trevor.</t>
        </is>
      </c>
      <c r="L731" t="inlineStr">
        <is>
          <t>Portsmouth, N.H. : Heinemann, 1991.</t>
        </is>
      </c>
      <c r="M731" t="inlineStr">
        <is>
          <t>1991</t>
        </is>
      </c>
      <c r="N731" t="inlineStr">
        <is>
          <t>1st U.S. ed.</t>
        </is>
      </c>
      <c r="O731" t="inlineStr">
        <is>
          <t>eng</t>
        </is>
      </c>
      <c r="P731" t="inlineStr">
        <is>
          <t>nhu</t>
        </is>
      </c>
      <c r="R731" t="inlineStr">
        <is>
          <t xml:space="preserve">LB </t>
        </is>
      </c>
      <c r="S731" t="n">
        <v>1</v>
      </c>
      <c r="T731" t="n">
        <v>1</v>
      </c>
      <c r="U731" t="inlineStr">
        <is>
          <t>2006-11-28</t>
        </is>
      </c>
      <c r="V731" t="inlineStr">
        <is>
          <t>2006-11-28</t>
        </is>
      </c>
      <c r="W731" t="inlineStr">
        <is>
          <t>2006-11-28</t>
        </is>
      </c>
      <c r="X731" t="inlineStr">
        <is>
          <t>2006-11-28</t>
        </is>
      </c>
      <c r="Y731" t="n">
        <v>196</v>
      </c>
      <c r="Z731" t="n">
        <v>173</v>
      </c>
      <c r="AA731" t="n">
        <v>178</v>
      </c>
      <c r="AB731" t="n">
        <v>2</v>
      </c>
      <c r="AC731" t="n">
        <v>2</v>
      </c>
      <c r="AD731" t="n">
        <v>6</v>
      </c>
      <c r="AE731" t="n">
        <v>6</v>
      </c>
      <c r="AF731" t="n">
        <v>1</v>
      </c>
      <c r="AG731" t="n">
        <v>1</v>
      </c>
      <c r="AH731" t="n">
        <v>0</v>
      </c>
      <c r="AI731" t="n">
        <v>0</v>
      </c>
      <c r="AJ731" t="n">
        <v>5</v>
      </c>
      <c r="AK731" t="n">
        <v>5</v>
      </c>
      <c r="AL731" t="n">
        <v>1</v>
      </c>
      <c r="AM731" t="n">
        <v>1</v>
      </c>
      <c r="AN731" t="n">
        <v>0</v>
      </c>
      <c r="AO731" t="n">
        <v>0</v>
      </c>
      <c r="AP731" t="inlineStr">
        <is>
          <t>No</t>
        </is>
      </c>
      <c r="AQ731" t="inlineStr">
        <is>
          <t>No</t>
        </is>
      </c>
      <c r="AS731">
        <f>HYPERLINK("https://creighton-primo.hosted.exlibrisgroup.com/primo-explore/search?tab=default_tab&amp;search_scope=EVERYTHING&amp;vid=01CRU&amp;lang=en_US&amp;offset=0&amp;query=any,contains,991004987539702656","Catalog Record")</f>
        <v/>
      </c>
      <c r="AT731">
        <f>HYPERLINK("http://www.worldcat.org/oclc/21041963","WorldCat Record")</f>
        <v/>
      </c>
      <c r="AU731" t="inlineStr">
        <is>
          <t>22723972:eng</t>
        </is>
      </c>
      <c r="AV731" t="inlineStr">
        <is>
          <t>21041963</t>
        </is>
      </c>
      <c r="AW731" t="inlineStr">
        <is>
          <t>991004987539702656</t>
        </is>
      </c>
      <c r="AX731" t="inlineStr">
        <is>
          <t>991004987539702656</t>
        </is>
      </c>
      <c r="AY731" t="inlineStr">
        <is>
          <t>2267232340002656</t>
        </is>
      </c>
      <c r="AZ731" t="inlineStr">
        <is>
          <t>BOOK</t>
        </is>
      </c>
      <c r="BB731" t="inlineStr">
        <is>
          <t>9780435085315</t>
        </is>
      </c>
      <c r="BC731" t="inlineStr">
        <is>
          <t>32285005262786</t>
        </is>
      </c>
      <c r="BD731" t="inlineStr">
        <is>
          <t>893713280</t>
        </is>
      </c>
    </row>
    <row r="732">
      <c r="A732" t="inlineStr">
        <is>
          <t>No</t>
        </is>
      </c>
      <c r="B732" t="inlineStr">
        <is>
          <t>LB1573 .C455 1987</t>
        </is>
      </c>
      <c r="C732" t="inlineStr">
        <is>
          <t>0                      LB 1573000C  455         1987</t>
        </is>
      </c>
      <c r="D732" t="inlineStr">
        <is>
          <t>Children's literature in the reading program / Bernice E. Cullinan, editor.</t>
        </is>
      </c>
      <c r="F732" t="inlineStr">
        <is>
          <t>No</t>
        </is>
      </c>
      <c r="G732" t="inlineStr">
        <is>
          <t>1</t>
        </is>
      </c>
      <c r="H732" t="inlineStr">
        <is>
          <t>No</t>
        </is>
      </c>
      <c r="I732" t="inlineStr">
        <is>
          <t>No</t>
        </is>
      </c>
      <c r="J732" t="inlineStr">
        <is>
          <t>0</t>
        </is>
      </c>
      <c r="L732" t="inlineStr">
        <is>
          <t>Newark, Del. : International Reading Association, c1987.</t>
        </is>
      </c>
      <c r="M732" t="inlineStr">
        <is>
          <t>1987</t>
        </is>
      </c>
      <c r="O732" t="inlineStr">
        <is>
          <t>eng</t>
        </is>
      </c>
      <c r="P732" t="inlineStr">
        <is>
          <t>deu</t>
        </is>
      </c>
      <c r="R732" t="inlineStr">
        <is>
          <t xml:space="preserve">LB </t>
        </is>
      </c>
      <c r="S732" t="n">
        <v>5</v>
      </c>
      <c r="T732" t="n">
        <v>5</v>
      </c>
      <c r="U732" t="inlineStr">
        <is>
          <t>1995-10-26</t>
        </is>
      </c>
      <c r="V732" t="inlineStr">
        <is>
          <t>1995-10-26</t>
        </is>
      </c>
      <c r="W732" t="inlineStr">
        <is>
          <t>1990-08-16</t>
        </is>
      </c>
      <c r="X732" t="inlineStr">
        <is>
          <t>1990-08-16</t>
        </is>
      </c>
      <c r="Y732" t="n">
        <v>804</v>
      </c>
      <c r="Z732" t="n">
        <v>697</v>
      </c>
      <c r="AA732" t="n">
        <v>847</v>
      </c>
      <c r="AB732" t="n">
        <v>7</v>
      </c>
      <c r="AC732" t="n">
        <v>8</v>
      </c>
      <c r="AD732" t="n">
        <v>20</v>
      </c>
      <c r="AE732" t="n">
        <v>26</v>
      </c>
      <c r="AF732" t="n">
        <v>5</v>
      </c>
      <c r="AG732" t="n">
        <v>9</v>
      </c>
      <c r="AH732" t="n">
        <v>3</v>
      </c>
      <c r="AI732" t="n">
        <v>5</v>
      </c>
      <c r="AJ732" t="n">
        <v>11</v>
      </c>
      <c r="AK732" t="n">
        <v>12</v>
      </c>
      <c r="AL732" t="n">
        <v>5</v>
      </c>
      <c r="AM732" t="n">
        <v>6</v>
      </c>
      <c r="AN732" t="n">
        <v>0</v>
      </c>
      <c r="AO732" t="n">
        <v>0</v>
      </c>
      <c r="AP732" t="inlineStr">
        <is>
          <t>No</t>
        </is>
      </c>
      <c r="AQ732" t="inlineStr">
        <is>
          <t>Yes</t>
        </is>
      </c>
      <c r="AR732">
        <f>HYPERLINK("http://catalog.hathitrust.org/Record/002212353","HathiTrust Record")</f>
        <v/>
      </c>
      <c r="AS732">
        <f>HYPERLINK("https://creighton-primo.hosted.exlibrisgroup.com/primo-explore/search?tab=default_tab&amp;search_scope=EVERYTHING&amp;vid=01CRU&amp;lang=en_US&amp;offset=0&amp;query=any,contains,991000946729702656","Catalog Record")</f>
        <v/>
      </c>
      <c r="AT732">
        <f>HYPERLINK("http://www.worldcat.org/oclc/14586667","WorldCat Record")</f>
        <v/>
      </c>
      <c r="AU732" t="inlineStr">
        <is>
          <t>355908931:eng</t>
        </is>
      </c>
      <c r="AV732" t="inlineStr">
        <is>
          <t>14586667</t>
        </is>
      </c>
      <c r="AW732" t="inlineStr">
        <is>
          <t>991000946729702656</t>
        </is>
      </c>
      <c r="AX732" t="inlineStr">
        <is>
          <t>991000946729702656</t>
        </is>
      </c>
      <c r="AY732" t="inlineStr">
        <is>
          <t>2272479770002656</t>
        </is>
      </c>
      <c r="AZ732" t="inlineStr">
        <is>
          <t>BOOK</t>
        </is>
      </c>
      <c r="BB732" t="inlineStr">
        <is>
          <t>9780872077829</t>
        </is>
      </c>
      <c r="BC732" t="inlineStr">
        <is>
          <t>32285000290204</t>
        </is>
      </c>
      <c r="BD732" t="inlineStr">
        <is>
          <t>893419915</t>
        </is>
      </c>
    </row>
    <row r="733">
      <c r="A733" t="inlineStr">
        <is>
          <t>No</t>
        </is>
      </c>
      <c r="B733" t="inlineStr">
        <is>
          <t>LB1573 .E39 1985</t>
        </is>
      </c>
      <c r="C733" t="inlineStr">
        <is>
          <t>0                      LB 1573000E  39          1985</t>
        </is>
      </c>
      <c r="D733" t="inlineStr">
        <is>
          <t>Teaching reading in the elementary school / Eldon E. Ekwall, James L. Shanker.</t>
        </is>
      </c>
      <c r="F733" t="inlineStr">
        <is>
          <t>No</t>
        </is>
      </c>
      <c r="G733" t="inlineStr">
        <is>
          <t>1</t>
        </is>
      </c>
      <c r="H733" t="inlineStr">
        <is>
          <t>No</t>
        </is>
      </c>
      <c r="I733" t="inlineStr">
        <is>
          <t>No</t>
        </is>
      </c>
      <c r="J733" t="inlineStr">
        <is>
          <t>0</t>
        </is>
      </c>
      <c r="K733" t="inlineStr">
        <is>
          <t>Ekwall, Eldon E.</t>
        </is>
      </c>
      <c r="L733" t="inlineStr">
        <is>
          <t>Columbus : C.E. Merrill, 1985.</t>
        </is>
      </c>
      <c r="M733" t="inlineStr">
        <is>
          <t>1985</t>
        </is>
      </c>
      <c r="O733" t="inlineStr">
        <is>
          <t>eng</t>
        </is>
      </c>
      <c r="P733" t="inlineStr">
        <is>
          <t>ohu</t>
        </is>
      </c>
      <c r="R733" t="inlineStr">
        <is>
          <t xml:space="preserve">LB </t>
        </is>
      </c>
      <c r="S733" t="n">
        <v>12</v>
      </c>
      <c r="T733" t="n">
        <v>12</v>
      </c>
      <c r="U733" t="inlineStr">
        <is>
          <t>1997-03-18</t>
        </is>
      </c>
      <c r="V733" t="inlineStr">
        <is>
          <t>1997-03-18</t>
        </is>
      </c>
      <c r="W733" t="inlineStr">
        <is>
          <t>1990-07-09</t>
        </is>
      </c>
      <c r="X733" t="inlineStr">
        <is>
          <t>1990-07-09</t>
        </is>
      </c>
      <c r="Y733" t="n">
        <v>186</v>
      </c>
      <c r="Z733" t="n">
        <v>158</v>
      </c>
      <c r="AA733" t="n">
        <v>302</v>
      </c>
      <c r="AB733" t="n">
        <v>3</v>
      </c>
      <c r="AC733" t="n">
        <v>4</v>
      </c>
      <c r="AD733" t="n">
        <v>11</v>
      </c>
      <c r="AE733" t="n">
        <v>15</v>
      </c>
      <c r="AF733" t="n">
        <v>3</v>
      </c>
      <c r="AG733" t="n">
        <v>4</v>
      </c>
      <c r="AH733" t="n">
        <v>2</v>
      </c>
      <c r="AI733" t="n">
        <v>3</v>
      </c>
      <c r="AJ733" t="n">
        <v>5</v>
      </c>
      <c r="AK733" t="n">
        <v>7</v>
      </c>
      <c r="AL733" t="n">
        <v>2</v>
      </c>
      <c r="AM733" t="n">
        <v>3</v>
      </c>
      <c r="AN733" t="n">
        <v>0</v>
      </c>
      <c r="AO733" t="n">
        <v>0</v>
      </c>
      <c r="AP733" t="inlineStr">
        <is>
          <t>No</t>
        </is>
      </c>
      <c r="AQ733" t="inlineStr">
        <is>
          <t>Yes</t>
        </is>
      </c>
      <c r="AR733">
        <f>HYPERLINK("http://catalog.hathitrust.org/Record/009135330","HathiTrust Record")</f>
        <v/>
      </c>
      <c r="AS733">
        <f>HYPERLINK("https://creighton-primo.hosted.exlibrisgroup.com/primo-explore/search?tab=default_tab&amp;search_scope=EVERYTHING&amp;vid=01CRU&amp;lang=en_US&amp;offset=0&amp;query=any,contains,991000581439702656","Catalog Record")</f>
        <v/>
      </c>
      <c r="AT733">
        <f>HYPERLINK("http://www.worldcat.org/oclc/11738989","WorldCat Record")</f>
        <v/>
      </c>
      <c r="AU733" t="inlineStr">
        <is>
          <t>4653070:eng</t>
        </is>
      </c>
      <c r="AV733" t="inlineStr">
        <is>
          <t>11738989</t>
        </is>
      </c>
      <c r="AW733" t="inlineStr">
        <is>
          <t>991000581439702656</t>
        </is>
      </c>
      <c r="AX733" t="inlineStr">
        <is>
          <t>991000581439702656</t>
        </is>
      </c>
      <c r="AY733" t="inlineStr">
        <is>
          <t>2255352180002656</t>
        </is>
      </c>
      <c r="AZ733" t="inlineStr">
        <is>
          <t>BOOK</t>
        </is>
      </c>
      <c r="BB733" t="inlineStr">
        <is>
          <t>9780675201216</t>
        </is>
      </c>
      <c r="BC733" t="inlineStr">
        <is>
          <t>32285000223593</t>
        </is>
      </c>
      <c r="BD733" t="inlineStr">
        <is>
          <t>893865501</t>
        </is>
      </c>
    </row>
    <row r="734">
      <c r="A734" t="inlineStr">
        <is>
          <t>No</t>
        </is>
      </c>
      <c r="B734" t="inlineStr">
        <is>
          <t>LB1573 .F552 1981</t>
        </is>
      </c>
      <c r="C734" t="inlineStr">
        <is>
          <t>0                      LB 1573000F  552         1981</t>
        </is>
      </c>
      <c r="D734" t="inlineStr">
        <is>
          <t>Why Johnny still can't read : a new look at the scandal of our schools / by Rudolf Flesch.</t>
        </is>
      </c>
      <c r="F734" t="inlineStr">
        <is>
          <t>No</t>
        </is>
      </c>
      <c r="G734" t="inlineStr">
        <is>
          <t>1</t>
        </is>
      </c>
      <c r="H734" t="inlineStr">
        <is>
          <t>No</t>
        </is>
      </c>
      <c r="I734" t="inlineStr">
        <is>
          <t>No</t>
        </is>
      </c>
      <c r="J734" t="inlineStr">
        <is>
          <t>0</t>
        </is>
      </c>
      <c r="K734" t="inlineStr">
        <is>
          <t>Flesch, Rudolf, 1911-1986.</t>
        </is>
      </c>
      <c r="L734" t="inlineStr">
        <is>
          <t>New York : Harper &amp; Row, c1981.</t>
        </is>
      </c>
      <c r="M734" t="inlineStr">
        <is>
          <t>1981</t>
        </is>
      </c>
      <c r="N734" t="inlineStr">
        <is>
          <t>1st ed.</t>
        </is>
      </c>
      <c r="O734" t="inlineStr">
        <is>
          <t>eng</t>
        </is>
      </c>
      <c r="P734" t="inlineStr">
        <is>
          <t>nyu</t>
        </is>
      </c>
      <c r="R734" t="inlineStr">
        <is>
          <t xml:space="preserve">LB </t>
        </is>
      </c>
      <c r="S734" t="n">
        <v>10</v>
      </c>
      <c r="T734" t="n">
        <v>10</v>
      </c>
      <c r="U734" t="inlineStr">
        <is>
          <t>2007-02-26</t>
        </is>
      </c>
      <c r="V734" t="inlineStr">
        <is>
          <t>2007-02-26</t>
        </is>
      </c>
      <c r="W734" t="inlineStr">
        <is>
          <t>1990-07-09</t>
        </is>
      </c>
      <c r="X734" t="inlineStr">
        <is>
          <t>1990-07-09</t>
        </is>
      </c>
      <c r="Y734" t="n">
        <v>1765</v>
      </c>
      <c r="Z734" t="n">
        <v>1628</v>
      </c>
      <c r="AA734" t="n">
        <v>1772</v>
      </c>
      <c r="AB734" t="n">
        <v>17</v>
      </c>
      <c r="AC734" t="n">
        <v>19</v>
      </c>
      <c r="AD734" t="n">
        <v>45</v>
      </c>
      <c r="AE734" t="n">
        <v>48</v>
      </c>
      <c r="AF734" t="n">
        <v>19</v>
      </c>
      <c r="AG734" t="n">
        <v>19</v>
      </c>
      <c r="AH734" t="n">
        <v>8</v>
      </c>
      <c r="AI734" t="n">
        <v>8</v>
      </c>
      <c r="AJ734" t="n">
        <v>19</v>
      </c>
      <c r="AK734" t="n">
        <v>21</v>
      </c>
      <c r="AL734" t="n">
        <v>10</v>
      </c>
      <c r="AM734" t="n">
        <v>11</v>
      </c>
      <c r="AN734" t="n">
        <v>0</v>
      </c>
      <c r="AO734" t="n">
        <v>0</v>
      </c>
      <c r="AP734" t="inlineStr">
        <is>
          <t>No</t>
        </is>
      </c>
      <c r="AQ734" t="inlineStr">
        <is>
          <t>Yes</t>
        </is>
      </c>
      <c r="AR734">
        <f>HYPERLINK("http://catalog.hathitrust.org/Record/000187181","HathiTrust Record")</f>
        <v/>
      </c>
      <c r="AS734">
        <f>HYPERLINK("https://creighton-primo.hosted.exlibrisgroup.com/primo-explore/search?tab=default_tab&amp;search_scope=EVERYTHING&amp;vid=01CRU&amp;lang=en_US&amp;offset=0&amp;query=any,contains,991005067979702656","Catalog Record")</f>
        <v/>
      </c>
      <c r="AT734">
        <f>HYPERLINK("http://www.worldcat.org/oclc/6982263","WorldCat Record")</f>
        <v/>
      </c>
      <c r="AU734" t="inlineStr">
        <is>
          <t>3855306574:eng</t>
        </is>
      </c>
      <c r="AV734" t="inlineStr">
        <is>
          <t>6982263</t>
        </is>
      </c>
      <c r="AW734" t="inlineStr">
        <is>
          <t>991005067979702656</t>
        </is>
      </c>
      <c r="AX734" t="inlineStr">
        <is>
          <t>991005067979702656</t>
        </is>
      </c>
      <c r="AY734" t="inlineStr">
        <is>
          <t>2272587760002656</t>
        </is>
      </c>
      <c r="AZ734" t="inlineStr">
        <is>
          <t>BOOK</t>
        </is>
      </c>
      <c r="BC734" t="inlineStr">
        <is>
          <t>32285000223601</t>
        </is>
      </c>
      <c r="BD734" t="inlineStr">
        <is>
          <t>893876873</t>
        </is>
      </c>
    </row>
    <row r="735">
      <c r="A735" t="inlineStr">
        <is>
          <t>No</t>
        </is>
      </c>
      <c r="B735" t="inlineStr">
        <is>
          <t>LB1573 .G25 1979</t>
        </is>
      </c>
      <c r="C735" t="inlineStr">
        <is>
          <t>0                      LB 1573000G  25          1979</t>
        </is>
      </c>
      <c r="D735" t="inlineStr">
        <is>
          <t>Guiding children's reading through experiences / Roma Gans.</t>
        </is>
      </c>
      <c r="F735" t="inlineStr">
        <is>
          <t>No</t>
        </is>
      </c>
      <c r="G735" t="inlineStr">
        <is>
          <t>1</t>
        </is>
      </c>
      <c r="H735" t="inlineStr">
        <is>
          <t>No</t>
        </is>
      </c>
      <c r="I735" t="inlineStr">
        <is>
          <t>No</t>
        </is>
      </c>
      <c r="J735" t="inlineStr">
        <is>
          <t>0</t>
        </is>
      </c>
      <c r="K735" t="inlineStr">
        <is>
          <t>Gans, Roma, 1894-1996.</t>
        </is>
      </c>
      <c r="L735" t="inlineStr">
        <is>
          <t>New York : Teachers College Press, 1979.</t>
        </is>
      </c>
      <c r="M735" t="inlineStr">
        <is>
          <t>1979</t>
        </is>
      </c>
      <c r="N735" t="inlineStr">
        <is>
          <t>2d., [rev.] ed.</t>
        </is>
      </c>
      <c r="O735" t="inlineStr">
        <is>
          <t>eng</t>
        </is>
      </c>
      <c r="P735" t="inlineStr">
        <is>
          <t>nyu</t>
        </is>
      </c>
      <c r="R735" t="inlineStr">
        <is>
          <t xml:space="preserve">LB </t>
        </is>
      </c>
      <c r="S735" t="n">
        <v>2</v>
      </c>
      <c r="T735" t="n">
        <v>2</v>
      </c>
      <c r="U735" t="inlineStr">
        <is>
          <t>1995-10-12</t>
        </is>
      </c>
      <c r="V735" t="inlineStr">
        <is>
          <t>1995-10-12</t>
        </is>
      </c>
      <c r="W735" t="inlineStr">
        <is>
          <t>1993-01-27</t>
        </is>
      </c>
      <c r="X735" t="inlineStr">
        <is>
          <t>1993-01-27</t>
        </is>
      </c>
      <c r="Y735" t="n">
        <v>274</v>
      </c>
      <c r="Z735" t="n">
        <v>246</v>
      </c>
      <c r="AA735" t="n">
        <v>370</v>
      </c>
      <c r="AB735" t="n">
        <v>3</v>
      </c>
      <c r="AC735" t="n">
        <v>4</v>
      </c>
      <c r="AD735" t="n">
        <v>9</v>
      </c>
      <c r="AE735" t="n">
        <v>14</v>
      </c>
      <c r="AF735" t="n">
        <v>4</v>
      </c>
      <c r="AG735" t="n">
        <v>5</v>
      </c>
      <c r="AH735" t="n">
        <v>2</v>
      </c>
      <c r="AI735" t="n">
        <v>2</v>
      </c>
      <c r="AJ735" t="n">
        <v>4</v>
      </c>
      <c r="AK735" t="n">
        <v>7</v>
      </c>
      <c r="AL735" t="n">
        <v>2</v>
      </c>
      <c r="AM735" t="n">
        <v>3</v>
      </c>
      <c r="AN735" t="n">
        <v>0</v>
      </c>
      <c r="AO735" t="n">
        <v>0</v>
      </c>
      <c r="AP735" t="inlineStr">
        <is>
          <t>No</t>
        </is>
      </c>
      <c r="AQ735" t="inlineStr">
        <is>
          <t>No</t>
        </is>
      </c>
      <c r="AS735">
        <f>HYPERLINK("https://creighton-primo.hosted.exlibrisgroup.com/primo-explore/search?tab=default_tab&amp;search_scope=EVERYTHING&amp;vid=01CRU&amp;lang=en_US&amp;offset=0&amp;query=any,contains,991004792619702656","Catalog Record")</f>
        <v/>
      </c>
      <c r="AT735">
        <f>HYPERLINK("http://www.worldcat.org/oclc/5171672","WorldCat Record")</f>
        <v/>
      </c>
      <c r="AU735" t="inlineStr">
        <is>
          <t>137978185:eng</t>
        </is>
      </c>
      <c r="AV735" t="inlineStr">
        <is>
          <t>5171672</t>
        </is>
      </c>
      <c r="AW735" t="inlineStr">
        <is>
          <t>991004792619702656</t>
        </is>
      </c>
      <c r="AX735" t="inlineStr">
        <is>
          <t>991004792619702656</t>
        </is>
      </c>
      <c r="AY735" t="inlineStr">
        <is>
          <t>2259042030002656</t>
        </is>
      </c>
      <c r="AZ735" t="inlineStr">
        <is>
          <t>BOOK</t>
        </is>
      </c>
      <c r="BB735" t="inlineStr">
        <is>
          <t>9780807725696</t>
        </is>
      </c>
      <c r="BC735" t="inlineStr">
        <is>
          <t>32285001478816</t>
        </is>
      </c>
      <c r="BD735" t="inlineStr">
        <is>
          <t>893688152</t>
        </is>
      </c>
    </row>
    <row r="736">
      <c r="A736" t="inlineStr">
        <is>
          <t>No</t>
        </is>
      </c>
      <c r="B736" t="inlineStr">
        <is>
          <t>LB1573 .G85</t>
        </is>
      </c>
      <c r="C736" t="inlineStr">
        <is>
          <t>0                      LB 1573000G  85</t>
        </is>
      </c>
      <c r="D736" t="inlineStr">
        <is>
          <t>A perspective on phonics : a handbook for the elementary teacher / by Bernice V. Gunderson.</t>
        </is>
      </c>
      <c r="F736" t="inlineStr">
        <is>
          <t>No</t>
        </is>
      </c>
      <c r="G736" t="inlineStr">
        <is>
          <t>1</t>
        </is>
      </c>
      <c r="H736" t="inlineStr">
        <is>
          <t>No</t>
        </is>
      </c>
      <c r="I736" t="inlineStr">
        <is>
          <t>No</t>
        </is>
      </c>
      <c r="J736" t="inlineStr">
        <is>
          <t>0</t>
        </is>
      </c>
      <c r="K736" t="inlineStr">
        <is>
          <t>Gunderson, Bernice V.</t>
        </is>
      </c>
      <c r="L736" t="inlineStr">
        <is>
          <t>Marshall, MN. : Southwest State University, 1977.</t>
        </is>
      </c>
      <c r="M736" t="inlineStr">
        <is>
          <t>1977</t>
        </is>
      </c>
      <c r="O736" t="inlineStr">
        <is>
          <t>eng</t>
        </is>
      </c>
      <c r="P736" t="inlineStr">
        <is>
          <t>mnu</t>
        </is>
      </c>
      <c r="R736" t="inlineStr">
        <is>
          <t xml:space="preserve">LB </t>
        </is>
      </c>
      <c r="S736" t="n">
        <v>10</v>
      </c>
      <c r="T736" t="n">
        <v>10</v>
      </c>
      <c r="U736" t="inlineStr">
        <is>
          <t>2009-04-14</t>
        </is>
      </c>
      <c r="V736" t="inlineStr">
        <is>
          <t>2009-04-14</t>
        </is>
      </c>
      <c r="W736" t="inlineStr">
        <is>
          <t>1990-07-09</t>
        </is>
      </c>
      <c r="X736" t="inlineStr">
        <is>
          <t>1990-07-09</t>
        </is>
      </c>
      <c r="Y736" t="n">
        <v>11</v>
      </c>
      <c r="Z736" t="n">
        <v>11</v>
      </c>
      <c r="AA736" t="n">
        <v>11</v>
      </c>
      <c r="AB736" t="n">
        <v>1</v>
      </c>
      <c r="AC736" t="n">
        <v>1</v>
      </c>
      <c r="AD736" t="n">
        <v>0</v>
      </c>
      <c r="AE736" t="n">
        <v>0</v>
      </c>
      <c r="AF736" t="n">
        <v>0</v>
      </c>
      <c r="AG736" t="n">
        <v>0</v>
      </c>
      <c r="AH736" t="n">
        <v>0</v>
      </c>
      <c r="AI736" t="n">
        <v>0</v>
      </c>
      <c r="AJ736" t="n">
        <v>0</v>
      </c>
      <c r="AK736" t="n">
        <v>0</v>
      </c>
      <c r="AL736" t="n">
        <v>0</v>
      </c>
      <c r="AM736" t="n">
        <v>0</v>
      </c>
      <c r="AN736" t="n">
        <v>0</v>
      </c>
      <c r="AO736" t="n">
        <v>0</v>
      </c>
      <c r="AP736" t="inlineStr">
        <is>
          <t>No</t>
        </is>
      </c>
      <c r="AQ736" t="inlineStr">
        <is>
          <t>No</t>
        </is>
      </c>
      <c r="AS736">
        <f>HYPERLINK("https://creighton-primo.hosted.exlibrisgroup.com/primo-explore/search?tab=default_tab&amp;search_scope=EVERYTHING&amp;vid=01CRU&amp;lang=en_US&amp;offset=0&amp;query=any,contains,991004608119702656","Catalog Record")</f>
        <v/>
      </c>
      <c r="AT736">
        <f>HYPERLINK("http://www.worldcat.org/oclc/4198507","WorldCat Record")</f>
        <v/>
      </c>
      <c r="AU736" t="inlineStr">
        <is>
          <t>14623123:eng</t>
        </is>
      </c>
      <c r="AV736" t="inlineStr">
        <is>
          <t>4198507</t>
        </is>
      </c>
      <c r="AW736" t="inlineStr">
        <is>
          <t>991004608119702656</t>
        </is>
      </c>
      <c r="AX736" t="inlineStr">
        <is>
          <t>991004608119702656</t>
        </is>
      </c>
      <c r="AY736" t="inlineStr">
        <is>
          <t>2260600050002656</t>
        </is>
      </c>
      <c r="AZ736" t="inlineStr">
        <is>
          <t>BOOK</t>
        </is>
      </c>
      <c r="BC736" t="inlineStr">
        <is>
          <t>32285000223627</t>
        </is>
      </c>
      <c r="BD736" t="inlineStr">
        <is>
          <t>893618862</t>
        </is>
      </c>
    </row>
    <row r="737">
      <c r="A737" t="inlineStr">
        <is>
          <t>No</t>
        </is>
      </c>
      <c r="B737" t="inlineStr">
        <is>
          <t>LB1573 .G86</t>
        </is>
      </c>
      <c r="C737" t="inlineStr">
        <is>
          <t>0                      LB 1573000G  86</t>
        </is>
      </c>
      <c r="D737" t="inlineStr">
        <is>
          <t>Phonics : why and how / Patrick Groff.</t>
        </is>
      </c>
      <c r="F737" t="inlineStr">
        <is>
          <t>No</t>
        </is>
      </c>
      <c r="G737" t="inlineStr">
        <is>
          <t>1</t>
        </is>
      </c>
      <c r="H737" t="inlineStr">
        <is>
          <t>No</t>
        </is>
      </c>
      <c r="I737" t="inlineStr">
        <is>
          <t>No</t>
        </is>
      </c>
      <c r="J737" t="inlineStr">
        <is>
          <t>0</t>
        </is>
      </c>
      <c r="K737" t="inlineStr">
        <is>
          <t>Groff, Patrick J.</t>
        </is>
      </c>
      <c r="L737" t="inlineStr">
        <is>
          <t>Morristown, N.J. : General Learning Press, c1977.</t>
        </is>
      </c>
      <c r="M737" t="inlineStr">
        <is>
          <t>1977</t>
        </is>
      </c>
      <c r="O737" t="inlineStr">
        <is>
          <t>eng</t>
        </is>
      </c>
      <c r="P737" t="inlineStr">
        <is>
          <t>nju</t>
        </is>
      </c>
      <c r="R737" t="inlineStr">
        <is>
          <t xml:space="preserve">LB </t>
        </is>
      </c>
      <c r="S737" t="n">
        <v>24</v>
      </c>
      <c r="T737" t="n">
        <v>24</v>
      </c>
      <c r="U737" t="inlineStr">
        <is>
          <t>2000-01-27</t>
        </is>
      </c>
      <c r="V737" t="inlineStr">
        <is>
          <t>2000-01-27</t>
        </is>
      </c>
      <c r="W737" t="inlineStr">
        <is>
          <t>1992-02-26</t>
        </is>
      </c>
      <c r="X737" t="inlineStr">
        <is>
          <t>1992-02-26</t>
        </is>
      </c>
      <c r="Y737" t="n">
        <v>201</v>
      </c>
      <c r="Z737" t="n">
        <v>177</v>
      </c>
      <c r="AA737" t="n">
        <v>182</v>
      </c>
      <c r="AB737" t="n">
        <v>6</v>
      </c>
      <c r="AC737" t="n">
        <v>6</v>
      </c>
      <c r="AD737" t="n">
        <v>13</v>
      </c>
      <c r="AE737" t="n">
        <v>13</v>
      </c>
      <c r="AF737" t="n">
        <v>5</v>
      </c>
      <c r="AG737" t="n">
        <v>5</v>
      </c>
      <c r="AH737" t="n">
        <v>1</v>
      </c>
      <c r="AI737" t="n">
        <v>1</v>
      </c>
      <c r="AJ737" t="n">
        <v>5</v>
      </c>
      <c r="AK737" t="n">
        <v>5</v>
      </c>
      <c r="AL737" t="n">
        <v>5</v>
      </c>
      <c r="AM737" t="n">
        <v>5</v>
      </c>
      <c r="AN737" t="n">
        <v>0</v>
      </c>
      <c r="AO737" t="n">
        <v>0</v>
      </c>
      <c r="AP737" t="inlineStr">
        <is>
          <t>No</t>
        </is>
      </c>
      <c r="AQ737" t="inlineStr">
        <is>
          <t>No</t>
        </is>
      </c>
      <c r="AS737">
        <f>HYPERLINK("https://creighton-primo.hosted.exlibrisgroup.com/primo-explore/search?tab=default_tab&amp;search_scope=EVERYTHING&amp;vid=01CRU&amp;lang=en_US&amp;offset=0&amp;query=any,contains,991004389969702656","Catalog Record")</f>
        <v/>
      </c>
      <c r="AT737">
        <f>HYPERLINK("http://www.worldcat.org/oclc/3258428","WorldCat Record")</f>
        <v/>
      </c>
      <c r="AU737" t="inlineStr">
        <is>
          <t>8715403:eng</t>
        </is>
      </c>
      <c r="AV737" t="inlineStr">
        <is>
          <t>3258428</t>
        </is>
      </c>
      <c r="AW737" t="inlineStr">
        <is>
          <t>991004389969702656</t>
        </is>
      </c>
      <c r="AX737" t="inlineStr">
        <is>
          <t>991004389969702656</t>
        </is>
      </c>
      <c r="AY737" t="inlineStr">
        <is>
          <t>2271921790002656</t>
        </is>
      </c>
      <c r="AZ737" t="inlineStr">
        <is>
          <t>BOOK</t>
        </is>
      </c>
      <c r="BB737" t="inlineStr">
        <is>
          <t>9780382182174</t>
        </is>
      </c>
      <c r="BC737" t="inlineStr">
        <is>
          <t>32285000976232</t>
        </is>
      </c>
      <c r="BD737" t="inlineStr">
        <is>
          <t>893247533</t>
        </is>
      </c>
    </row>
    <row r="738">
      <c r="A738" t="inlineStr">
        <is>
          <t>No</t>
        </is>
      </c>
      <c r="B738" t="inlineStr">
        <is>
          <t>LB1573 .H325 1986</t>
        </is>
      </c>
      <c r="C738" t="inlineStr">
        <is>
          <t>0                      LB 1573000H  325         1986</t>
        </is>
      </c>
      <c r="D738" t="inlineStr">
        <is>
          <t>Principles and practices of teaching reading / Arthur W. Heilman, Timothy R. Blair, William H. Rupley.</t>
        </is>
      </c>
      <c r="F738" t="inlineStr">
        <is>
          <t>No</t>
        </is>
      </c>
      <c r="G738" t="inlineStr">
        <is>
          <t>1</t>
        </is>
      </c>
      <c r="H738" t="inlineStr">
        <is>
          <t>No</t>
        </is>
      </c>
      <c r="I738" t="inlineStr">
        <is>
          <t>No</t>
        </is>
      </c>
      <c r="J738" t="inlineStr">
        <is>
          <t>0</t>
        </is>
      </c>
      <c r="K738" t="inlineStr">
        <is>
          <t>Heilman, Arthur W.</t>
        </is>
      </c>
      <c r="L738" t="inlineStr">
        <is>
          <t>Columbus : Merrill, c1986.</t>
        </is>
      </c>
      <c r="M738" t="inlineStr">
        <is>
          <t>1986</t>
        </is>
      </c>
      <c r="N738" t="inlineStr">
        <is>
          <t>6th ed.</t>
        </is>
      </c>
      <c r="O738" t="inlineStr">
        <is>
          <t>eng</t>
        </is>
      </c>
      <c r="P738" t="inlineStr">
        <is>
          <t>ohu</t>
        </is>
      </c>
      <c r="R738" t="inlineStr">
        <is>
          <t xml:space="preserve">LB </t>
        </is>
      </c>
      <c r="S738" t="n">
        <v>8</v>
      </c>
      <c r="T738" t="n">
        <v>8</v>
      </c>
      <c r="U738" t="inlineStr">
        <is>
          <t>1996-02-25</t>
        </is>
      </c>
      <c r="V738" t="inlineStr">
        <is>
          <t>1996-02-25</t>
        </is>
      </c>
      <c r="W738" t="inlineStr">
        <is>
          <t>1990-07-09</t>
        </is>
      </c>
      <c r="X738" t="inlineStr">
        <is>
          <t>1990-07-09</t>
        </is>
      </c>
      <c r="Y738" t="n">
        <v>252</v>
      </c>
      <c r="Z738" t="n">
        <v>213</v>
      </c>
      <c r="AA738" t="n">
        <v>1132</v>
      </c>
      <c r="AB738" t="n">
        <v>1</v>
      </c>
      <c r="AC738" t="n">
        <v>12</v>
      </c>
      <c r="AD738" t="n">
        <v>9</v>
      </c>
      <c r="AE738" t="n">
        <v>46</v>
      </c>
      <c r="AF738" t="n">
        <v>5</v>
      </c>
      <c r="AG738" t="n">
        <v>19</v>
      </c>
      <c r="AH738" t="n">
        <v>2</v>
      </c>
      <c r="AI738" t="n">
        <v>8</v>
      </c>
      <c r="AJ738" t="n">
        <v>5</v>
      </c>
      <c r="AK738" t="n">
        <v>21</v>
      </c>
      <c r="AL738" t="n">
        <v>0</v>
      </c>
      <c r="AM738" t="n">
        <v>10</v>
      </c>
      <c r="AN738" t="n">
        <v>0</v>
      </c>
      <c r="AO738" t="n">
        <v>0</v>
      </c>
      <c r="AP738" t="inlineStr">
        <is>
          <t>No</t>
        </is>
      </c>
      <c r="AQ738" t="inlineStr">
        <is>
          <t>No</t>
        </is>
      </c>
      <c r="AS738">
        <f>HYPERLINK("https://creighton-primo.hosted.exlibrisgroup.com/primo-explore/search?tab=default_tab&amp;search_scope=EVERYTHING&amp;vid=01CRU&amp;lang=en_US&amp;offset=0&amp;query=any,contains,991000743739702656","Catalog Record")</f>
        <v/>
      </c>
      <c r="AT738">
        <f>HYPERLINK("http://www.worldcat.org/oclc/12818126","WorldCat Record")</f>
        <v/>
      </c>
      <c r="AU738" t="inlineStr">
        <is>
          <t>1325592:eng</t>
        </is>
      </c>
      <c r="AV738" t="inlineStr">
        <is>
          <t>12818126</t>
        </is>
      </c>
      <c r="AW738" t="inlineStr">
        <is>
          <t>991000743739702656</t>
        </is>
      </c>
      <c r="AX738" t="inlineStr">
        <is>
          <t>991000743739702656</t>
        </is>
      </c>
      <c r="AY738" t="inlineStr">
        <is>
          <t>2254948820002656</t>
        </is>
      </c>
      <c r="AZ738" t="inlineStr">
        <is>
          <t>BOOK</t>
        </is>
      </c>
      <c r="BB738" t="inlineStr">
        <is>
          <t>9780675203579</t>
        </is>
      </c>
      <c r="BC738" t="inlineStr">
        <is>
          <t>32285000223668</t>
        </is>
      </c>
      <c r="BD738" t="inlineStr">
        <is>
          <t>893521971</t>
        </is>
      </c>
    </row>
    <row r="739">
      <c r="A739" t="inlineStr">
        <is>
          <t>No</t>
        </is>
      </c>
      <c r="B739" t="inlineStr">
        <is>
          <t>LB1573 .H49 1988</t>
        </is>
      </c>
      <c r="C739" t="inlineStr">
        <is>
          <t>0                      LB 1573000H  49          1988</t>
        </is>
      </c>
      <c r="D739" t="inlineStr">
        <is>
          <t>Read on : a conference approach to reading / David Hornsby and Deborah Sukarna with Jo-Ann Parry.</t>
        </is>
      </c>
      <c r="F739" t="inlineStr">
        <is>
          <t>No</t>
        </is>
      </c>
      <c r="G739" t="inlineStr">
        <is>
          <t>1</t>
        </is>
      </c>
      <c r="H739" t="inlineStr">
        <is>
          <t>No</t>
        </is>
      </c>
      <c r="I739" t="inlineStr">
        <is>
          <t>No</t>
        </is>
      </c>
      <c r="J739" t="inlineStr">
        <is>
          <t>0</t>
        </is>
      </c>
      <c r="K739" t="inlineStr">
        <is>
          <t>Hornsby, David, 1946 September 23-</t>
        </is>
      </c>
      <c r="L739" t="inlineStr">
        <is>
          <t>Portsmouth, NH : Heinemann, 1988, c1986.</t>
        </is>
      </c>
      <c r="M739" t="inlineStr">
        <is>
          <t>1988</t>
        </is>
      </c>
      <c r="N739" t="inlineStr">
        <is>
          <t>1st U.S. ed.</t>
        </is>
      </c>
      <c r="O739" t="inlineStr">
        <is>
          <t>eng</t>
        </is>
      </c>
      <c r="P739" t="inlineStr">
        <is>
          <t>nhu</t>
        </is>
      </c>
      <c r="R739" t="inlineStr">
        <is>
          <t xml:space="preserve">LB </t>
        </is>
      </c>
      <c r="S739" t="n">
        <v>3</v>
      </c>
      <c r="T739" t="n">
        <v>3</v>
      </c>
      <c r="U739" t="inlineStr">
        <is>
          <t>1999-09-22</t>
        </is>
      </c>
      <c r="V739" t="inlineStr">
        <is>
          <t>1999-09-22</t>
        </is>
      </c>
      <c r="W739" t="inlineStr">
        <is>
          <t>1994-05-19</t>
        </is>
      </c>
      <c r="X739" t="inlineStr">
        <is>
          <t>1994-05-19</t>
        </is>
      </c>
      <c r="Y739" t="n">
        <v>359</v>
      </c>
      <c r="Z739" t="n">
        <v>332</v>
      </c>
      <c r="AA739" t="n">
        <v>364</v>
      </c>
      <c r="AB739" t="n">
        <v>4</v>
      </c>
      <c r="AC739" t="n">
        <v>4</v>
      </c>
      <c r="AD739" t="n">
        <v>12</v>
      </c>
      <c r="AE739" t="n">
        <v>13</v>
      </c>
      <c r="AF739" t="n">
        <v>4</v>
      </c>
      <c r="AG739" t="n">
        <v>5</v>
      </c>
      <c r="AH739" t="n">
        <v>3</v>
      </c>
      <c r="AI739" t="n">
        <v>3</v>
      </c>
      <c r="AJ739" t="n">
        <v>6</v>
      </c>
      <c r="AK739" t="n">
        <v>7</v>
      </c>
      <c r="AL739" t="n">
        <v>2</v>
      </c>
      <c r="AM739" t="n">
        <v>2</v>
      </c>
      <c r="AN739" t="n">
        <v>0</v>
      </c>
      <c r="AO739" t="n">
        <v>0</v>
      </c>
      <c r="AP739" t="inlineStr">
        <is>
          <t>No</t>
        </is>
      </c>
      <c r="AQ739" t="inlineStr">
        <is>
          <t>Yes</t>
        </is>
      </c>
      <c r="AR739">
        <f>HYPERLINK("http://catalog.hathitrust.org/Record/004399466","HathiTrust Record")</f>
        <v/>
      </c>
      <c r="AS739">
        <f>HYPERLINK("https://creighton-primo.hosted.exlibrisgroup.com/primo-explore/search?tab=default_tab&amp;search_scope=EVERYTHING&amp;vid=01CRU&amp;lang=en_US&amp;offset=0&amp;query=any,contains,991001142579702656","Catalog Record")</f>
        <v/>
      </c>
      <c r="AT739">
        <f>HYPERLINK("http://www.worldcat.org/oclc/16754122","WorldCat Record")</f>
        <v/>
      </c>
      <c r="AU739" t="inlineStr">
        <is>
          <t>13150214:eng</t>
        </is>
      </c>
      <c r="AV739" t="inlineStr">
        <is>
          <t>16754122</t>
        </is>
      </c>
      <c r="AW739" t="inlineStr">
        <is>
          <t>991001142579702656</t>
        </is>
      </c>
      <c r="AX739" t="inlineStr">
        <is>
          <t>991001142579702656</t>
        </is>
      </c>
      <c r="AY739" t="inlineStr">
        <is>
          <t>2263750930002656</t>
        </is>
      </c>
      <c r="AZ739" t="inlineStr">
        <is>
          <t>BOOK</t>
        </is>
      </c>
      <c r="BB739" t="inlineStr">
        <is>
          <t>9780435084592</t>
        </is>
      </c>
      <c r="BC739" t="inlineStr">
        <is>
          <t>32285001897783</t>
        </is>
      </c>
      <c r="BD739" t="inlineStr">
        <is>
          <t>893872318</t>
        </is>
      </c>
    </row>
    <row r="740">
      <c r="A740" t="inlineStr">
        <is>
          <t>No</t>
        </is>
      </c>
      <c r="B740" t="inlineStr">
        <is>
          <t>LB1573 .H93 1985</t>
        </is>
      </c>
      <c r="C740" t="inlineStr">
        <is>
          <t>0                      LB 1573000H  93          1985</t>
        </is>
      </c>
      <c r="D740" t="inlineStr">
        <is>
          <t>Phonics for the teacher of reading : programmed for self-instruction / Marion A. Hull.</t>
        </is>
      </c>
      <c r="F740" t="inlineStr">
        <is>
          <t>No</t>
        </is>
      </c>
      <c r="G740" t="inlineStr">
        <is>
          <t>1</t>
        </is>
      </c>
      <c r="H740" t="inlineStr">
        <is>
          <t>No</t>
        </is>
      </c>
      <c r="I740" t="inlineStr">
        <is>
          <t>No</t>
        </is>
      </c>
      <c r="J740" t="inlineStr">
        <is>
          <t>0</t>
        </is>
      </c>
      <c r="K740" t="inlineStr">
        <is>
          <t>Hull, Marion A.</t>
        </is>
      </c>
      <c r="L740" t="inlineStr">
        <is>
          <t>Columbus : C.E. Merrill, c1985.</t>
        </is>
      </c>
      <c r="M740" t="inlineStr">
        <is>
          <t>1985</t>
        </is>
      </c>
      <c r="N740" t="inlineStr">
        <is>
          <t>4th ed.</t>
        </is>
      </c>
      <c r="O740" t="inlineStr">
        <is>
          <t>eng</t>
        </is>
      </c>
      <c r="P740" t="inlineStr">
        <is>
          <t>ohu</t>
        </is>
      </c>
      <c r="R740" t="inlineStr">
        <is>
          <t xml:space="preserve">LB </t>
        </is>
      </c>
      <c r="S740" t="n">
        <v>8</v>
      </c>
      <c r="T740" t="n">
        <v>8</v>
      </c>
      <c r="U740" t="inlineStr">
        <is>
          <t>2008-12-03</t>
        </is>
      </c>
      <c r="V740" t="inlineStr">
        <is>
          <t>2008-12-03</t>
        </is>
      </c>
      <c r="W740" t="inlineStr">
        <is>
          <t>1990-07-09</t>
        </is>
      </c>
      <c r="X740" t="inlineStr">
        <is>
          <t>1990-07-09</t>
        </is>
      </c>
      <c r="Y740" t="n">
        <v>110</v>
      </c>
      <c r="Z740" t="n">
        <v>98</v>
      </c>
      <c r="AA740" t="n">
        <v>755</v>
      </c>
      <c r="AB740" t="n">
        <v>2</v>
      </c>
      <c r="AC740" t="n">
        <v>10</v>
      </c>
      <c r="AD740" t="n">
        <v>6</v>
      </c>
      <c r="AE740" t="n">
        <v>35</v>
      </c>
      <c r="AF740" t="n">
        <v>3</v>
      </c>
      <c r="AG740" t="n">
        <v>14</v>
      </c>
      <c r="AH740" t="n">
        <v>0</v>
      </c>
      <c r="AI740" t="n">
        <v>3</v>
      </c>
      <c r="AJ740" t="n">
        <v>3</v>
      </c>
      <c r="AK740" t="n">
        <v>17</v>
      </c>
      <c r="AL740" t="n">
        <v>1</v>
      </c>
      <c r="AM740" t="n">
        <v>8</v>
      </c>
      <c r="AN740" t="n">
        <v>0</v>
      </c>
      <c r="AO740" t="n">
        <v>0</v>
      </c>
      <c r="AP740" t="inlineStr">
        <is>
          <t>No</t>
        </is>
      </c>
      <c r="AQ740" t="inlineStr">
        <is>
          <t>Yes</t>
        </is>
      </c>
      <c r="AR740">
        <f>HYPERLINK("http://catalog.hathitrust.org/Record/007511278","HathiTrust Record")</f>
        <v/>
      </c>
      <c r="AS740">
        <f>HYPERLINK("https://creighton-primo.hosted.exlibrisgroup.com/primo-explore/search?tab=default_tab&amp;search_scope=EVERYTHING&amp;vid=01CRU&amp;lang=en_US&amp;offset=0&amp;query=any,contains,991000586929702656","Catalog Record")</f>
        <v/>
      </c>
      <c r="AT740">
        <f>HYPERLINK("http://www.worldcat.org/oclc/11761426","WorldCat Record")</f>
        <v/>
      </c>
      <c r="AU740" t="inlineStr">
        <is>
          <t>4725083:eng</t>
        </is>
      </c>
      <c r="AV740" t="inlineStr">
        <is>
          <t>11761426</t>
        </is>
      </c>
      <c r="AW740" t="inlineStr">
        <is>
          <t>991000586929702656</t>
        </is>
      </c>
      <c r="AX740" t="inlineStr">
        <is>
          <t>991000586929702656</t>
        </is>
      </c>
      <c r="AY740" t="inlineStr">
        <is>
          <t>2271768270002656</t>
        </is>
      </c>
      <c r="AZ740" t="inlineStr">
        <is>
          <t>BOOK</t>
        </is>
      </c>
      <c r="BC740" t="inlineStr">
        <is>
          <t>32285000223676</t>
        </is>
      </c>
      <c r="BD740" t="inlineStr">
        <is>
          <t>893595687</t>
        </is>
      </c>
    </row>
    <row r="741">
      <c r="A741" t="inlineStr">
        <is>
          <t>No</t>
        </is>
      </c>
      <c r="B741" t="inlineStr">
        <is>
          <t>LB1573 .K33 1987</t>
        </is>
      </c>
      <c r="C741" t="inlineStr">
        <is>
          <t>0                      LB 1573000K  33          1987</t>
        </is>
      </c>
      <c r="D741" t="inlineStr">
        <is>
          <t>Teaching elementary reading : principles and strategies / Robert Karlin, Andrea R. Karlin.</t>
        </is>
      </c>
      <c r="F741" t="inlineStr">
        <is>
          <t>No</t>
        </is>
      </c>
      <c r="G741" t="inlineStr">
        <is>
          <t>1</t>
        </is>
      </c>
      <c r="H741" t="inlineStr">
        <is>
          <t>No</t>
        </is>
      </c>
      <c r="I741" t="inlineStr">
        <is>
          <t>No</t>
        </is>
      </c>
      <c r="J741" t="inlineStr">
        <is>
          <t>0</t>
        </is>
      </c>
      <c r="K741" t="inlineStr">
        <is>
          <t>Karlin, Robert.</t>
        </is>
      </c>
      <c r="L741" t="inlineStr">
        <is>
          <t>New York : Harcourt, Brace, Jovanovich, c1987.</t>
        </is>
      </c>
      <c r="M741" t="inlineStr">
        <is>
          <t>1987</t>
        </is>
      </c>
      <c r="N741" t="inlineStr">
        <is>
          <t>4th ed.</t>
        </is>
      </c>
      <c r="O741" t="inlineStr">
        <is>
          <t>eng</t>
        </is>
      </c>
      <c r="P741" t="inlineStr">
        <is>
          <t>nyu</t>
        </is>
      </c>
      <c r="R741" t="inlineStr">
        <is>
          <t xml:space="preserve">LB </t>
        </is>
      </c>
      <c r="S741" t="n">
        <v>11</v>
      </c>
      <c r="T741" t="n">
        <v>11</v>
      </c>
      <c r="U741" t="inlineStr">
        <is>
          <t>1996-10-20</t>
        </is>
      </c>
      <c r="V741" t="inlineStr">
        <is>
          <t>1996-10-20</t>
        </is>
      </c>
      <c r="W741" t="inlineStr">
        <is>
          <t>1990-07-09</t>
        </is>
      </c>
      <c r="X741" t="inlineStr">
        <is>
          <t>1990-07-09</t>
        </is>
      </c>
      <c r="Y741" t="n">
        <v>228</v>
      </c>
      <c r="Z741" t="n">
        <v>197</v>
      </c>
      <c r="AA741" t="n">
        <v>629</v>
      </c>
      <c r="AB741" t="n">
        <v>4</v>
      </c>
      <c r="AC741" t="n">
        <v>8</v>
      </c>
      <c r="AD741" t="n">
        <v>10</v>
      </c>
      <c r="AE741" t="n">
        <v>28</v>
      </c>
      <c r="AF741" t="n">
        <v>3</v>
      </c>
      <c r="AG741" t="n">
        <v>8</v>
      </c>
      <c r="AH741" t="n">
        <v>2</v>
      </c>
      <c r="AI741" t="n">
        <v>5</v>
      </c>
      <c r="AJ741" t="n">
        <v>6</v>
      </c>
      <c r="AK741" t="n">
        <v>13</v>
      </c>
      <c r="AL741" t="n">
        <v>3</v>
      </c>
      <c r="AM741" t="n">
        <v>7</v>
      </c>
      <c r="AN741" t="n">
        <v>0</v>
      </c>
      <c r="AO741" t="n">
        <v>0</v>
      </c>
      <c r="AP741" t="inlineStr">
        <is>
          <t>No</t>
        </is>
      </c>
      <c r="AQ741" t="inlineStr">
        <is>
          <t>No</t>
        </is>
      </c>
      <c r="AS741">
        <f>HYPERLINK("https://creighton-primo.hosted.exlibrisgroup.com/primo-explore/search?tab=default_tab&amp;search_scope=EVERYTHING&amp;vid=01CRU&amp;lang=en_US&amp;offset=0&amp;query=any,contains,991001012979702656","Catalog Record")</f>
        <v/>
      </c>
      <c r="AT741">
        <f>HYPERLINK("http://www.worldcat.org/oclc/15304909","WorldCat Record")</f>
        <v/>
      </c>
      <c r="AU741" t="inlineStr">
        <is>
          <t>1283461:eng</t>
        </is>
      </c>
      <c r="AV741" t="inlineStr">
        <is>
          <t>15304909</t>
        </is>
      </c>
      <c r="AW741" t="inlineStr">
        <is>
          <t>991001012979702656</t>
        </is>
      </c>
      <c r="AX741" t="inlineStr">
        <is>
          <t>991001012979702656</t>
        </is>
      </c>
      <c r="AY741" t="inlineStr">
        <is>
          <t>2259123300002656</t>
        </is>
      </c>
      <c r="AZ741" t="inlineStr">
        <is>
          <t>BOOK</t>
        </is>
      </c>
      <c r="BB741" t="inlineStr">
        <is>
          <t>9780155880047</t>
        </is>
      </c>
      <c r="BC741" t="inlineStr">
        <is>
          <t>32285000223684</t>
        </is>
      </c>
      <c r="BD741" t="inlineStr">
        <is>
          <t>893772225</t>
        </is>
      </c>
    </row>
    <row r="742">
      <c r="A742" t="inlineStr">
        <is>
          <t>No</t>
        </is>
      </c>
      <c r="B742" t="inlineStr">
        <is>
          <t>LB1573 .L28 1986</t>
        </is>
      </c>
      <c r="C742" t="inlineStr">
        <is>
          <t>0                      LB 1573000L  28          1986</t>
        </is>
      </c>
      <c r="D742" t="inlineStr">
        <is>
          <t>Children reading and writing : structures and strategies / Judith A. Langer.</t>
        </is>
      </c>
      <c r="F742" t="inlineStr">
        <is>
          <t>No</t>
        </is>
      </c>
      <c r="G742" t="inlineStr">
        <is>
          <t>1</t>
        </is>
      </c>
      <c r="H742" t="inlineStr">
        <is>
          <t>No</t>
        </is>
      </c>
      <c r="I742" t="inlineStr">
        <is>
          <t>No</t>
        </is>
      </c>
      <c r="J742" t="inlineStr">
        <is>
          <t>0</t>
        </is>
      </c>
      <c r="K742" t="inlineStr">
        <is>
          <t>Langer, Judith A.</t>
        </is>
      </c>
      <c r="L742" t="inlineStr">
        <is>
          <t>Norwood, NJ : Ablex Pub. Corp., c1986.</t>
        </is>
      </c>
      <c r="M742" t="inlineStr">
        <is>
          <t>1986</t>
        </is>
      </c>
      <c r="O742" t="inlineStr">
        <is>
          <t>eng</t>
        </is>
      </c>
      <c r="P742" t="inlineStr">
        <is>
          <t>nju</t>
        </is>
      </c>
      <c r="Q742" t="inlineStr">
        <is>
          <t>Writing research</t>
        </is>
      </c>
      <c r="R742" t="inlineStr">
        <is>
          <t xml:space="preserve">LB </t>
        </is>
      </c>
      <c r="S742" t="n">
        <v>4</v>
      </c>
      <c r="T742" t="n">
        <v>4</v>
      </c>
      <c r="U742" t="inlineStr">
        <is>
          <t>2007-02-26</t>
        </is>
      </c>
      <c r="V742" t="inlineStr">
        <is>
          <t>2007-02-26</t>
        </is>
      </c>
      <c r="W742" t="inlineStr">
        <is>
          <t>1990-07-09</t>
        </is>
      </c>
      <c r="X742" t="inlineStr">
        <is>
          <t>1990-07-09</t>
        </is>
      </c>
      <c r="Y742" t="n">
        <v>572</v>
      </c>
      <c r="Z742" t="n">
        <v>497</v>
      </c>
      <c r="AA742" t="n">
        <v>499</v>
      </c>
      <c r="AB742" t="n">
        <v>8</v>
      </c>
      <c r="AC742" t="n">
        <v>8</v>
      </c>
      <c r="AD742" t="n">
        <v>30</v>
      </c>
      <c r="AE742" t="n">
        <v>30</v>
      </c>
      <c r="AF742" t="n">
        <v>12</v>
      </c>
      <c r="AG742" t="n">
        <v>12</v>
      </c>
      <c r="AH742" t="n">
        <v>6</v>
      </c>
      <c r="AI742" t="n">
        <v>6</v>
      </c>
      <c r="AJ742" t="n">
        <v>12</v>
      </c>
      <c r="AK742" t="n">
        <v>12</v>
      </c>
      <c r="AL742" t="n">
        <v>6</v>
      </c>
      <c r="AM742" t="n">
        <v>6</v>
      </c>
      <c r="AN742" t="n">
        <v>0</v>
      </c>
      <c r="AO742" t="n">
        <v>0</v>
      </c>
      <c r="AP742" t="inlineStr">
        <is>
          <t>No</t>
        </is>
      </c>
      <c r="AQ742" t="inlineStr">
        <is>
          <t>Yes</t>
        </is>
      </c>
      <c r="AR742">
        <f>HYPERLINK("http://catalog.hathitrust.org/Record/004430071","HathiTrust Record")</f>
        <v/>
      </c>
      <c r="AS742">
        <f>HYPERLINK("https://creighton-primo.hosted.exlibrisgroup.com/primo-explore/search?tab=default_tab&amp;search_scope=EVERYTHING&amp;vid=01CRU&amp;lang=en_US&amp;offset=0&amp;query=any,contains,991000776059702656","Catalog Record")</f>
        <v/>
      </c>
      <c r="AT742">
        <f>HYPERLINK("http://www.worldcat.org/oclc/13064592","WorldCat Record")</f>
        <v/>
      </c>
      <c r="AU742" t="inlineStr">
        <is>
          <t>362184591:eng</t>
        </is>
      </c>
      <c r="AV742" t="inlineStr">
        <is>
          <t>13064592</t>
        </is>
      </c>
      <c r="AW742" t="inlineStr">
        <is>
          <t>991000776059702656</t>
        </is>
      </c>
      <c r="AX742" t="inlineStr">
        <is>
          <t>991000776059702656</t>
        </is>
      </c>
      <c r="AY742" t="inlineStr">
        <is>
          <t>2255932570002656</t>
        </is>
      </c>
      <c r="AZ742" t="inlineStr">
        <is>
          <t>BOOK</t>
        </is>
      </c>
      <c r="BB742" t="inlineStr">
        <is>
          <t>9780893913038</t>
        </is>
      </c>
      <c r="BC742" t="inlineStr">
        <is>
          <t>32285000223692</t>
        </is>
      </c>
      <c r="BD742" t="inlineStr">
        <is>
          <t>893626439</t>
        </is>
      </c>
    </row>
    <row r="743">
      <c r="A743" t="inlineStr">
        <is>
          <t>No</t>
        </is>
      </c>
      <c r="B743" t="inlineStr">
        <is>
          <t>LB1573 .L64 1987</t>
        </is>
      </c>
      <c r="C743" t="inlineStr">
        <is>
          <t>0                      LB 1573000L  64          1987</t>
        </is>
      </c>
      <c r="D743" t="inlineStr">
        <is>
          <t>Supporting literacy : developing effective learning environments / Catherine E. Loughlin, Mavis D. Martin ; foreword by Yetta M. Goodman.</t>
        </is>
      </c>
      <c r="F743" t="inlineStr">
        <is>
          <t>No</t>
        </is>
      </c>
      <c r="G743" t="inlineStr">
        <is>
          <t>1</t>
        </is>
      </c>
      <c r="H743" t="inlineStr">
        <is>
          <t>No</t>
        </is>
      </c>
      <c r="I743" t="inlineStr">
        <is>
          <t>No</t>
        </is>
      </c>
      <c r="J743" t="inlineStr">
        <is>
          <t>0</t>
        </is>
      </c>
      <c r="K743" t="inlineStr">
        <is>
          <t>Loughlin, Catherine E., 1927-</t>
        </is>
      </c>
      <c r="L743" t="inlineStr">
        <is>
          <t>New York : Teachers College, Columbia University, c1987.</t>
        </is>
      </c>
      <c r="M743" t="inlineStr">
        <is>
          <t>1987</t>
        </is>
      </c>
      <c r="O743" t="inlineStr">
        <is>
          <t>eng</t>
        </is>
      </c>
      <c r="P743" t="inlineStr">
        <is>
          <t>nyu</t>
        </is>
      </c>
      <c r="R743" t="inlineStr">
        <is>
          <t xml:space="preserve">LB </t>
        </is>
      </c>
      <c r="S743" t="n">
        <v>6</v>
      </c>
      <c r="T743" t="n">
        <v>6</v>
      </c>
      <c r="U743" t="inlineStr">
        <is>
          <t>1999-09-22</t>
        </is>
      </c>
      <c r="V743" t="inlineStr">
        <is>
          <t>1999-09-22</t>
        </is>
      </c>
      <c r="W743" t="inlineStr">
        <is>
          <t>1993-01-27</t>
        </is>
      </c>
      <c r="X743" t="inlineStr">
        <is>
          <t>1993-01-27</t>
        </is>
      </c>
      <c r="Y743" t="n">
        <v>480</v>
      </c>
      <c r="Z743" t="n">
        <v>431</v>
      </c>
      <c r="AA743" t="n">
        <v>432</v>
      </c>
      <c r="AB743" t="n">
        <v>1</v>
      </c>
      <c r="AC743" t="n">
        <v>1</v>
      </c>
      <c r="AD743" t="n">
        <v>17</v>
      </c>
      <c r="AE743" t="n">
        <v>17</v>
      </c>
      <c r="AF743" t="n">
        <v>8</v>
      </c>
      <c r="AG743" t="n">
        <v>8</v>
      </c>
      <c r="AH743" t="n">
        <v>3</v>
      </c>
      <c r="AI743" t="n">
        <v>3</v>
      </c>
      <c r="AJ743" t="n">
        <v>11</v>
      </c>
      <c r="AK743" t="n">
        <v>11</v>
      </c>
      <c r="AL743" t="n">
        <v>0</v>
      </c>
      <c r="AM743" t="n">
        <v>0</v>
      </c>
      <c r="AN743" t="n">
        <v>0</v>
      </c>
      <c r="AO743" t="n">
        <v>0</v>
      </c>
      <c r="AP743" t="inlineStr">
        <is>
          <t>No</t>
        </is>
      </c>
      <c r="AQ743" t="inlineStr">
        <is>
          <t>No</t>
        </is>
      </c>
      <c r="AS743">
        <f>HYPERLINK("https://creighton-primo.hosted.exlibrisgroup.com/primo-explore/search?tab=default_tab&amp;search_scope=EVERYTHING&amp;vid=01CRU&amp;lang=en_US&amp;offset=0&amp;query=any,contains,991001009929702656","Catalog Record")</f>
        <v/>
      </c>
      <c r="AT743">
        <f>HYPERLINK("http://www.worldcat.org/oclc/15281171","WorldCat Record")</f>
        <v/>
      </c>
      <c r="AU743" t="inlineStr">
        <is>
          <t>1024613575:eng</t>
        </is>
      </c>
      <c r="AV743" t="inlineStr">
        <is>
          <t>15281171</t>
        </is>
      </c>
      <c r="AW743" t="inlineStr">
        <is>
          <t>991001009929702656</t>
        </is>
      </c>
      <c r="AX743" t="inlineStr">
        <is>
          <t>991001009929702656</t>
        </is>
      </c>
      <c r="AY743" t="inlineStr">
        <is>
          <t>2262914010002656</t>
        </is>
      </c>
      <c r="AZ743" t="inlineStr">
        <is>
          <t>BOOK</t>
        </is>
      </c>
      <c r="BB743" t="inlineStr">
        <is>
          <t>9780807728598</t>
        </is>
      </c>
      <c r="BC743" t="inlineStr">
        <is>
          <t>32285001478824</t>
        </is>
      </c>
      <c r="BD743" t="inlineStr">
        <is>
          <t>893327793</t>
        </is>
      </c>
    </row>
    <row r="744">
      <c r="A744" t="inlineStr">
        <is>
          <t>No</t>
        </is>
      </c>
      <c r="B744" t="inlineStr">
        <is>
          <t>LB1573 .M335 1994</t>
        </is>
      </c>
      <c r="C744" t="inlineStr">
        <is>
          <t>0                      LB 1573000M  335         1994</t>
        </is>
      </c>
      <c r="D744" t="inlineStr">
        <is>
          <t>Readers and texts in the primary years / Tony Martin and Bob Leather.</t>
        </is>
      </c>
      <c r="F744" t="inlineStr">
        <is>
          <t>No</t>
        </is>
      </c>
      <c r="G744" t="inlineStr">
        <is>
          <t>1</t>
        </is>
      </c>
      <c r="H744" t="inlineStr">
        <is>
          <t>No</t>
        </is>
      </c>
      <c r="I744" t="inlineStr">
        <is>
          <t>No</t>
        </is>
      </c>
      <c r="J744" t="inlineStr">
        <is>
          <t>0</t>
        </is>
      </c>
      <c r="K744" t="inlineStr">
        <is>
          <t>Martin, Tony, 1947-</t>
        </is>
      </c>
      <c r="L744" t="inlineStr">
        <is>
          <t>Buckingham [England] ; Philadelphia : Open University Press, 1994.</t>
        </is>
      </c>
      <c r="M744" t="inlineStr">
        <is>
          <t>1994</t>
        </is>
      </c>
      <c r="O744" t="inlineStr">
        <is>
          <t>eng</t>
        </is>
      </c>
      <c r="P744" t="inlineStr">
        <is>
          <t>enk</t>
        </is>
      </c>
      <c r="Q744" t="inlineStr">
        <is>
          <t>Rethinking reading</t>
        </is>
      </c>
      <c r="R744" t="inlineStr">
        <is>
          <t xml:space="preserve">LB </t>
        </is>
      </c>
      <c r="S744" t="n">
        <v>6</v>
      </c>
      <c r="T744" t="n">
        <v>6</v>
      </c>
      <c r="U744" t="inlineStr">
        <is>
          <t>1999-09-09</t>
        </is>
      </c>
      <c r="V744" t="inlineStr">
        <is>
          <t>1999-09-09</t>
        </is>
      </c>
      <c r="W744" t="inlineStr">
        <is>
          <t>1995-03-22</t>
        </is>
      </c>
      <c r="X744" t="inlineStr">
        <is>
          <t>1995-03-22</t>
        </is>
      </c>
      <c r="Y744" t="n">
        <v>141</v>
      </c>
      <c r="Z744" t="n">
        <v>59</v>
      </c>
      <c r="AA744" t="n">
        <v>64</v>
      </c>
      <c r="AB744" t="n">
        <v>1</v>
      </c>
      <c r="AC744" t="n">
        <v>1</v>
      </c>
      <c r="AD744" t="n">
        <v>2</v>
      </c>
      <c r="AE744" t="n">
        <v>2</v>
      </c>
      <c r="AF744" t="n">
        <v>1</v>
      </c>
      <c r="AG744" t="n">
        <v>1</v>
      </c>
      <c r="AH744" t="n">
        <v>0</v>
      </c>
      <c r="AI744" t="n">
        <v>0</v>
      </c>
      <c r="AJ744" t="n">
        <v>2</v>
      </c>
      <c r="AK744" t="n">
        <v>2</v>
      </c>
      <c r="AL744" t="n">
        <v>0</v>
      </c>
      <c r="AM744" t="n">
        <v>0</v>
      </c>
      <c r="AN744" t="n">
        <v>0</v>
      </c>
      <c r="AO744" t="n">
        <v>0</v>
      </c>
      <c r="AP744" t="inlineStr">
        <is>
          <t>No</t>
        </is>
      </c>
      <c r="AQ744" t="inlineStr">
        <is>
          <t>No</t>
        </is>
      </c>
      <c r="AS744">
        <f>HYPERLINK("https://creighton-primo.hosted.exlibrisgroup.com/primo-explore/search?tab=default_tab&amp;search_scope=EVERYTHING&amp;vid=01CRU&amp;lang=en_US&amp;offset=0&amp;query=any,contains,991002332089702656","Catalog Record")</f>
        <v/>
      </c>
      <c r="AT744">
        <f>HYPERLINK("http://www.worldcat.org/oclc/30355400","WorldCat Record")</f>
        <v/>
      </c>
      <c r="AU744" t="inlineStr">
        <is>
          <t>5579325969:eng</t>
        </is>
      </c>
      <c r="AV744" t="inlineStr">
        <is>
          <t>30355400</t>
        </is>
      </c>
      <c r="AW744" t="inlineStr">
        <is>
          <t>991002332089702656</t>
        </is>
      </c>
      <c r="AX744" t="inlineStr">
        <is>
          <t>991002332089702656</t>
        </is>
      </c>
      <c r="AY744" t="inlineStr">
        <is>
          <t>2256542370002656</t>
        </is>
      </c>
      <c r="AZ744" t="inlineStr">
        <is>
          <t>BOOK</t>
        </is>
      </c>
      <c r="BB744" t="inlineStr">
        <is>
          <t>9780335192274</t>
        </is>
      </c>
      <c r="BC744" t="inlineStr">
        <is>
          <t>32285002004579</t>
        </is>
      </c>
      <c r="BD744" t="inlineStr">
        <is>
          <t>893867080</t>
        </is>
      </c>
    </row>
    <row r="745">
      <c r="A745" t="inlineStr">
        <is>
          <t>No</t>
        </is>
      </c>
      <c r="B745" t="inlineStr">
        <is>
          <t>LB1573 .P67 1998</t>
        </is>
      </c>
      <c r="C745" t="inlineStr">
        <is>
          <t>0                      LB 1573000P  67          1998</t>
        </is>
      </c>
      <c r="D745" t="inlineStr">
        <is>
          <t>Practicing what we know : informed reading instruction / edited by Constance Weaver.</t>
        </is>
      </c>
      <c r="F745" t="inlineStr">
        <is>
          <t>No</t>
        </is>
      </c>
      <c r="G745" t="inlineStr">
        <is>
          <t>1</t>
        </is>
      </c>
      <c r="H745" t="inlineStr">
        <is>
          <t>No</t>
        </is>
      </c>
      <c r="I745" t="inlineStr">
        <is>
          <t>No</t>
        </is>
      </c>
      <c r="J745" t="inlineStr">
        <is>
          <t>0</t>
        </is>
      </c>
      <c r="L745" t="inlineStr">
        <is>
          <t>Urbana, Ill. : National Council of Teachers of English, c1998.</t>
        </is>
      </c>
      <c r="M745" t="inlineStr">
        <is>
          <t>1998</t>
        </is>
      </c>
      <c r="O745" t="inlineStr">
        <is>
          <t>eng</t>
        </is>
      </c>
      <c r="P745" t="inlineStr">
        <is>
          <t>ilu</t>
        </is>
      </c>
      <c r="R745" t="inlineStr">
        <is>
          <t xml:space="preserve">LB </t>
        </is>
      </c>
      <c r="S745" t="n">
        <v>1</v>
      </c>
      <c r="T745" t="n">
        <v>1</v>
      </c>
      <c r="U745" t="inlineStr">
        <is>
          <t>2006-11-07</t>
        </is>
      </c>
      <c r="V745" t="inlineStr">
        <is>
          <t>2006-11-07</t>
        </is>
      </c>
      <c r="W745" t="inlineStr">
        <is>
          <t>2006-11-07</t>
        </is>
      </c>
      <c r="X745" t="inlineStr">
        <is>
          <t>2006-11-07</t>
        </is>
      </c>
      <c r="Y745" t="n">
        <v>393</v>
      </c>
      <c r="Z745" t="n">
        <v>356</v>
      </c>
      <c r="AA745" t="n">
        <v>363</v>
      </c>
      <c r="AB745" t="n">
        <v>4</v>
      </c>
      <c r="AC745" t="n">
        <v>4</v>
      </c>
      <c r="AD745" t="n">
        <v>18</v>
      </c>
      <c r="AE745" t="n">
        <v>18</v>
      </c>
      <c r="AF745" t="n">
        <v>10</v>
      </c>
      <c r="AG745" t="n">
        <v>10</v>
      </c>
      <c r="AH745" t="n">
        <v>3</v>
      </c>
      <c r="AI745" t="n">
        <v>3</v>
      </c>
      <c r="AJ745" t="n">
        <v>6</v>
      </c>
      <c r="AK745" t="n">
        <v>6</v>
      </c>
      <c r="AL745" t="n">
        <v>3</v>
      </c>
      <c r="AM745" t="n">
        <v>3</v>
      </c>
      <c r="AN745" t="n">
        <v>0</v>
      </c>
      <c r="AO745" t="n">
        <v>0</v>
      </c>
      <c r="AP745" t="inlineStr">
        <is>
          <t>No</t>
        </is>
      </c>
      <c r="AQ745" t="inlineStr">
        <is>
          <t>Yes</t>
        </is>
      </c>
      <c r="AR745">
        <f>HYPERLINK("http://catalog.hathitrust.org/Record/008326912","HathiTrust Record")</f>
        <v/>
      </c>
      <c r="AS745">
        <f>HYPERLINK("https://creighton-primo.hosted.exlibrisgroup.com/primo-explore/search?tab=default_tab&amp;search_scope=EVERYTHING&amp;vid=01CRU&amp;lang=en_US&amp;offset=0&amp;query=any,contains,991004971399702656","Catalog Record")</f>
        <v/>
      </c>
      <c r="AT745">
        <f>HYPERLINK("http://www.worldcat.org/oclc/38355382","WorldCat Record")</f>
        <v/>
      </c>
      <c r="AU745" t="inlineStr">
        <is>
          <t>41411103:eng</t>
        </is>
      </c>
      <c r="AV745" t="inlineStr">
        <is>
          <t>38355382</t>
        </is>
      </c>
      <c r="AW745" t="inlineStr">
        <is>
          <t>991004971399702656</t>
        </is>
      </c>
      <c r="AX745" t="inlineStr">
        <is>
          <t>991004971399702656</t>
        </is>
      </c>
      <c r="AY745" t="inlineStr">
        <is>
          <t>2255008180002656</t>
        </is>
      </c>
      <c r="AZ745" t="inlineStr">
        <is>
          <t>BOOK</t>
        </is>
      </c>
      <c r="BB745" t="inlineStr">
        <is>
          <t>9780814136751</t>
        </is>
      </c>
      <c r="BC745" t="inlineStr">
        <is>
          <t>32285005237028</t>
        </is>
      </c>
      <c r="BD745" t="inlineStr">
        <is>
          <t>893350553</t>
        </is>
      </c>
    </row>
    <row r="746">
      <c r="A746" t="inlineStr">
        <is>
          <t>No</t>
        </is>
      </c>
      <c r="B746" t="inlineStr">
        <is>
          <t>LB1573 .P72 2002</t>
        </is>
      </c>
      <c r="C746" t="inlineStr">
        <is>
          <t>0                      LB 1573000P  72          2002</t>
        </is>
      </c>
      <c r="D746" t="inlineStr">
        <is>
          <t>Reading instruction that works : the case for balanced teaching / Michael Pressley.</t>
        </is>
      </c>
      <c r="F746" t="inlineStr">
        <is>
          <t>No</t>
        </is>
      </c>
      <c r="G746" t="inlineStr">
        <is>
          <t>1</t>
        </is>
      </c>
      <c r="H746" t="inlineStr">
        <is>
          <t>No</t>
        </is>
      </c>
      <c r="I746" t="inlineStr">
        <is>
          <t>No</t>
        </is>
      </c>
      <c r="J746" t="inlineStr">
        <is>
          <t>0</t>
        </is>
      </c>
      <c r="K746" t="inlineStr">
        <is>
          <t>Pressley, Michael.</t>
        </is>
      </c>
      <c r="L746" t="inlineStr">
        <is>
          <t>New York : Guilford Press, c2002.</t>
        </is>
      </c>
      <c r="M746" t="inlineStr">
        <is>
          <t>2002</t>
        </is>
      </c>
      <c r="N746" t="inlineStr">
        <is>
          <t>2nd ed.</t>
        </is>
      </c>
      <c r="O746" t="inlineStr">
        <is>
          <t>eng</t>
        </is>
      </c>
      <c r="P746" t="inlineStr">
        <is>
          <t>nyu</t>
        </is>
      </c>
      <c r="Q746" t="inlineStr">
        <is>
          <t>Solving problems in the teaching of literacy</t>
        </is>
      </c>
      <c r="R746" t="inlineStr">
        <is>
          <t xml:space="preserve">LB </t>
        </is>
      </c>
      <c r="S746" t="n">
        <v>3</v>
      </c>
      <c r="T746" t="n">
        <v>3</v>
      </c>
      <c r="U746" t="inlineStr">
        <is>
          <t>2006-09-30</t>
        </is>
      </c>
      <c r="V746" t="inlineStr">
        <is>
          <t>2006-09-30</t>
        </is>
      </c>
      <c r="W746" t="inlineStr">
        <is>
          <t>2002-10-01</t>
        </is>
      </c>
      <c r="X746" t="inlineStr">
        <is>
          <t>2002-10-01</t>
        </is>
      </c>
      <c r="Y746" t="n">
        <v>397</v>
      </c>
      <c r="Z746" t="n">
        <v>330</v>
      </c>
      <c r="AA746" t="n">
        <v>1033</v>
      </c>
      <c r="AB746" t="n">
        <v>3</v>
      </c>
      <c r="AC746" t="n">
        <v>11</v>
      </c>
      <c r="AD746" t="n">
        <v>13</v>
      </c>
      <c r="AE746" t="n">
        <v>52</v>
      </c>
      <c r="AF746" t="n">
        <v>5</v>
      </c>
      <c r="AG746" t="n">
        <v>23</v>
      </c>
      <c r="AH746" t="n">
        <v>3</v>
      </c>
      <c r="AI746" t="n">
        <v>10</v>
      </c>
      <c r="AJ746" t="n">
        <v>7</v>
      </c>
      <c r="AK746" t="n">
        <v>21</v>
      </c>
      <c r="AL746" t="n">
        <v>2</v>
      </c>
      <c r="AM746" t="n">
        <v>10</v>
      </c>
      <c r="AN746" t="n">
        <v>0</v>
      </c>
      <c r="AO746" t="n">
        <v>0</v>
      </c>
      <c r="AP746" t="inlineStr">
        <is>
          <t>No</t>
        </is>
      </c>
      <c r="AQ746" t="inlineStr">
        <is>
          <t>No</t>
        </is>
      </c>
      <c r="AS746">
        <f>HYPERLINK("https://creighton-primo.hosted.exlibrisgroup.com/primo-explore/search?tab=default_tab&amp;search_scope=EVERYTHING&amp;vid=01CRU&amp;lang=en_US&amp;offset=0&amp;query=any,contains,991003878849702656","Catalog Record")</f>
        <v/>
      </c>
      <c r="AT746">
        <f>HYPERLINK("http://www.worldcat.org/oclc/49959483","WorldCat Record")</f>
        <v/>
      </c>
      <c r="AU746" t="inlineStr">
        <is>
          <t>793857386:eng</t>
        </is>
      </c>
      <c r="AV746" t="inlineStr">
        <is>
          <t>49959483</t>
        </is>
      </c>
      <c r="AW746" t="inlineStr">
        <is>
          <t>991003878849702656</t>
        </is>
      </c>
      <c r="AX746" t="inlineStr">
        <is>
          <t>991003878849702656</t>
        </is>
      </c>
      <c r="AY746" t="inlineStr">
        <is>
          <t>2270336540002656</t>
        </is>
      </c>
      <c r="AZ746" t="inlineStr">
        <is>
          <t>BOOK</t>
        </is>
      </c>
      <c r="BB746" t="inlineStr">
        <is>
          <t>9781572307339</t>
        </is>
      </c>
      <c r="BC746" t="inlineStr">
        <is>
          <t>32285004650536</t>
        </is>
      </c>
      <c r="BD746" t="inlineStr">
        <is>
          <t>893252930</t>
        </is>
      </c>
    </row>
    <row r="747">
      <c r="A747" t="inlineStr">
        <is>
          <t>No</t>
        </is>
      </c>
      <c r="B747" t="inlineStr">
        <is>
          <t>LB1573 .P76 1991</t>
        </is>
      </c>
      <c r="C747" t="inlineStr">
        <is>
          <t>0                      LB 1573000P  76          1991</t>
        </is>
      </c>
      <c r="D747" t="inlineStr">
        <is>
          <t>Process reading and writing : a literature-based approach / edited by Joan T. Feeley, Dorothy S. Strickland, Shelley B. Wepner.</t>
        </is>
      </c>
      <c r="F747" t="inlineStr">
        <is>
          <t>No</t>
        </is>
      </c>
      <c r="G747" t="inlineStr">
        <is>
          <t>1</t>
        </is>
      </c>
      <c r="H747" t="inlineStr">
        <is>
          <t>No</t>
        </is>
      </c>
      <c r="I747" t="inlineStr">
        <is>
          <t>No</t>
        </is>
      </c>
      <c r="J747" t="inlineStr">
        <is>
          <t>0</t>
        </is>
      </c>
      <c r="L747" t="inlineStr">
        <is>
          <t>New York : Teachers College Press, c1991.</t>
        </is>
      </c>
      <c r="M747" t="inlineStr">
        <is>
          <t>1991</t>
        </is>
      </c>
      <c r="O747" t="inlineStr">
        <is>
          <t>eng</t>
        </is>
      </c>
      <c r="P747" t="inlineStr">
        <is>
          <t>nyu</t>
        </is>
      </c>
      <c r="Q747" t="inlineStr">
        <is>
          <t>Language and literacy series</t>
        </is>
      </c>
      <c r="R747" t="inlineStr">
        <is>
          <t xml:space="preserve">LB </t>
        </is>
      </c>
      <c r="S747" t="n">
        <v>5</v>
      </c>
      <c r="T747" t="n">
        <v>5</v>
      </c>
      <c r="U747" t="inlineStr">
        <is>
          <t>1999-10-14</t>
        </is>
      </c>
      <c r="V747" t="inlineStr">
        <is>
          <t>1999-10-14</t>
        </is>
      </c>
      <c r="W747" t="inlineStr">
        <is>
          <t>1992-04-30</t>
        </is>
      </c>
      <c r="X747" t="inlineStr">
        <is>
          <t>1992-04-30</t>
        </is>
      </c>
      <c r="Y747" t="n">
        <v>439</v>
      </c>
      <c r="Z747" t="n">
        <v>390</v>
      </c>
      <c r="AA747" t="n">
        <v>395</v>
      </c>
      <c r="AB747" t="n">
        <v>3</v>
      </c>
      <c r="AC747" t="n">
        <v>3</v>
      </c>
      <c r="AD747" t="n">
        <v>18</v>
      </c>
      <c r="AE747" t="n">
        <v>18</v>
      </c>
      <c r="AF747" t="n">
        <v>7</v>
      </c>
      <c r="AG747" t="n">
        <v>7</v>
      </c>
      <c r="AH747" t="n">
        <v>4</v>
      </c>
      <c r="AI747" t="n">
        <v>4</v>
      </c>
      <c r="AJ747" t="n">
        <v>9</v>
      </c>
      <c r="AK747" t="n">
        <v>9</v>
      </c>
      <c r="AL747" t="n">
        <v>2</v>
      </c>
      <c r="AM747" t="n">
        <v>2</v>
      </c>
      <c r="AN747" t="n">
        <v>0</v>
      </c>
      <c r="AO747" t="n">
        <v>0</v>
      </c>
      <c r="AP747" t="inlineStr">
        <is>
          <t>No</t>
        </is>
      </c>
      <c r="AQ747" t="inlineStr">
        <is>
          <t>No</t>
        </is>
      </c>
      <c r="AS747">
        <f>HYPERLINK("https://creighton-primo.hosted.exlibrisgroup.com/primo-explore/search?tab=default_tab&amp;search_scope=EVERYTHING&amp;vid=01CRU&amp;lang=en_US&amp;offset=0&amp;query=any,contains,991001920609702656","Catalog Record")</f>
        <v/>
      </c>
      <c r="AT747">
        <f>HYPERLINK("http://www.worldcat.org/oclc/24246605","WorldCat Record")</f>
        <v/>
      </c>
      <c r="AU747" t="inlineStr">
        <is>
          <t>356015034:eng</t>
        </is>
      </c>
      <c r="AV747" t="inlineStr">
        <is>
          <t>24246605</t>
        </is>
      </c>
      <c r="AW747" t="inlineStr">
        <is>
          <t>991001920609702656</t>
        </is>
      </c>
      <c r="AX747" t="inlineStr">
        <is>
          <t>991001920609702656</t>
        </is>
      </c>
      <c r="AY747" t="inlineStr">
        <is>
          <t>2264153100002656</t>
        </is>
      </c>
      <c r="AZ747" t="inlineStr">
        <is>
          <t>BOOK</t>
        </is>
      </c>
      <c r="BB747" t="inlineStr">
        <is>
          <t>9780807731178</t>
        </is>
      </c>
      <c r="BC747" t="inlineStr">
        <is>
          <t>32285001037745</t>
        </is>
      </c>
      <c r="BD747" t="inlineStr">
        <is>
          <t>893420751</t>
        </is>
      </c>
    </row>
    <row r="748">
      <c r="A748" t="inlineStr">
        <is>
          <t>No</t>
        </is>
      </c>
      <c r="B748" t="inlineStr">
        <is>
          <t>LB1573 .R279 1983</t>
        </is>
      </c>
      <c r="C748" t="inlineStr">
        <is>
          <t>0                      LB 1573000R  279         1983</t>
        </is>
      </c>
      <c r="D748" t="inlineStr">
        <is>
          <t>Reading in elementary classrooms : strategies and observations / Patricia M. Cunningham ... [et al.].</t>
        </is>
      </c>
      <c r="F748" t="inlineStr">
        <is>
          <t>No</t>
        </is>
      </c>
      <c r="G748" t="inlineStr">
        <is>
          <t>1</t>
        </is>
      </c>
      <c r="H748" t="inlineStr">
        <is>
          <t>No</t>
        </is>
      </c>
      <c r="I748" t="inlineStr">
        <is>
          <t>No</t>
        </is>
      </c>
      <c r="J748" t="inlineStr">
        <is>
          <t>0</t>
        </is>
      </c>
      <c r="L748" t="inlineStr">
        <is>
          <t>New York : Longman, c1983.</t>
        </is>
      </c>
      <c r="M748" t="inlineStr">
        <is>
          <t>1983</t>
        </is>
      </c>
      <c r="O748" t="inlineStr">
        <is>
          <t>eng</t>
        </is>
      </c>
      <c r="P748" t="inlineStr">
        <is>
          <t>nyu</t>
        </is>
      </c>
      <c r="R748" t="inlineStr">
        <is>
          <t xml:space="preserve">LB </t>
        </is>
      </c>
      <c r="S748" t="n">
        <v>5</v>
      </c>
      <c r="T748" t="n">
        <v>5</v>
      </c>
      <c r="U748" t="inlineStr">
        <is>
          <t>1999-09-15</t>
        </is>
      </c>
      <c r="V748" t="inlineStr">
        <is>
          <t>1999-09-15</t>
        </is>
      </c>
      <c r="W748" t="inlineStr">
        <is>
          <t>1993-01-27</t>
        </is>
      </c>
      <c r="X748" t="inlineStr">
        <is>
          <t>1993-01-27</t>
        </is>
      </c>
      <c r="Y748" t="n">
        <v>341</v>
      </c>
      <c r="Z748" t="n">
        <v>302</v>
      </c>
      <c r="AA748" t="n">
        <v>589</v>
      </c>
      <c r="AB748" t="n">
        <v>3</v>
      </c>
      <c r="AC748" t="n">
        <v>7</v>
      </c>
      <c r="AD748" t="n">
        <v>16</v>
      </c>
      <c r="AE748" t="n">
        <v>31</v>
      </c>
      <c r="AF748" t="n">
        <v>5</v>
      </c>
      <c r="AG748" t="n">
        <v>14</v>
      </c>
      <c r="AH748" t="n">
        <v>3</v>
      </c>
      <c r="AI748" t="n">
        <v>6</v>
      </c>
      <c r="AJ748" t="n">
        <v>8</v>
      </c>
      <c r="AK748" t="n">
        <v>14</v>
      </c>
      <c r="AL748" t="n">
        <v>2</v>
      </c>
      <c r="AM748" t="n">
        <v>6</v>
      </c>
      <c r="AN748" t="n">
        <v>0</v>
      </c>
      <c r="AO748" t="n">
        <v>0</v>
      </c>
      <c r="AP748" t="inlineStr">
        <is>
          <t>No</t>
        </is>
      </c>
      <c r="AQ748" t="inlineStr">
        <is>
          <t>Yes</t>
        </is>
      </c>
      <c r="AR748">
        <f>HYPERLINK("http://catalog.hathitrust.org/Record/000767151","HathiTrust Record")</f>
        <v/>
      </c>
      <c r="AS748">
        <f>HYPERLINK("https://creighton-primo.hosted.exlibrisgroup.com/primo-explore/search?tab=default_tab&amp;search_scope=EVERYTHING&amp;vid=01CRU&amp;lang=en_US&amp;offset=0&amp;query=any,contains,991005244699702656","Catalog Record")</f>
        <v/>
      </c>
      <c r="AT748">
        <f>HYPERLINK("http://www.worldcat.org/oclc/8451623","WorldCat Record")</f>
        <v/>
      </c>
      <c r="AU748" t="inlineStr">
        <is>
          <t>54504947:eng</t>
        </is>
      </c>
      <c r="AV748" t="inlineStr">
        <is>
          <t>8451623</t>
        </is>
      </c>
      <c r="AW748" t="inlineStr">
        <is>
          <t>991005244699702656</t>
        </is>
      </c>
      <c r="AX748" t="inlineStr">
        <is>
          <t>991005244699702656</t>
        </is>
      </c>
      <c r="AY748" t="inlineStr">
        <is>
          <t>2265978790002656</t>
        </is>
      </c>
      <c r="AZ748" t="inlineStr">
        <is>
          <t>BOOK</t>
        </is>
      </c>
      <c r="BB748" t="inlineStr">
        <is>
          <t>9780582283909</t>
        </is>
      </c>
      <c r="BC748" t="inlineStr">
        <is>
          <t>32285001478840</t>
        </is>
      </c>
      <c r="BD748" t="inlineStr">
        <is>
          <t>893443649</t>
        </is>
      </c>
    </row>
    <row r="749">
      <c r="A749" t="inlineStr">
        <is>
          <t>No</t>
        </is>
      </c>
      <c r="B749" t="inlineStr">
        <is>
          <t>LB1573 .R294 1984</t>
        </is>
      </c>
      <c r="C749" t="inlineStr">
        <is>
          <t>0                      LB 1573000R  294         1984</t>
        </is>
      </c>
      <c r="D749" t="inlineStr">
        <is>
          <t>Readings on reading instruction / edited by Albert J. Harris and Edward R. Sipay.</t>
        </is>
      </c>
      <c r="F749" t="inlineStr">
        <is>
          <t>No</t>
        </is>
      </c>
      <c r="G749" t="inlineStr">
        <is>
          <t>1</t>
        </is>
      </c>
      <c r="H749" t="inlineStr">
        <is>
          <t>No</t>
        </is>
      </c>
      <c r="I749" t="inlineStr">
        <is>
          <t>No</t>
        </is>
      </c>
      <c r="J749" t="inlineStr">
        <is>
          <t>0</t>
        </is>
      </c>
      <c r="L749" t="inlineStr">
        <is>
          <t>New York : Longman, c1984.</t>
        </is>
      </c>
      <c r="M749" t="inlineStr">
        <is>
          <t>1984</t>
        </is>
      </c>
      <c r="N749" t="inlineStr">
        <is>
          <t>3rd ed.</t>
        </is>
      </c>
      <c r="O749" t="inlineStr">
        <is>
          <t>eng</t>
        </is>
      </c>
      <c r="P749" t="inlineStr">
        <is>
          <t>nyu</t>
        </is>
      </c>
      <c r="R749" t="inlineStr">
        <is>
          <t xml:space="preserve">LB </t>
        </is>
      </c>
      <c r="S749" t="n">
        <v>10</v>
      </c>
      <c r="T749" t="n">
        <v>10</v>
      </c>
      <c r="U749" t="inlineStr">
        <is>
          <t>1997-02-25</t>
        </is>
      </c>
      <c r="V749" t="inlineStr">
        <is>
          <t>1997-02-25</t>
        </is>
      </c>
      <c r="W749" t="inlineStr">
        <is>
          <t>1990-07-10</t>
        </is>
      </c>
      <c r="X749" t="inlineStr">
        <is>
          <t>1990-07-10</t>
        </is>
      </c>
      <c r="Y749" t="n">
        <v>313</v>
      </c>
      <c r="Z749" t="n">
        <v>286</v>
      </c>
      <c r="AA749" t="n">
        <v>629</v>
      </c>
      <c r="AB749" t="n">
        <v>3</v>
      </c>
      <c r="AC749" t="n">
        <v>4</v>
      </c>
      <c r="AD749" t="n">
        <v>10</v>
      </c>
      <c r="AE749" t="n">
        <v>30</v>
      </c>
      <c r="AF749" t="n">
        <v>6</v>
      </c>
      <c r="AG749" t="n">
        <v>15</v>
      </c>
      <c r="AH749" t="n">
        <v>2</v>
      </c>
      <c r="AI749" t="n">
        <v>6</v>
      </c>
      <c r="AJ749" t="n">
        <v>2</v>
      </c>
      <c r="AK749" t="n">
        <v>15</v>
      </c>
      <c r="AL749" t="n">
        <v>2</v>
      </c>
      <c r="AM749" t="n">
        <v>3</v>
      </c>
      <c r="AN749" t="n">
        <v>0</v>
      </c>
      <c r="AO749" t="n">
        <v>0</v>
      </c>
      <c r="AP749" t="inlineStr">
        <is>
          <t>No</t>
        </is>
      </c>
      <c r="AQ749" t="inlineStr">
        <is>
          <t>No</t>
        </is>
      </c>
      <c r="AS749">
        <f>HYPERLINK("https://creighton-primo.hosted.exlibrisgroup.com/primo-explore/search?tab=default_tab&amp;search_scope=EVERYTHING&amp;vid=01CRU&amp;lang=en_US&amp;offset=0&amp;query=any,contains,991000140259702656","Catalog Record")</f>
        <v/>
      </c>
      <c r="AT749">
        <f>HYPERLINK("http://www.worldcat.org/oclc/9154460","WorldCat Record")</f>
        <v/>
      </c>
      <c r="AU749" t="inlineStr">
        <is>
          <t>1327518:eng</t>
        </is>
      </c>
      <c r="AV749" t="inlineStr">
        <is>
          <t>9154460</t>
        </is>
      </c>
      <c r="AW749" t="inlineStr">
        <is>
          <t>991000140259702656</t>
        </is>
      </c>
      <c r="AX749" t="inlineStr">
        <is>
          <t>991000140259702656</t>
        </is>
      </c>
      <c r="AY749" t="inlineStr">
        <is>
          <t>2264516930002656</t>
        </is>
      </c>
      <c r="AZ749" t="inlineStr">
        <is>
          <t>BOOK</t>
        </is>
      </c>
      <c r="BB749" t="inlineStr">
        <is>
          <t>9780582283114</t>
        </is>
      </c>
      <c r="BC749" t="inlineStr">
        <is>
          <t>32285000222942</t>
        </is>
      </c>
      <c r="BD749" t="inlineStr">
        <is>
          <t>893237102</t>
        </is>
      </c>
    </row>
    <row r="750">
      <c r="A750" t="inlineStr">
        <is>
          <t>No</t>
        </is>
      </c>
      <c r="B750" t="inlineStr">
        <is>
          <t>LB1573 .R59 1987</t>
        </is>
      </c>
      <c r="C750" t="inlineStr">
        <is>
          <t>0                      LB 1573000R  59          1987</t>
        </is>
      </c>
      <c r="D750" t="inlineStr">
        <is>
          <t>Becoming an effective reading teacher / Richard Robinson, Thomas L. Good.</t>
        </is>
      </c>
      <c r="F750" t="inlineStr">
        <is>
          <t>No</t>
        </is>
      </c>
      <c r="G750" t="inlineStr">
        <is>
          <t>1</t>
        </is>
      </c>
      <c r="H750" t="inlineStr">
        <is>
          <t>No</t>
        </is>
      </c>
      <c r="I750" t="inlineStr">
        <is>
          <t>No</t>
        </is>
      </c>
      <c r="J750" t="inlineStr">
        <is>
          <t>0</t>
        </is>
      </c>
      <c r="K750" t="inlineStr">
        <is>
          <t>Robinson, Richard David, 1940-</t>
        </is>
      </c>
      <c r="L750" t="inlineStr">
        <is>
          <t>New York : Harper &amp; Row, c1987.</t>
        </is>
      </c>
      <c r="M750" t="inlineStr">
        <is>
          <t>1987</t>
        </is>
      </c>
      <c r="O750" t="inlineStr">
        <is>
          <t>eng</t>
        </is>
      </c>
      <c r="P750" t="inlineStr">
        <is>
          <t>nyu</t>
        </is>
      </c>
      <c r="R750" t="inlineStr">
        <is>
          <t xml:space="preserve">LB </t>
        </is>
      </c>
      <c r="S750" t="n">
        <v>3</v>
      </c>
      <c r="T750" t="n">
        <v>3</v>
      </c>
      <c r="U750" t="inlineStr">
        <is>
          <t>1997-01-30</t>
        </is>
      </c>
      <c r="V750" t="inlineStr">
        <is>
          <t>1997-01-30</t>
        </is>
      </c>
      <c r="W750" t="inlineStr">
        <is>
          <t>1990-07-10</t>
        </is>
      </c>
      <c r="X750" t="inlineStr">
        <is>
          <t>1990-07-10</t>
        </is>
      </c>
      <c r="Y750" t="n">
        <v>210</v>
      </c>
      <c r="Z750" t="n">
        <v>157</v>
      </c>
      <c r="AA750" t="n">
        <v>159</v>
      </c>
      <c r="AB750" t="n">
        <v>1</v>
      </c>
      <c r="AC750" t="n">
        <v>1</v>
      </c>
      <c r="AD750" t="n">
        <v>4</v>
      </c>
      <c r="AE750" t="n">
        <v>4</v>
      </c>
      <c r="AF750" t="n">
        <v>2</v>
      </c>
      <c r="AG750" t="n">
        <v>2</v>
      </c>
      <c r="AH750" t="n">
        <v>1</v>
      </c>
      <c r="AI750" t="n">
        <v>1</v>
      </c>
      <c r="AJ750" t="n">
        <v>3</v>
      </c>
      <c r="AK750" t="n">
        <v>3</v>
      </c>
      <c r="AL750" t="n">
        <v>0</v>
      </c>
      <c r="AM750" t="n">
        <v>0</v>
      </c>
      <c r="AN750" t="n">
        <v>0</v>
      </c>
      <c r="AO750" t="n">
        <v>0</v>
      </c>
      <c r="AP750" t="inlineStr">
        <is>
          <t>No</t>
        </is>
      </c>
      <c r="AQ750" t="inlineStr">
        <is>
          <t>Yes</t>
        </is>
      </c>
      <c r="AR750">
        <f>HYPERLINK("http://catalog.hathitrust.org/Record/102085162","HathiTrust Record")</f>
        <v/>
      </c>
      <c r="AS750">
        <f>HYPERLINK("https://creighton-primo.hosted.exlibrisgroup.com/primo-explore/search?tab=default_tab&amp;search_scope=EVERYTHING&amp;vid=01CRU&amp;lang=en_US&amp;offset=0&amp;query=any,contains,991000961179702656","Catalog Record")</f>
        <v/>
      </c>
      <c r="AT750">
        <f>HYPERLINK("http://www.worldcat.org/oclc/14818826","WorldCat Record")</f>
        <v/>
      </c>
      <c r="AU750" t="inlineStr">
        <is>
          <t>8541732:eng</t>
        </is>
      </c>
      <c r="AV750" t="inlineStr">
        <is>
          <t>14818826</t>
        </is>
      </c>
      <c r="AW750" t="inlineStr">
        <is>
          <t>991000961179702656</t>
        </is>
      </c>
      <c r="AX750" t="inlineStr">
        <is>
          <t>991000961179702656</t>
        </is>
      </c>
      <c r="AY750" t="inlineStr">
        <is>
          <t>2263800080002656</t>
        </is>
      </c>
      <c r="AZ750" t="inlineStr">
        <is>
          <t>BOOK</t>
        </is>
      </c>
      <c r="BB750" t="inlineStr">
        <is>
          <t>9780060423971</t>
        </is>
      </c>
      <c r="BC750" t="inlineStr">
        <is>
          <t>32285000222959</t>
        </is>
      </c>
      <c r="BD750" t="inlineStr">
        <is>
          <t>893407692</t>
        </is>
      </c>
    </row>
    <row r="751">
      <c r="A751" t="inlineStr">
        <is>
          <t>No</t>
        </is>
      </c>
      <c r="B751" t="inlineStr">
        <is>
          <t>LB1573 .S466 1989</t>
        </is>
      </c>
      <c r="C751" t="inlineStr">
        <is>
          <t>0                      LB 1573000S  466         1989</t>
        </is>
      </c>
      <c r="D751" t="inlineStr">
        <is>
          <t>Broken promises : reading instruction in twentieth-century America / Patrick Shannon ; introduction by Henry A. Giroux and Paulo Freire.</t>
        </is>
      </c>
      <c r="F751" t="inlineStr">
        <is>
          <t>No</t>
        </is>
      </c>
      <c r="G751" t="inlineStr">
        <is>
          <t>1</t>
        </is>
      </c>
      <c r="H751" t="inlineStr">
        <is>
          <t>No</t>
        </is>
      </c>
      <c r="I751" t="inlineStr">
        <is>
          <t>No</t>
        </is>
      </c>
      <c r="J751" t="inlineStr">
        <is>
          <t>0</t>
        </is>
      </c>
      <c r="K751" t="inlineStr">
        <is>
          <t>Shannon, Patrick, 1951-</t>
        </is>
      </c>
      <c r="L751" t="inlineStr">
        <is>
          <t>Granby, Mass. : Bergin &amp; Garvey, 1989.</t>
        </is>
      </c>
      <c r="M751" t="inlineStr">
        <is>
          <t>1989</t>
        </is>
      </c>
      <c r="O751" t="inlineStr">
        <is>
          <t>eng</t>
        </is>
      </c>
      <c r="P751" t="inlineStr">
        <is>
          <t>mau</t>
        </is>
      </c>
      <c r="Q751" t="inlineStr">
        <is>
          <t>Critical studies in education series</t>
        </is>
      </c>
      <c r="R751" t="inlineStr">
        <is>
          <t xml:space="preserve">LB </t>
        </is>
      </c>
      <c r="S751" t="n">
        <v>4</v>
      </c>
      <c r="T751" t="n">
        <v>4</v>
      </c>
      <c r="U751" t="inlineStr">
        <is>
          <t>1997-01-28</t>
        </is>
      </c>
      <c r="V751" t="inlineStr">
        <is>
          <t>1997-01-28</t>
        </is>
      </c>
      <c r="W751" t="inlineStr">
        <is>
          <t>1993-01-27</t>
        </is>
      </c>
      <c r="X751" t="inlineStr">
        <is>
          <t>1993-01-27</t>
        </is>
      </c>
      <c r="Y751" t="n">
        <v>765</v>
      </c>
      <c r="Z751" t="n">
        <v>698</v>
      </c>
      <c r="AA751" t="n">
        <v>710</v>
      </c>
      <c r="AB751" t="n">
        <v>6</v>
      </c>
      <c r="AC751" t="n">
        <v>6</v>
      </c>
      <c r="AD751" t="n">
        <v>30</v>
      </c>
      <c r="AE751" t="n">
        <v>30</v>
      </c>
      <c r="AF751" t="n">
        <v>12</v>
      </c>
      <c r="AG751" t="n">
        <v>12</v>
      </c>
      <c r="AH751" t="n">
        <v>7</v>
      </c>
      <c r="AI751" t="n">
        <v>7</v>
      </c>
      <c r="AJ751" t="n">
        <v>13</v>
      </c>
      <c r="AK751" t="n">
        <v>13</v>
      </c>
      <c r="AL751" t="n">
        <v>5</v>
      </c>
      <c r="AM751" t="n">
        <v>5</v>
      </c>
      <c r="AN751" t="n">
        <v>0</v>
      </c>
      <c r="AO751" t="n">
        <v>0</v>
      </c>
      <c r="AP751" t="inlineStr">
        <is>
          <t>No</t>
        </is>
      </c>
      <c r="AQ751" t="inlineStr">
        <is>
          <t>No</t>
        </is>
      </c>
      <c r="AS751">
        <f>HYPERLINK("https://creighton-primo.hosted.exlibrisgroup.com/primo-explore/search?tab=default_tab&amp;search_scope=EVERYTHING&amp;vid=01CRU&amp;lang=en_US&amp;offset=0&amp;query=any,contains,991001346719702656","Catalog Record")</f>
        <v/>
      </c>
      <c r="AT751">
        <f>HYPERLINK("http://www.worldcat.org/oclc/18415027","WorldCat Record")</f>
        <v/>
      </c>
      <c r="AU751" t="inlineStr">
        <is>
          <t>365551563:eng</t>
        </is>
      </c>
      <c r="AV751" t="inlineStr">
        <is>
          <t>18415027</t>
        </is>
      </c>
      <c r="AW751" t="inlineStr">
        <is>
          <t>991001346719702656</t>
        </is>
      </c>
      <c r="AX751" t="inlineStr">
        <is>
          <t>991001346719702656</t>
        </is>
      </c>
      <c r="AY751" t="inlineStr">
        <is>
          <t>2258738690002656</t>
        </is>
      </c>
      <c r="AZ751" t="inlineStr">
        <is>
          <t>BOOK</t>
        </is>
      </c>
      <c r="BB751" t="inlineStr">
        <is>
          <t>9780897891608</t>
        </is>
      </c>
      <c r="BC751" t="inlineStr">
        <is>
          <t>32285001478865</t>
        </is>
      </c>
      <c r="BD751" t="inlineStr">
        <is>
          <t>893408053</t>
        </is>
      </c>
    </row>
    <row r="752">
      <c r="A752" t="inlineStr">
        <is>
          <t>No</t>
        </is>
      </c>
      <c r="B752" t="inlineStr">
        <is>
          <t>LB1573 .S52</t>
        </is>
      </c>
      <c r="C752" t="inlineStr">
        <is>
          <t>0                      LB 1573000S  52</t>
        </is>
      </c>
      <c r="D752" t="inlineStr">
        <is>
          <t>The real reason why Johnny still can't read / Stanley L. Sharp.</t>
        </is>
      </c>
      <c r="F752" t="inlineStr">
        <is>
          <t>No</t>
        </is>
      </c>
      <c r="G752" t="inlineStr">
        <is>
          <t>1</t>
        </is>
      </c>
      <c r="H752" t="inlineStr">
        <is>
          <t>No</t>
        </is>
      </c>
      <c r="I752" t="inlineStr">
        <is>
          <t>No</t>
        </is>
      </c>
      <c r="J752" t="inlineStr">
        <is>
          <t>0</t>
        </is>
      </c>
      <c r="K752" t="inlineStr">
        <is>
          <t>Sharp, Stanley L.</t>
        </is>
      </c>
      <c r="L752" t="inlineStr">
        <is>
          <t>Smithtown, N.Y. : Exposition Press, 1982.</t>
        </is>
      </c>
      <c r="M752" t="inlineStr">
        <is>
          <t>1982</t>
        </is>
      </c>
      <c r="O752" t="inlineStr">
        <is>
          <t>eng</t>
        </is>
      </c>
      <c r="P752" t="inlineStr">
        <is>
          <t>nyu</t>
        </is>
      </c>
      <c r="R752" t="inlineStr">
        <is>
          <t xml:space="preserve">LB </t>
        </is>
      </c>
      <c r="S752" t="n">
        <v>10</v>
      </c>
      <c r="T752" t="n">
        <v>10</v>
      </c>
      <c r="U752" t="inlineStr">
        <is>
          <t>1997-03-25</t>
        </is>
      </c>
      <c r="V752" t="inlineStr">
        <is>
          <t>1997-03-25</t>
        </is>
      </c>
      <c r="W752" t="inlineStr">
        <is>
          <t>1993-01-27</t>
        </is>
      </c>
      <c r="X752" t="inlineStr">
        <is>
          <t>1993-01-27</t>
        </is>
      </c>
      <c r="Y752" t="n">
        <v>147</v>
      </c>
      <c r="Z752" t="n">
        <v>131</v>
      </c>
      <c r="AA752" t="n">
        <v>131</v>
      </c>
      <c r="AB752" t="n">
        <v>1</v>
      </c>
      <c r="AC752" t="n">
        <v>1</v>
      </c>
      <c r="AD752" t="n">
        <v>5</v>
      </c>
      <c r="AE752" t="n">
        <v>5</v>
      </c>
      <c r="AF752" t="n">
        <v>3</v>
      </c>
      <c r="AG752" t="n">
        <v>3</v>
      </c>
      <c r="AH752" t="n">
        <v>1</v>
      </c>
      <c r="AI752" t="n">
        <v>1</v>
      </c>
      <c r="AJ752" t="n">
        <v>4</v>
      </c>
      <c r="AK752" t="n">
        <v>4</v>
      </c>
      <c r="AL752" t="n">
        <v>0</v>
      </c>
      <c r="AM752" t="n">
        <v>0</v>
      </c>
      <c r="AN752" t="n">
        <v>0</v>
      </c>
      <c r="AO752" t="n">
        <v>0</v>
      </c>
      <c r="AP752" t="inlineStr">
        <is>
          <t>No</t>
        </is>
      </c>
      <c r="AQ752" t="inlineStr">
        <is>
          <t>No</t>
        </is>
      </c>
      <c r="AS752">
        <f>HYPERLINK("https://creighton-primo.hosted.exlibrisgroup.com/primo-explore/search?tab=default_tab&amp;search_scope=EVERYTHING&amp;vid=01CRU&amp;lang=en_US&amp;offset=0&amp;query=any,contains,991005223149702656","Catalog Record")</f>
        <v/>
      </c>
      <c r="AT752">
        <f>HYPERLINK("http://www.worldcat.org/oclc/8249318","WorldCat Record")</f>
        <v/>
      </c>
      <c r="AU752" t="inlineStr">
        <is>
          <t>432394:eng</t>
        </is>
      </c>
      <c r="AV752" t="inlineStr">
        <is>
          <t>8249318</t>
        </is>
      </c>
      <c r="AW752" t="inlineStr">
        <is>
          <t>991005223149702656</t>
        </is>
      </c>
      <c r="AX752" t="inlineStr">
        <is>
          <t>991005223149702656</t>
        </is>
      </c>
      <c r="AY752" t="inlineStr">
        <is>
          <t>2261462200002656</t>
        </is>
      </c>
      <c r="AZ752" t="inlineStr">
        <is>
          <t>BOOK</t>
        </is>
      </c>
      <c r="BB752" t="inlineStr">
        <is>
          <t>9780682497718</t>
        </is>
      </c>
      <c r="BC752" t="inlineStr">
        <is>
          <t>32285001478873</t>
        </is>
      </c>
      <c r="BD752" t="inlineStr">
        <is>
          <t>893870723</t>
        </is>
      </c>
    </row>
    <row r="753">
      <c r="A753" t="inlineStr">
        <is>
          <t>No</t>
        </is>
      </c>
      <c r="B753" t="inlineStr">
        <is>
          <t>LB1573 .S547</t>
        </is>
      </c>
      <c r="C753" t="inlineStr">
        <is>
          <t>0                      LB 1573000S  547</t>
        </is>
      </c>
      <c r="D753" t="inlineStr">
        <is>
          <t>Elements of early reading instruction / by R. Baird Shuman.</t>
        </is>
      </c>
      <c r="F753" t="inlineStr">
        <is>
          <t>No</t>
        </is>
      </c>
      <c r="G753" t="inlineStr">
        <is>
          <t>1</t>
        </is>
      </c>
      <c r="H753" t="inlineStr">
        <is>
          <t>No</t>
        </is>
      </c>
      <c r="I753" t="inlineStr">
        <is>
          <t>No</t>
        </is>
      </c>
      <c r="J753" t="inlineStr">
        <is>
          <t>0</t>
        </is>
      </c>
      <c r="K753" t="inlineStr">
        <is>
          <t>Shuman, R. Baird (Robert Baird), 1929-2013.</t>
        </is>
      </c>
      <c r="L753" t="inlineStr">
        <is>
          <t>Washington : National Education Association, c1979.</t>
        </is>
      </c>
      <c r="M753" t="inlineStr">
        <is>
          <t>1979</t>
        </is>
      </c>
      <c r="O753" t="inlineStr">
        <is>
          <t>eng</t>
        </is>
      </c>
      <c r="P753" t="inlineStr">
        <is>
          <t>dcu</t>
        </is>
      </c>
      <c r="Q753" t="inlineStr">
        <is>
          <t>Professional studies</t>
        </is>
      </c>
      <c r="R753" t="inlineStr">
        <is>
          <t xml:space="preserve">LB </t>
        </is>
      </c>
      <c r="S753" t="n">
        <v>4</v>
      </c>
      <c r="T753" t="n">
        <v>4</v>
      </c>
      <c r="U753" t="inlineStr">
        <is>
          <t>1996-09-16</t>
        </is>
      </c>
      <c r="V753" t="inlineStr">
        <is>
          <t>1996-09-16</t>
        </is>
      </c>
      <c r="W753" t="inlineStr">
        <is>
          <t>1993-01-27</t>
        </is>
      </c>
      <c r="X753" t="inlineStr">
        <is>
          <t>1993-01-27</t>
        </is>
      </c>
      <c r="Y753" t="n">
        <v>304</v>
      </c>
      <c r="Z753" t="n">
        <v>293</v>
      </c>
      <c r="AA753" t="n">
        <v>296</v>
      </c>
      <c r="AB753" t="n">
        <v>4</v>
      </c>
      <c r="AC753" t="n">
        <v>4</v>
      </c>
      <c r="AD753" t="n">
        <v>9</v>
      </c>
      <c r="AE753" t="n">
        <v>9</v>
      </c>
      <c r="AF753" t="n">
        <v>4</v>
      </c>
      <c r="AG753" t="n">
        <v>4</v>
      </c>
      <c r="AH753" t="n">
        <v>2</v>
      </c>
      <c r="AI753" t="n">
        <v>2</v>
      </c>
      <c r="AJ753" t="n">
        <v>3</v>
      </c>
      <c r="AK753" t="n">
        <v>3</v>
      </c>
      <c r="AL753" t="n">
        <v>3</v>
      </c>
      <c r="AM753" t="n">
        <v>3</v>
      </c>
      <c r="AN753" t="n">
        <v>0</v>
      </c>
      <c r="AO753" t="n">
        <v>0</v>
      </c>
      <c r="AP753" t="inlineStr">
        <is>
          <t>No</t>
        </is>
      </c>
      <c r="AQ753" t="inlineStr">
        <is>
          <t>Yes</t>
        </is>
      </c>
      <c r="AR753">
        <f>HYPERLINK("http://catalog.hathitrust.org/Record/000298882","HathiTrust Record")</f>
        <v/>
      </c>
      <c r="AS753">
        <f>HYPERLINK("https://creighton-primo.hosted.exlibrisgroup.com/primo-explore/search?tab=default_tab&amp;search_scope=EVERYTHING&amp;vid=01CRU&amp;lang=en_US&amp;offset=0&amp;query=any,contains,991004728399702656","Catalog Record")</f>
        <v/>
      </c>
      <c r="AT753">
        <f>HYPERLINK("http://www.worldcat.org/oclc/4831728","WorldCat Record")</f>
        <v/>
      </c>
      <c r="AU753" t="inlineStr">
        <is>
          <t>15058083:eng</t>
        </is>
      </c>
      <c r="AV753" t="inlineStr">
        <is>
          <t>4831728</t>
        </is>
      </c>
      <c r="AW753" t="inlineStr">
        <is>
          <t>991004728399702656</t>
        </is>
      </c>
      <c r="AX753" t="inlineStr">
        <is>
          <t>991004728399702656</t>
        </is>
      </c>
      <c r="AY753" t="inlineStr">
        <is>
          <t>2265650810002656</t>
        </is>
      </c>
      <c r="AZ753" t="inlineStr">
        <is>
          <t>BOOK</t>
        </is>
      </c>
      <c r="BB753" t="inlineStr">
        <is>
          <t>9780810616233</t>
        </is>
      </c>
      <c r="BC753" t="inlineStr">
        <is>
          <t>32285001478899</t>
        </is>
      </c>
      <c r="BD753" t="inlineStr">
        <is>
          <t>893507163</t>
        </is>
      </c>
    </row>
    <row r="754">
      <c r="A754" t="inlineStr">
        <is>
          <t>No</t>
        </is>
      </c>
      <c r="B754" t="inlineStr">
        <is>
          <t>LB1573 .W364 2004</t>
        </is>
      </c>
      <c r="C754" t="inlineStr">
        <is>
          <t>0                      LB 1573000W  364         2004</t>
        </is>
      </c>
      <c r="D754" t="inlineStr">
        <is>
          <t>The literacy coach's handbook : a guide to research-based practice / Sharon Walpole, Michael C. McKenna.</t>
        </is>
      </c>
      <c r="F754" t="inlineStr">
        <is>
          <t>No</t>
        </is>
      </c>
      <c r="G754" t="inlineStr">
        <is>
          <t>1</t>
        </is>
      </c>
      <c r="H754" t="inlineStr">
        <is>
          <t>No</t>
        </is>
      </c>
      <c r="I754" t="inlineStr">
        <is>
          <t>No</t>
        </is>
      </c>
      <c r="J754" t="inlineStr">
        <is>
          <t>0</t>
        </is>
      </c>
      <c r="K754" t="inlineStr">
        <is>
          <t>Walpole, Sharon.</t>
        </is>
      </c>
      <c r="L754" t="inlineStr">
        <is>
          <t>New York : Guilford Press, c2004.</t>
        </is>
      </c>
      <c r="M754" t="inlineStr">
        <is>
          <t>2004</t>
        </is>
      </c>
      <c r="O754" t="inlineStr">
        <is>
          <t>eng</t>
        </is>
      </c>
      <c r="P754" t="inlineStr">
        <is>
          <t>nyu</t>
        </is>
      </c>
      <c r="Q754" t="inlineStr">
        <is>
          <t>Solving problems in the teaching of literacy</t>
        </is>
      </c>
      <c r="R754" t="inlineStr">
        <is>
          <t xml:space="preserve">LB </t>
        </is>
      </c>
      <c r="S754" t="n">
        <v>3</v>
      </c>
      <c r="T754" t="n">
        <v>3</v>
      </c>
      <c r="U754" t="inlineStr">
        <is>
          <t>2006-09-30</t>
        </is>
      </c>
      <c r="V754" t="inlineStr">
        <is>
          <t>2006-09-30</t>
        </is>
      </c>
      <c r="W754" t="inlineStr">
        <is>
          <t>2004-07-21</t>
        </is>
      </c>
      <c r="X754" t="inlineStr">
        <is>
          <t>2004-07-21</t>
        </is>
      </c>
      <c r="Y754" t="n">
        <v>355</v>
      </c>
      <c r="Z754" t="n">
        <v>297</v>
      </c>
      <c r="AA754" t="n">
        <v>438</v>
      </c>
      <c r="AB754" t="n">
        <v>4</v>
      </c>
      <c r="AC754" t="n">
        <v>4</v>
      </c>
      <c r="AD754" t="n">
        <v>11</v>
      </c>
      <c r="AE754" t="n">
        <v>16</v>
      </c>
      <c r="AF754" t="n">
        <v>3</v>
      </c>
      <c r="AG754" t="n">
        <v>4</v>
      </c>
      <c r="AH754" t="n">
        <v>1</v>
      </c>
      <c r="AI754" t="n">
        <v>3</v>
      </c>
      <c r="AJ754" t="n">
        <v>6</v>
      </c>
      <c r="AK754" t="n">
        <v>8</v>
      </c>
      <c r="AL754" t="n">
        <v>3</v>
      </c>
      <c r="AM754" t="n">
        <v>3</v>
      </c>
      <c r="AN754" t="n">
        <v>0</v>
      </c>
      <c r="AO754" t="n">
        <v>1</v>
      </c>
      <c r="AP754" t="inlineStr">
        <is>
          <t>No</t>
        </is>
      </c>
      <c r="AQ754" t="inlineStr">
        <is>
          <t>No</t>
        </is>
      </c>
      <c r="AS754">
        <f>HYPERLINK("https://creighton-primo.hosted.exlibrisgroup.com/primo-explore/search?tab=default_tab&amp;search_scope=EVERYTHING&amp;vid=01CRU&amp;lang=en_US&amp;offset=0&amp;query=any,contains,991004314949702656","Catalog Record")</f>
        <v/>
      </c>
      <c r="AT754">
        <f>HYPERLINK("http://www.worldcat.org/oclc/54454869","WorldCat Record")</f>
        <v/>
      </c>
      <c r="AU754" t="inlineStr">
        <is>
          <t>800141769:eng</t>
        </is>
      </c>
      <c r="AV754" t="inlineStr">
        <is>
          <t>54454869</t>
        </is>
      </c>
      <c r="AW754" t="inlineStr">
        <is>
          <t>991004314949702656</t>
        </is>
      </c>
      <c r="AX754" t="inlineStr">
        <is>
          <t>991004314949702656</t>
        </is>
      </c>
      <c r="AY754" t="inlineStr">
        <is>
          <t>2258388820002656</t>
        </is>
      </c>
      <c r="AZ754" t="inlineStr">
        <is>
          <t>BOOK</t>
        </is>
      </c>
      <c r="BB754" t="inlineStr">
        <is>
          <t>9781593850340</t>
        </is>
      </c>
      <c r="BC754" t="inlineStr">
        <is>
          <t>32285004924584</t>
        </is>
      </c>
      <c r="BD754" t="inlineStr">
        <is>
          <t>893888553</t>
        </is>
      </c>
    </row>
    <row r="755">
      <c r="A755" t="inlineStr">
        <is>
          <t>No</t>
        </is>
      </c>
      <c r="B755" t="inlineStr">
        <is>
          <t>LB1573.3 .C86 1995</t>
        </is>
      </c>
      <c r="C755" t="inlineStr">
        <is>
          <t>0                      LB 1573300C  86          1995</t>
        </is>
      </c>
      <c r="D755" t="inlineStr">
        <is>
          <t>Phonics they use : words for reading and writing / Patricia M. Cunningham.</t>
        </is>
      </c>
      <c r="F755" t="inlineStr">
        <is>
          <t>No</t>
        </is>
      </c>
      <c r="G755" t="inlineStr">
        <is>
          <t>1</t>
        </is>
      </c>
      <c r="H755" t="inlineStr">
        <is>
          <t>No</t>
        </is>
      </c>
      <c r="I755" t="inlineStr">
        <is>
          <t>No</t>
        </is>
      </c>
      <c r="J755" t="inlineStr">
        <is>
          <t>0</t>
        </is>
      </c>
      <c r="K755" t="inlineStr">
        <is>
          <t>Cunningham, Patricia Marr.</t>
        </is>
      </c>
      <c r="L755" t="inlineStr">
        <is>
          <t>New York : HarperCollins College Publishers, c1995.</t>
        </is>
      </c>
      <c r="M755" t="inlineStr">
        <is>
          <t>1995</t>
        </is>
      </c>
      <c r="N755" t="inlineStr">
        <is>
          <t>2nd ed.</t>
        </is>
      </c>
      <c r="O755" t="inlineStr">
        <is>
          <t>eng</t>
        </is>
      </c>
      <c r="P755" t="inlineStr">
        <is>
          <t>nyu</t>
        </is>
      </c>
      <c r="R755" t="inlineStr">
        <is>
          <t xml:space="preserve">LB </t>
        </is>
      </c>
      <c r="S755" t="n">
        <v>4</v>
      </c>
      <c r="T755" t="n">
        <v>4</v>
      </c>
      <c r="U755" t="inlineStr">
        <is>
          <t>2010-03-27</t>
        </is>
      </c>
      <c r="V755" t="inlineStr">
        <is>
          <t>2010-03-27</t>
        </is>
      </c>
      <c r="W755" t="inlineStr">
        <is>
          <t>2006-11-06</t>
        </is>
      </c>
      <c r="X755" t="inlineStr">
        <is>
          <t>2006-11-06</t>
        </is>
      </c>
      <c r="Y755" t="n">
        <v>274</v>
      </c>
      <c r="Z755" t="n">
        <v>245</v>
      </c>
      <c r="AA755" t="n">
        <v>1037</v>
      </c>
      <c r="AB755" t="n">
        <v>4</v>
      </c>
      <c r="AC755" t="n">
        <v>8</v>
      </c>
      <c r="AD755" t="n">
        <v>4</v>
      </c>
      <c r="AE755" t="n">
        <v>27</v>
      </c>
      <c r="AF755" t="n">
        <v>0</v>
      </c>
      <c r="AG755" t="n">
        <v>13</v>
      </c>
      <c r="AH755" t="n">
        <v>1</v>
      </c>
      <c r="AI755" t="n">
        <v>4</v>
      </c>
      <c r="AJ755" t="n">
        <v>2</v>
      </c>
      <c r="AK755" t="n">
        <v>12</v>
      </c>
      <c r="AL755" t="n">
        <v>1</v>
      </c>
      <c r="AM755" t="n">
        <v>5</v>
      </c>
      <c r="AN755" t="n">
        <v>0</v>
      </c>
      <c r="AO755" t="n">
        <v>0</v>
      </c>
      <c r="AP755" t="inlineStr">
        <is>
          <t>No</t>
        </is>
      </c>
      <c r="AQ755" t="inlineStr">
        <is>
          <t>No</t>
        </is>
      </c>
      <c r="AS755">
        <f>HYPERLINK("https://creighton-primo.hosted.exlibrisgroup.com/primo-explore/search?tab=default_tab&amp;search_scope=EVERYTHING&amp;vid=01CRU&amp;lang=en_US&amp;offset=0&amp;query=any,contains,991004968779702656","Catalog Record")</f>
        <v/>
      </c>
      <c r="AT755">
        <f>HYPERLINK("http://www.worldcat.org/oclc/31077558","WorldCat Record")</f>
        <v/>
      </c>
      <c r="AU755" t="inlineStr">
        <is>
          <t>990692:eng</t>
        </is>
      </c>
      <c r="AV755" t="inlineStr">
        <is>
          <t>31077558</t>
        </is>
      </c>
      <c r="AW755" t="inlineStr">
        <is>
          <t>991004968779702656</t>
        </is>
      </c>
      <c r="AX755" t="inlineStr">
        <is>
          <t>991004968779702656</t>
        </is>
      </c>
      <c r="AY755" t="inlineStr">
        <is>
          <t>2272346520002656</t>
        </is>
      </c>
      <c r="AZ755" t="inlineStr">
        <is>
          <t>BOOK</t>
        </is>
      </c>
      <c r="BB755" t="inlineStr">
        <is>
          <t>9780673990877</t>
        </is>
      </c>
      <c r="BC755" t="inlineStr">
        <is>
          <t>32285005236814</t>
        </is>
      </c>
      <c r="BD755" t="inlineStr">
        <is>
          <t>893625290</t>
        </is>
      </c>
    </row>
    <row r="756">
      <c r="A756" t="inlineStr">
        <is>
          <t>No</t>
        </is>
      </c>
      <c r="B756" t="inlineStr">
        <is>
          <t>LB1573.3 .G66 1993</t>
        </is>
      </c>
      <c r="C756" t="inlineStr">
        <is>
          <t>0                      LB 1573300G  66          1993</t>
        </is>
      </c>
      <c r="D756" t="inlineStr">
        <is>
          <t>Phonics phacts / Ken Goodman.</t>
        </is>
      </c>
      <c r="F756" t="inlineStr">
        <is>
          <t>No</t>
        </is>
      </c>
      <c r="G756" t="inlineStr">
        <is>
          <t>1</t>
        </is>
      </c>
      <c r="H756" t="inlineStr">
        <is>
          <t>No</t>
        </is>
      </c>
      <c r="I756" t="inlineStr">
        <is>
          <t>No</t>
        </is>
      </c>
      <c r="J756" t="inlineStr">
        <is>
          <t>0</t>
        </is>
      </c>
      <c r="K756" t="inlineStr">
        <is>
          <t>Goodman, Kenneth S.</t>
        </is>
      </c>
      <c r="L756" t="inlineStr">
        <is>
          <t>Portsmouth, N.H. : Heinemann, c1993.</t>
        </is>
      </c>
      <c r="M756" t="inlineStr">
        <is>
          <t>1993</t>
        </is>
      </c>
      <c r="O756" t="inlineStr">
        <is>
          <t>eng</t>
        </is>
      </c>
      <c r="P756" t="inlineStr">
        <is>
          <t>nhu</t>
        </is>
      </c>
      <c r="R756" t="inlineStr">
        <is>
          <t xml:space="preserve">LB </t>
        </is>
      </c>
      <c r="S756" t="n">
        <v>17</v>
      </c>
      <c r="T756" t="n">
        <v>17</v>
      </c>
      <c r="U756" t="inlineStr">
        <is>
          <t>2008-12-03</t>
        </is>
      </c>
      <c r="V756" t="inlineStr">
        <is>
          <t>2008-12-03</t>
        </is>
      </c>
      <c r="W756" t="inlineStr">
        <is>
          <t>1994-07-29</t>
        </is>
      </c>
      <c r="X756" t="inlineStr">
        <is>
          <t>1994-07-29</t>
        </is>
      </c>
      <c r="Y756" t="n">
        <v>433</v>
      </c>
      <c r="Z756" t="n">
        <v>415</v>
      </c>
      <c r="AA756" t="n">
        <v>433</v>
      </c>
      <c r="AB756" t="n">
        <v>7</v>
      </c>
      <c r="AC756" t="n">
        <v>7</v>
      </c>
      <c r="AD756" t="n">
        <v>24</v>
      </c>
      <c r="AE756" t="n">
        <v>24</v>
      </c>
      <c r="AF756" t="n">
        <v>9</v>
      </c>
      <c r="AG756" t="n">
        <v>9</v>
      </c>
      <c r="AH756" t="n">
        <v>4</v>
      </c>
      <c r="AI756" t="n">
        <v>4</v>
      </c>
      <c r="AJ756" t="n">
        <v>10</v>
      </c>
      <c r="AK756" t="n">
        <v>10</v>
      </c>
      <c r="AL756" t="n">
        <v>6</v>
      </c>
      <c r="AM756" t="n">
        <v>6</v>
      </c>
      <c r="AN756" t="n">
        <v>0</v>
      </c>
      <c r="AO756" t="n">
        <v>0</v>
      </c>
      <c r="AP756" t="inlineStr">
        <is>
          <t>No</t>
        </is>
      </c>
      <c r="AQ756" t="inlineStr">
        <is>
          <t>No</t>
        </is>
      </c>
      <c r="AS756">
        <f>HYPERLINK("https://creighton-primo.hosted.exlibrisgroup.com/primo-explore/search?tab=default_tab&amp;search_scope=EVERYTHING&amp;vid=01CRU&amp;lang=en_US&amp;offset=0&amp;query=any,contains,991002237629702656","Catalog Record")</f>
        <v/>
      </c>
      <c r="AT756">
        <f>HYPERLINK("http://www.worldcat.org/oclc/28853869","WorldCat Record")</f>
        <v/>
      </c>
      <c r="AU756" t="inlineStr">
        <is>
          <t>30925412:eng</t>
        </is>
      </c>
      <c r="AV756" t="inlineStr">
        <is>
          <t>28853869</t>
        </is>
      </c>
      <c r="AW756" t="inlineStr">
        <is>
          <t>991002237629702656</t>
        </is>
      </c>
      <c r="AX756" t="inlineStr">
        <is>
          <t>991002237629702656</t>
        </is>
      </c>
      <c r="AY756" t="inlineStr">
        <is>
          <t>2263306090002656</t>
        </is>
      </c>
      <c r="AZ756" t="inlineStr">
        <is>
          <t>BOOK</t>
        </is>
      </c>
      <c r="BB756" t="inlineStr">
        <is>
          <t>9780435088101</t>
        </is>
      </c>
      <c r="BC756" t="inlineStr">
        <is>
          <t>32285001934420</t>
        </is>
      </c>
      <c r="BD756" t="inlineStr">
        <is>
          <t>893685125</t>
        </is>
      </c>
    </row>
    <row r="757">
      <c r="A757" t="inlineStr">
        <is>
          <t>No</t>
        </is>
      </c>
      <c r="B757" t="inlineStr">
        <is>
          <t>LB1573.3 .H44 1998</t>
        </is>
      </c>
      <c r="C757" t="inlineStr">
        <is>
          <t>0                      LB 1573300H  44          1998</t>
        </is>
      </c>
      <c r="D757" t="inlineStr">
        <is>
          <t>Phonics in proper perspective / Arthur W. Heilman.</t>
        </is>
      </c>
      <c r="F757" t="inlineStr">
        <is>
          <t>No</t>
        </is>
      </c>
      <c r="G757" t="inlineStr">
        <is>
          <t>1</t>
        </is>
      </c>
      <c r="H757" t="inlineStr">
        <is>
          <t>No</t>
        </is>
      </c>
      <c r="I757" t="inlineStr">
        <is>
          <t>No</t>
        </is>
      </c>
      <c r="J757" t="inlineStr">
        <is>
          <t>0</t>
        </is>
      </c>
      <c r="K757" t="inlineStr">
        <is>
          <t>Heilman, Arthur W.</t>
        </is>
      </c>
      <c r="L757" t="inlineStr">
        <is>
          <t>Upper Saddle River, N.J. : Merrill, c1998.</t>
        </is>
      </c>
      <c r="M757" t="inlineStr">
        <is>
          <t>1998</t>
        </is>
      </c>
      <c r="N757" t="inlineStr">
        <is>
          <t>8th ed.</t>
        </is>
      </c>
      <c r="O757" t="inlineStr">
        <is>
          <t>eng</t>
        </is>
      </c>
      <c r="P757" t="inlineStr">
        <is>
          <t>nju</t>
        </is>
      </c>
      <c r="R757" t="inlineStr">
        <is>
          <t xml:space="preserve">LB </t>
        </is>
      </c>
      <c r="S757" t="n">
        <v>1</v>
      </c>
      <c r="T757" t="n">
        <v>1</v>
      </c>
      <c r="U757" t="inlineStr">
        <is>
          <t>2006-11-07</t>
        </is>
      </c>
      <c r="V757" t="inlineStr">
        <is>
          <t>2006-11-07</t>
        </is>
      </c>
      <c r="W757" t="inlineStr">
        <is>
          <t>2006-11-07</t>
        </is>
      </c>
      <c r="X757" t="inlineStr">
        <is>
          <t>2006-11-07</t>
        </is>
      </c>
      <c r="Y757" t="n">
        <v>175</v>
      </c>
      <c r="Z757" t="n">
        <v>154</v>
      </c>
      <c r="AA757" t="n">
        <v>1102</v>
      </c>
      <c r="AB757" t="n">
        <v>2</v>
      </c>
      <c r="AC757" t="n">
        <v>13</v>
      </c>
      <c r="AD757" t="n">
        <v>4</v>
      </c>
      <c r="AE757" t="n">
        <v>48</v>
      </c>
      <c r="AF757" t="n">
        <v>3</v>
      </c>
      <c r="AG757" t="n">
        <v>19</v>
      </c>
      <c r="AH757" t="n">
        <v>0</v>
      </c>
      <c r="AI757" t="n">
        <v>9</v>
      </c>
      <c r="AJ757" t="n">
        <v>2</v>
      </c>
      <c r="AK757" t="n">
        <v>20</v>
      </c>
      <c r="AL757" t="n">
        <v>1</v>
      </c>
      <c r="AM757" t="n">
        <v>11</v>
      </c>
      <c r="AN757" t="n">
        <v>0</v>
      </c>
      <c r="AO757" t="n">
        <v>0</v>
      </c>
      <c r="AP757" t="inlineStr">
        <is>
          <t>No</t>
        </is>
      </c>
      <c r="AQ757" t="inlineStr">
        <is>
          <t>Yes</t>
        </is>
      </c>
      <c r="AR757">
        <f>HYPERLINK("http://catalog.hathitrust.org/Record/008326913","HathiTrust Record")</f>
        <v/>
      </c>
      <c r="AS757">
        <f>HYPERLINK("https://creighton-primo.hosted.exlibrisgroup.com/primo-explore/search?tab=default_tab&amp;search_scope=EVERYTHING&amp;vid=01CRU&amp;lang=en_US&amp;offset=0&amp;query=any,contains,991004971129702656","Catalog Record")</f>
        <v/>
      </c>
      <c r="AT757">
        <f>HYPERLINK("http://www.worldcat.org/oclc/35822520","WorldCat Record")</f>
        <v/>
      </c>
      <c r="AU757" t="inlineStr">
        <is>
          <t>872318:eng</t>
        </is>
      </c>
      <c r="AV757" t="inlineStr">
        <is>
          <t>35822520</t>
        </is>
      </c>
      <c r="AW757" t="inlineStr">
        <is>
          <t>991004971129702656</t>
        </is>
      </c>
      <c r="AX757" t="inlineStr">
        <is>
          <t>991004971129702656</t>
        </is>
      </c>
      <c r="AY757" t="inlineStr">
        <is>
          <t>2260899720002656</t>
        </is>
      </c>
      <c r="AZ757" t="inlineStr">
        <is>
          <t>BOOK</t>
        </is>
      </c>
      <c r="BB757" t="inlineStr">
        <is>
          <t>9780136146452</t>
        </is>
      </c>
      <c r="BC757" t="inlineStr">
        <is>
          <t>32285005236707</t>
        </is>
      </c>
      <c r="BD757" t="inlineStr">
        <is>
          <t>893344464</t>
        </is>
      </c>
    </row>
    <row r="758">
      <c r="A758" t="inlineStr">
        <is>
          <t>No</t>
        </is>
      </c>
      <c r="B758" t="inlineStr">
        <is>
          <t>LB1573.33 .A53 1984</t>
        </is>
      </c>
      <c r="C758" t="inlineStr">
        <is>
          <t>0                      LB 1573330A  53          1984</t>
        </is>
      </c>
      <c r="D758" t="inlineStr">
        <is>
          <t>A whole language approach to reading / Gordon S. Anderson.</t>
        </is>
      </c>
      <c r="F758" t="inlineStr">
        <is>
          <t>No</t>
        </is>
      </c>
      <c r="G758" t="inlineStr">
        <is>
          <t>1</t>
        </is>
      </c>
      <c r="H758" t="inlineStr">
        <is>
          <t>No</t>
        </is>
      </c>
      <c r="I758" t="inlineStr">
        <is>
          <t>No</t>
        </is>
      </c>
      <c r="J758" t="inlineStr">
        <is>
          <t>0</t>
        </is>
      </c>
      <c r="K758" t="inlineStr">
        <is>
          <t>Anderson, Gordon S., 1930-</t>
        </is>
      </c>
      <c r="L758" t="inlineStr">
        <is>
          <t>Lanham : University Press of America, c1984.</t>
        </is>
      </c>
      <c r="M758" t="inlineStr">
        <is>
          <t>1984</t>
        </is>
      </c>
      <c r="O758" t="inlineStr">
        <is>
          <t>eng</t>
        </is>
      </c>
      <c r="P758" t="inlineStr">
        <is>
          <t>mdu</t>
        </is>
      </c>
      <c r="R758" t="inlineStr">
        <is>
          <t xml:space="preserve">LB </t>
        </is>
      </c>
      <c r="S758" t="n">
        <v>7</v>
      </c>
      <c r="T758" t="n">
        <v>7</v>
      </c>
      <c r="U758" t="inlineStr">
        <is>
          <t>1997-02-18</t>
        </is>
      </c>
      <c r="V758" t="inlineStr">
        <is>
          <t>1997-02-18</t>
        </is>
      </c>
      <c r="W758" t="inlineStr">
        <is>
          <t>1990-07-10</t>
        </is>
      </c>
      <c r="X758" t="inlineStr">
        <is>
          <t>1990-07-10</t>
        </is>
      </c>
      <c r="Y758" t="n">
        <v>332</v>
      </c>
      <c r="Z758" t="n">
        <v>294</v>
      </c>
      <c r="AA758" t="n">
        <v>295</v>
      </c>
      <c r="AB758" t="n">
        <v>5</v>
      </c>
      <c r="AC758" t="n">
        <v>5</v>
      </c>
      <c r="AD758" t="n">
        <v>10</v>
      </c>
      <c r="AE758" t="n">
        <v>10</v>
      </c>
      <c r="AF758" t="n">
        <v>3</v>
      </c>
      <c r="AG758" t="n">
        <v>3</v>
      </c>
      <c r="AH758" t="n">
        <v>2</v>
      </c>
      <c r="AI758" t="n">
        <v>2</v>
      </c>
      <c r="AJ758" t="n">
        <v>4</v>
      </c>
      <c r="AK758" t="n">
        <v>4</v>
      </c>
      <c r="AL758" t="n">
        <v>4</v>
      </c>
      <c r="AM758" t="n">
        <v>4</v>
      </c>
      <c r="AN758" t="n">
        <v>0</v>
      </c>
      <c r="AO758" t="n">
        <v>0</v>
      </c>
      <c r="AP758" t="inlineStr">
        <is>
          <t>No</t>
        </is>
      </c>
      <c r="AQ758" t="inlineStr">
        <is>
          <t>No</t>
        </is>
      </c>
      <c r="AS758">
        <f>HYPERLINK("https://creighton-primo.hosted.exlibrisgroup.com/primo-explore/search?tab=default_tab&amp;search_scope=EVERYTHING&amp;vid=01CRU&amp;lang=en_US&amp;offset=0&amp;query=any,contains,991000465429702656","Catalog Record")</f>
        <v/>
      </c>
      <c r="AT758">
        <f>HYPERLINK("http://www.worldcat.org/oclc/10951301","WorldCat Record")</f>
        <v/>
      </c>
      <c r="AU758" t="inlineStr">
        <is>
          <t>428495573:eng</t>
        </is>
      </c>
      <c r="AV758" t="inlineStr">
        <is>
          <t>10951301</t>
        </is>
      </c>
      <c r="AW758" t="inlineStr">
        <is>
          <t>991000465429702656</t>
        </is>
      </c>
      <c r="AX758" t="inlineStr">
        <is>
          <t>991000465429702656</t>
        </is>
      </c>
      <c r="AY758" t="inlineStr">
        <is>
          <t>2258477810002656</t>
        </is>
      </c>
      <c r="AZ758" t="inlineStr">
        <is>
          <t>BOOK</t>
        </is>
      </c>
      <c r="BB758" t="inlineStr">
        <is>
          <t>9780819141972</t>
        </is>
      </c>
      <c r="BC758" t="inlineStr">
        <is>
          <t>32285000223007</t>
        </is>
      </c>
      <c r="BD758" t="inlineStr">
        <is>
          <t>893878064</t>
        </is>
      </c>
    </row>
    <row r="759">
      <c r="A759" t="inlineStr">
        <is>
          <t>No</t>
        </is>
      </c>
      <c r="B759" t="inlineStr">
        <is>
          <t>LB1573.33 .E44 1992</t>
        </is>
      </c>
      <c r="C759" t="inlineStr">
        <is>
          <t>0                      LB 1573330E  44          1992</t>
        </is>
      </c>
      <c r="D759" t="inlineStr">
        <is>
          <t>Whole language evaluation : reading, writing and spelling for the intermediate grades / by Jill Eggleton.</t>
        </is>
      </c>
      <c r="F759" t="inlineStr">
        <is>
          <t>No</t>
        </is>
      </c>
      <c r="G759" t="inlineStr">
        <is>
          <t>1</t>
        </is>
      </c>
      <c r="H759" t="inlineStr">
        <is>
          <t>No</t>
        </is>
      </c>
      <c r="I759" t="inlineStr">
        <is>
          <t>No</t>
        </is>
      </c>
      <c r="J759" t="inlineStr">
        <is>
          <t>0</t>
        </is>
      </c>
      <c r="K759" t="inlineStr">
        <is>
          <t>Eggleton, Jill.</t>
        </is>
      </c>
      <c r="L759" t="inlineStr">
        <is>
          <t>Bothell, Wash. : The Wright Group, 1992.</t>
        </is>
      </c>
      <c r="M759" t="inlineStr">
        <is>
          <t>1992</t>
        </is>
      </c>
      <c r="O759" t="inlineStr">
        <is>
          <t>eng</t>
        </is>
      </c>
      <c r="P759" t="inlineStr">
        <is>
          <t>wau</t>
        </is>
      </c>
      <c r="R759" t="inlineStr">
        <is>
          <t xml:space="preserve">LB </t>
        </is>
      </c>
      <c r="S759" t="n">
        <v>2</v>
      </c>
      <c r="T759" t="n">
        <v>2</v>
      </c>
      <c r="U759" t="inlineStr">
        <is>
          <t>1997-01-30</t>
        </is>
      </c>
      <c r="V759" t="inlineStr">
        <is>
          <t>1997-01-30</t>
        </is>
      </c>
      <c r="W759" t="inlineStr">
        <is>
          <t>1994-04-18</t>
        </is>
      </c>
      <c r="X759" t="inlineStr">
        <is>
          <t>1994-04-18</t>
        </is>
      </c>
      <c r="Y759" t="n">
        <v>54</v>
      </c>
      <c r="Z759" t="n">
        <v>54</v>
      </c>
      <c r="AA759" t="n">
        <v>54</v>
      </c>
      <c r="AB759" t="n">
        <v>1</v>
      </c>
      <c r="AC759" t="n">
        <v>1</v>
      </c>
      <c r="AD759" t="n">
        <v>3</v>
      </c>
      <c r="AE759" t="n">
        <v>3</v>
      </c>
      <c r="AF759" t="n">
        <v>1</v>
      </c>
      <c r="AG759" t="n">
        <v>1</v>
      </c>
      <c r="AH759" t="n">
        <v>0</v>
      </c>
      <c r="AI759" t="n">
        <v>0</v>
      </c>
      <c r="AJ759" t="n">
        <v>2</v>
      </c>
      <c r="AK759" t="n">
        <v>2</v>
      </c>
      <c r="AL759" t="n">
        <v>0</v>
      </c>
      <c r="AM759" t="n">
        <v>0</v>
      </c>
      <c r="AN759" t="n">
        <v>0</v>
      </c>
      <c r="AO759" t="n">
        <v>0</v>
      </c>
      <c r="AP759" t="inlineStr">
        <is>
          <t>No</t>
        </is>
      </c>
      <c r="AQ759" t="inlineStr">
        <is>
          <t>No</t>
        </is>
      </c>
      <c r="AS759">
        <f>HYPERLINK("https://creighton-primo.hosted.exlibrisgroup.com/primo-explore/search?tab=default_tab&amp;search_scope=EVERYTHING&amp;vid=01CRU&amp;lang=en_US&amp;offset=0&amp;query=any,contains,991001991659702656","Catalog Record")</f>
        <v/>
      </c>
      <c r="AT759">
        <f>HYPERLINK("http://www.worldcat.org/oclc/25311068","WorldCat Record")</f>
        <v/>
      </c>
      <c r="AU759" t="inlineStr">
        <is>
          <t>3901453171:eng</t>
        </is>
      </c>
      <c r="AV759" t="inlineStr">
        <is>
          <t>25311068</t>
        </is>
      </c>
      <c r="AW759" t="inlineStr">
        <is>
          <t>991001991659702656</t>
        </is>
      </c>
      <c r="AX759" t="inlineStr">
        <is>
          <t>991001991659702656</t>
        </is>
      </c>
      <c r="AY759" t="inlineStr">
        <is>
          <t>2270861040002656</t>
        </is>
      </c>
      <c r="AZ759" t="inlineStr">
        <is>
          <t>BOOK</t>
        </is>
      </c>
      <c r="BB759" t="inlineStr">
        <is>
          <t>9780780204935</t>
        </is>
      </c>
      <c r="BC759" t="inlineStr">
        <is>
          <t>32285001876209</t>
        </is>
      </c>
      <c r="BD759" t="inlineStr">
        <is>
          <t>893615561</t>
        </is>
      </c>
    </row>
    <row r="760">
      <c r="A760" t="inlineStr">
        <is>
          <t>No</t>
        </is>
      </c>
      <c r="B760" t="inlineStr">
        <is>
          <t>LB1573.33 .M36 1990</t>
        </is>
      </c>
      <c r="C760" t="inlineStr">
        <is>
          <t>0                      LB 1573330M  36          1990</t>
        </is>
      </c>
      <c r="D760" t="inlineStr">
        <is>
          <t>Reading and writing in the middle grades : a whole-language view / Gary Manning, Maryann Manning, Roberta Long.</t>
        </is>
      </c>
      <c r="F760" t="inlineStr">
        <is>
          <t>No</t>
        </is>
      </c>
      <c r="G760" t="inlineStr">
        <is>
          <t>1</t>
        </is>
      </c>
      <c r="H760" t="inlineStr">
        <is>
          <t>No</t>
        </is>
      </c>
      <c r="I760" t="inlineStr">
        <is>
          <t>No</t>
        </is>
      </c>
      <c r="J760" t="inlineStr">
        <is>
          <t>0</t>
        </is>
      </c>
      <c r="K760" t="inlineStr">
        <is>
          <t>Manning, Gary L.</t>
        </is>
      </c>
      <c r="L760" t="inlineStr">
        <is>
          <t>Washington, D.C. : NEA Professional Library, National Education Association, c1990.</t>
        </is>
      </c>
      <c r="M760" t="inlineStr">
        <is>
          <t>1990</t>
        </is>
      </c>
      <c r="O760" t="inlineStr">
        <is>
          <t>eng</t>
        </is>
      </c>
      <c r="P760" t="inlineStr">
        <is>
          <t>dcu</t>
        </is>
      </c>
      <c r="Q760" t="inlineStr">
        <is>
          <t>Analysis and action series</t>
        </is>
      </c>
      <c r="R760" t="inlineStr">
        <is>
          <t xml:space="preserve">LB </t>
        </is>
      </c>
      <c r="S760" t="n">
        <v>3</v>
      </c>
      <c r="T760" t="n">
        <v>3</v>
      </c>
      <c r="U760" t="inlineStr">
        <is>
          <t>1997-01-30</t>
        </is>
      </c>
      <c r="V760" t="inlineStr">
        <is>
          <t>1997-01-30</t>
        </is>
      </c>
      <c r="W760" t="inlineStr">
        <is>
          <t>1990-05-17</t>
        </is>
      </c>
      <c r="X760" t="inlineStr">
        <is>
          <t>1990-05-17</t>
        </is>
      </c>
      <c r="Y760" t="n">
        <v>528</v>
      </c>
      <c r="Z760" t="n">
        <v>512</v>
      </c>
      <c r="AA760" t="n">
        <v>519</v>
      </c>
      <c r="AB760" t="n">
        <v>7</v>
      </c>
      <c r="AC760" t="n">
        <v>7</v>
      </c>
      <c r="AD760" t="n">
        <v>25</v>
      </c>
      <c r="AE760" t="n">
        <v>25</v>
      </c>
      <c r="AF760" t="n">
        <v>10</v>
      </c>
      <c r="AG760" t="n">
        <v>10</v>
      </c>
      <c r="AH760" t="n">
        <v>4</v>
      </c>
      <c r="AI760" t="n">
        <v>4</v>
      </c>
      <c r="AJ760" t="n">
        <v>11</v>
      </c>
      <c r="AK760" t="n">
        <v>11</v>
      </c>
      <c r="AL760" t="n">
        <v>6</v>
      </c>
      <c r="AM760" t="n">
        <v>6</v>
      </c>
      <c r="AN760" t="n">
        <v>0</v>
      </c>
      <c r="AO760" t="n">
        <v>0</v>
      </c>
      <c r="AP760" t="inlineStr">
        <is>
          <t>No</t>
        </is>
      </c>
      <c r="AQ760" t="inlineStr">
        <is>
          <t>Yes</t>
        </is>
      </c>
      <c r="AR760">
        <f>HYPERLINK("http://catalog.hathitrust.org/Record/004550462","HathiTrust Record")</f>
        <v/>
      </c>
      <c r="AS760">
        <f>HYPERLINK("https://creighton-primo.hosted.exlibrisgroup.com/primo-explore/search?tab=default_tab&amp;search_scope=EVERYTHING&amp;vid=01CRU&amp;lang=en_US&amp;offset=0&amp;query=any,contains,991001605409702656","Catalog Record")</f>
        <v/>
      </c>
      <c r="AT760">
        <f>HYPERLINK("http://www.worldcat.org/oclc/20691748","WorldCat Record")</f>
        <v/>
      </c>
      <c r="AU760" t="inlineStr">
        <is>
          <t>923337089:eng</t>
        </is>
      </c>
      <c r="AV760" t="inlineStr">
        <is>
          <t>20691748</t>
        </is>
      </c>
      <c r="AW760" t="inlineStr">
        <is>
          <t>991001605409702656</t>
        </is>
      </c>
      <c r="AX760" t="inlineStr">
        <is>
          <t>991001605409702656</t>
        </is>
      </c>
      <c r="AY760" t="inlineStr">
        <is>
          <t>2255188390002656</t>
        </is>
      </c>
      <c r="AZ760" t="inlineStr">
        <is>
          <t>BOOK</t>
        </is>
      </c>
      <c r="BB760" t="inlineStr">
        <is>
          <t>9780810630710</t>
        </is>
      </c>
      <c r="BC760" t="inlineStr">
        <is>
          <t>32285000022318</t>
        </is>
      </c>
      <c r="BD760" t="inlineStr">
        <is>
          <t>893791529</t>
        </is>
      </c>
    </row>
    <row r="761">
      <c r="A761" t="inlineStr">
        <is>
          <t>No</t>
        </is>
      </c>
      <c r="B761" t="inlineStr">
        <is>
          <t>LB1573.33 .M69 1992</t>
        </is>
      </c>
      <c r="C761" t="inlineStr">
        <is>
          <t>0                      LB 1573330M  69          1992</t>
        </is>
      </c>
      <c r="D761" t="inlineStr">
        <is>
          <t>Moving on in whole language / by Brian Cutting.</t>
        </is>
      </c>
      <c r="F761" t="inlineStr">
        <is>
          <t>No</t>
        </is>
      </c>
      <c r="G761" t="inlineStr">
        <is>
          <t>1</t>
        </is>
      </c>
      <c r="H761" t="inlineStr">
        <is>
          <t>No</t>
        </is>
      </c>
      <c r="I761" t="inlineStr">
        <is>
          <t>No</t>
        </is>
      </c>
      <c r="J761" t="inlineStr">
        <is>
          <t>0</t>
        </is>
      </c>
      <c r="K761" t="inlineStr">
        <is>
          <t>Cutting, Brian.</t>
        </is>
      </c>
      <c r="L761" t="inlineStr">
        <is>
          <t>Bothell, WA : The Wright Group, 1992.</t>
        </is>
      </c>
      <c r="M761" t="inlineStr">
        <is>
          <t>1992</t>
        </is>
      </c>
      <c r="O761" t="inlineStr">
        <is>
          <t>eng</t>
        </is>
      </c>
      <c r="P761" t="inlineStr">
        <is>
          <t>wau</t>
        </is>
      </c>
      <c r="R761" t="inlineStr">
        <is>
          <t xml:space="preserve">LB </t>
        </is>
      </c>
      <c r="S761" t="n">
        <v>2</v>
      </c>
      <c r="T761" t="n">
        <v>2</v>
      </c>
      <c r="U761" t="inlineStr">
        <is>
          <t>1997-07-23</t>
        </is>
      </c>
      <c r="V761" t="inlineStr">
        <is>
          <t>1997-07-23</t>
        </is>
      </c>
      <c r="W761" t="inlineStr">
        <is>
          <t>1994-04-18</t>
        </is>
      </c>
      <c r="X761" t="inlineStr">
        <is>
          <t>1994-04-18</t>
        </is>
      </c>
      <c r="Y761" t="n">
        <v>56</v>
      </c>
      <c r="Z761" t="n">
        <v>55</v>
      </c>
      <c r="AA761" t="n">
        <v>56</v>
      </c>
      <c r="AB761" t="n">
        <v>1</v>
      </c>
      <c r="AC761" t="n">
        <v>1</v>
      </c>
      <c r="AD761" t="n">
        <v>3</v>
      </c>
      <c r="AE761" t="n">
        <v>3</v>
      </c>
      <c r="AF761" t="n">
        <v>1</v>
      </c>
      <c r="AG761" t="n">
        <v>1</v>
      </c>
      <c r="AH761" t="n">
        <v>0</v>
      </c>
      <c r="AI761" t="n">
        <v>0</v>
      </c>
      <c r="AJ761" t="n">
        <v>2</v>
      </c>
      <c r="AK761" t="n">
        <v>2</v>
      </c>
      <c r="AL761" t="n">
        <v>0</v>
      </c>
      <c r="AM761" t="n">
        <v>0</v>
      </c>
      <c r="AN761" t="n">
        <v>0</v>
      </c>
      <c r="AO761" t="n">
        <v>0</v>
      </c>
      <c r="AP761" t="inlineStr">
        <is>
          <t>No</t>
        </is>
      </c>
      <c r="AQ761" t="inlineStr">
        <is>
          <t>No</t>
        </is>
      </c>
      <c r="AS761">
        <f>HYPERLINK("https://creighton-primo.hosted.exlibrisgroup.com/primo-explore/search?tab=default_tab&amp;search_scope=EVERYTHING&amp;vid=01CRU&amp;lang=en_US&amp;offset=0&amp;query=any,contains,991001991619702656","Catalog Record")</f>
        <v/>
      </c>
      <c r="AT761">
        <f>HYPERLINK("http://www.worldcat.org/oclc/25311012","WorldCat Record")</f>
        <v/>
      </c>
      <c r="AU761" t="inlineStr">
        <is>
          <t>349919:eng</t>
        </is>
      </c>
      <c r="AV761" t="inlineStr">
        <is>
          <t>25311012</t>
        </is>
      </c>
      <c r="AW761" t="inlineStr">
        <is>
          <t>991001991619702656</t>
        </is>
      </c>
      <c r="AX761" t="inlineStr">
        <is>
          <t>991001991619702656</t>
        </is>
      </c>
      <c r="AY761" t="inlineStr">
        <is>
          <t>2270999010002656</t>
        </is>
      </c>
      <c r="AZ761" t="inlineStr">
        <is>
          <t>BOOK</t>
        </is>
      </c>
      <c r="BB761" t="inlineStr">
        <is>
          <t>9780780204928</t>
        </is>
      </c>
      <c r="BC761" t="inlineStr">
        <is>
          <t>32285001875219</t>
        </is>
      </c>
      <c r="BD761" t="inlineStr">
        <is>
          <t>893328559</t>
        </is>
      </c>
    </row>
    <row r="762">
      <c r="A762" t="inlineStr">
        <is>
          <t>No</t>
        </is>
      </c>
      <c r="B762" t="inlineStr">
        <is>
          <t>LB1573.33 .R67 1991</t>
        </is>
      </c>
      <c r="C762" t="inlineStr">
        <is>
          <t>0                      LB 1573330R  67          1991</t>
        </is>
      </c>
      <c r="D762" t="inlineStr">
        <is>
          <t>Invitations : changing as teachers and learners K-12 / Regie Routman.</t>
        </is>
      </c>
      <c r="F762" t="inlineStr">
        <is>
          <t>No</t>
        </is>
      </c>
      <c r="G762" t="inlineStr">
        <is>
          <t>1</t>
        </is>
      </c>
      <c r="H762" t="inlineStr">
        <is>
          <t>No</t>
        </is>
      </c>
      <c r="I762" t="inlineStr">
        <is>
          <t>No</t>
        </is>
      </c>
      <c r="J762" t="inlineStr">
        <is>
          <t>0</t>
        </is>
      </c>
      <c r="K762" t="inlineStr">
        <is>
          <t>Routman, Regie.</t>
        </is>
      </c>
      <c r="L762" t="inlineStr">
        <is>
          <t>Toronto, Canada : Irwin Pub. ; Portsmouth, NH : Heinemann, c1991.</t>
        </is>
      </c>
      <c r="M762" t="inlineStr">
        <is>
          <t>1991</t>
        </is>
      </c>
      <c r="O762" t="inlineStr">
        <is>
          <t>eng</t>
        </is>
      </c>
      <c r="P762" t="inlineStr">
        <is>
          <t>onc</t>
        </is>
      </c>
      <c r="R762" t="inlineStr">
        <is>
          <t xml:space="preserve">LB </t>
        </is>
      </c>
      <c r="S762" t="n">
        <v>13</v>
      </c>
      <c r="T762" t="n">
        <v>13</v>
      </c>
      <c r="U762" t="inlineStr">
        <is>
          <t>1997-02-23</t>
        </is>
      </c>
      <c r="V762" t="inlineStr">
        <is>
          <t>1997-02-23</t>
        </is>
      </c>
      <c r="W762" t="inlineStr">
        <is>
          <t>1992-01-21</t>
        </is>
      </c>
      <c r="X762" t="inlineStr">
        <is>
          <t>1992-01-21</t>
        </is>
      </c>
      <c r="Y762" t="n">
        <v>610</v>
      </c>
      <c r="Z762" t="n">
        <v>563</v>
      </c>
      <c r="AA762" t="n">
        <v>883</v>
      </c>
      <c r="AB762" t="n">
        <v>7</v>
      </c>
      <c r="AC762" t="n">
        <v>10</v>
      </c>
      <c r="AD762" t="n">
        <v>26</v>
      </c>
      <c r="AE762" t="n">
        <v>34</v>
      </c>
      <c r="AF762" t="n">
        <v>13</v>
      </c>
      <c r="AG762" t="n">
        <v>16</v>
      </c>
      <c r="AH762" t="n">
        <v>6</v>
      </c>
      <c r="AI762" t="n">
        <v>6</v>
      </c>
      <c r="AJ762" t="n">
        <v>10</v>
      </c>
      <c r="AK762" t="n">
        <v>14</v>
      </c>
      <c r="AL762" t="n">
        <v>4</v>
      </c>
      <c r="AM762" t="n">
        <v>6</v>
      </c>
      <c r="AN762" t="n">
        <v>0</v>
      </c>
      <c r="AO762" t="n">
        <v>0</v>
      </c>
      <c r="AP762" t="inlineStr">
        <is>
          <t>No</t>
        </is>
      </c>
      <c r="AQ762" t="inlineStr">
        <is>
          <t>Yes</t>
        </is>
      </c>
      <c r="AR762">
        <f>HYPERLINK("http://catalog.hathitrust.org/Record/002477239","HathiTrust Record")</f>
        <v/>
      </c>
      <c r="AS762">
        <f>HYPERLINK("https://creighton-primo.hosted.exlibrisgroup.com/primo-explore/search?tab=default_tab&amp;search_scope=EVERYTHING&amp;vid=01CRU&amp;lang=en_US&amp;offset=0&amp;query=any,contains,991001841069702656","Catalog Record")</f>
        <v/>
      </c>
      <c r="AT762">
        <f>HYPERLINK("http://www.worldcat.org/oclc/23140448","WorldCat Record")</f>
        <v/>
      </c>
      <c r="AU762" t="inlineStr">
        <is>
          <t>24633535:eng</t>
        </is>
      </c>
      <c r="AV762" t="inlineStr">
        <is>
          <t>23140448</t>
        </is>
      </c>
      <c r="AW762" t="inlineStr">
        <is>
          <t>991001841069702656</t>
        </is>
      </c>
      <c r="AX762" t="inlineStr">
        <is>
          <t>991001841069702656</t>
        </is>
      </c>
      <c r="AY762" t="inlineStr">
        <is>
          <t>2266733230002656</t>
        </is>
      </c>
      <c r="AZ762" t="inlineStr">
        <is>
          <t>BOOK</t>
        </is>
      </c>
      <c r="BB762" t="inlineStr">
        <is>
          <t>9780435085780</t>
        </is>
      </c>
      <c r="BC762" t="inlineStr">
        <is>
          <t>32285000864727</t>
        </is>
      </c>
      <c r="BD762" t="inlineStr">
        <is>
          <t>893609182</t>
        </is>
      </c>
    </row>
    <row r="763">
      <c r="A763" t="inlineStr">
        <is>
          <t>No</t>
        </is>
      </c>
      <c r="B763" t="inlineStr">
        <is>
          <t>LB1573.33 .R68 1988</t>
        </is>
      </c>
      <c r="C763" t="inlineStr">
        <is>
          <t>0                      LB 1573330R  68          1988</t>
        </is>
      </c>
      <c r="D763" t="inlineStr">
        <is>
          <t>Transitions : from literature to literacy / Regie Routman ; [foreword by Andrea Butler].</t>
        </is>
      </c>
      <c r="F763" t="inlineStr">
        <is>
          <t>No</t>
        </is>
      </c>
      <c r="G763" t="inlineStr">
        <is>
          <t>1</t>
        </is>
      </c>
      <c r="H763" t="inlineStr">
        <is>
          <t>No</t>
        </is>
      </c>
      <c r="I763" t="inlineStr">
        <is>
          <t>No</t>
        </is>
      </c>
      <c r="J763" t="inlineStr">
        <is>
          <t>0</t>
        </is>
      </c>
      <c r="K763" t="inlineStr">
        <is>
          <t>Routman, Regie.</t>
        </is>
      </c>
      <c r="L763" t="inlineStr">
        <is>
          <t>Portsmouth, NH : Heinemann ; Melbourne, Australia : Rigby, c1988.</t>
        </is>
      </c>
      <c r="M763" t="inlineStr">
        <is>
          <t>1988</t>
        </is>
      </c>
      <c r="N763" t="inlineStr">
        <is>
          <t>1st ed.</t>
        </is>
      </c>
      <c r="O763" t="inlineStr">
        <is>
          <t>eng</t>
        </is>
      </c>
      <c r="P763" t="inlineStr">
        <is>
          <t>nhu</t>
        </is>
      </c>
      <c r="R763" t="inlineStr">
        <is>
          <t xml:space="preserve">LB </t>
        </is>
      </c>
      <c r="S763" t="n">
        <v>13</v>
      </c>
      <c r="T763" t="n">
        <v>13</v>
      </c>
      <c r="U763" t="inlineStr">
        <is>
          <t>1997-03-20</t>
        </is>
      </c>
      <c r="V763" t="inlineStr">
        <is>
          <t>1997-03-20</t>
        </is>
      </c>
      <c r="W763" t="inlineStr">
        <is>
          <t>1992-01-21</t>
        </is>
      </c>
      <c r="X763" t="inlineStr">
        <is>
          <t>1992-01-21</t>
        </is>
      </c>
      <c r="Y763" t="n">
        <v>730</v>
      </c>
      <c r="Z763" t="n">
        <v>684</v>
      </c>
      <c r="AA763" t="n">
        <v>694</v>
      </c>
      <c r="AB763" t="n">
        <v>8</v>
      </c>
      <c r="AC763" t="n">
        <v>8</v>
      </c>
      <c r="AD763" t="n">
        <v>30</v>
      </c>
      <c r="AE763" t="n">
        <v>30</v>
      </c>
      <c r="AF763" t="n">
        <v>14</v>
      </c>
      <c r="AG763" t="n">
        <v>14</v>
      </c>
      <c r="AH763" t="n">
        <v>5</v>
      </c>
      <c r="AI763" t="n">
        <v>5</v>
      </c>
      <c r="AJ763" t="n">
        <v>14</v>
      </c>
      <c r="AK763" t="n">
        <v>14</v>
      </c>
      <c r="AL763" t="n">
        <v>5</v>
      </c>
      <c r="AM763" t="n">
        <v>5</v>
      </c>
      <c r="AN763" t="n">
        <v>0</v>
      </c>
      <c r="AO763" t="n">
        <v>0</v>
      </c>
      <c r="AP763" t="inlineStr">
        <is>
          <t>No</t>
        </is>
      </c>
      <c r="AQ763" t="inlineStr">
        <is>
          <t>Yes</t>
        </is>
      </c>
      <c r="AR763">
        <f>HYPERLINK("http://catalog.hathitrust.org/Record/004415446","HathiTrust Record")</f>
        <v/>
      </c>
      <c r="AS763">
        <f>HYPERLINK("https://creighton-primo.hosted.exlibrisgroup.com/primo-explore/search?tab=default_tab&amp;search_scope=EVERYTHING&amp;vid=01CRU&amp;lang=en_US&amp;offset=0&amp;query=any,contains,991001241699702656","Catalog Record")</f>
        <v/>
      </c>
      <c r="AT763">
        <f>HYPERLINK("http://www.worldcat.org/oclc/17620359","WorldCat Record")</f>
        <v/>
      </c>
      <c r="AU763" t="inlineStr">
        <is>
          <t>309563309:eng</t>
        </is>
      </c>
      <c r="AV763" t="inlineStr">
        <is>
          <t>17620359</t>
        </is>
      </c>
      <c r="AW763" t="inlineStr">
        <is>
          <t>991001241699702656</t>
        </is>
      </c>
      <c r="AX763" t="inlineStr">
        <is>
          <t>991001241699702656</t>
        </is>
      </c>
      <c r="AY763" t="inlineStr">
        <is>
          <t>2261526770002656</t>
        </is>
      </c>
      <c r="AZ763" t="inlineStr">
        <is>
          <t>BOOK</t>
        </is>
      </c>
      <c r="BB763" t="inlineStr">
        <is>
          <t>9780435084677</t>
        </is>
      </c>
      <c r="BC763" t="inlineStr">
        <is>
          <t>32285000864768</t>
        </is>
      </c>
      <c r="BD763" t="inlineStr">
        <is>
          <t>893590139</t>
        </is>
      </c>
    </row>
    <row r="764">
      <c r="A764" t="inlineStr">
        <is>
          <t>No</t>
        </is>
      </c>
      <c r="B764" t="inlineStr">
        <is>
          <t>LB1573.33 .V35 1991</t>
        </is>
      </c>
      <c r="C764" t="inlineStr">
        <is>
          <t>0                      LB 1573330V  35          1991</t>
        </is>
      </c>
      <c r="D764" t="inlineStr">
        <is>
          <t>Common ground : whole language and phonics working together / Priscilla L. Vail.</t>
        </is>
      </c>
      <c r="F764" t="inlineStr">
        <is>
          <t>No</t>
        </is>
      </c>
      <c r="G764" t="inlineStr">
        <is>
          <t>1</t>
        </is>
      </c>
      <c r="H764" t="inlineStr">
        <is>
          <t>No</t>
        </is>
      </c>
      <c r="I764" t="inlineStr">
        <is>
          <t>No</t>
        </is>
      </c>
      <c r="J764" t="inlineStr">
        <is>
          <t>0</t>
        </is>
      </c>
      <c r="K764" t="inlineStr">
        <is>
          <t>Vail, Priscilla L.</t>
        </is>
      </c>
      <c r="L764" t="inlineStr">
        <is>
          <t>Rosemont, NJ : Modern Learning Press, c1991.</t>
        </is>
      </c>
      <c r="M764" t="inlineStr">
        <is>
          <t>1991</t>
        </is>
      </c>
      <c r="O764" t="inlineStr">
        <is>
          <t>eng</t>
        </is>
      </c>
      <c r="P764" t="inlineStr">
        <is>
          <t>nju</t>
        </is>
      </c>
      <c r="R764" t="inlineStr">
        <is>
          <t xml:space="preserve">LB </t>
        </is>
      </c>
      <c r="S764" t="n">
        <v>5</v>
      </c>
      <c r="T764" t="n">
        <v>5</v>
      </c>
      <c r="U764" t="inlineStr">
        <is>
          <t>1999-09-09</t>
        </is>
      </c>
      <c r="V764" t="inlineStr">
        <is>
          <t>1999-09-09</t>
        </is>
      </c>
      <c r="W764" t="inlineStr">
        <is>
          <t>1995-11-02</t>
        </is>
      </c>
      <c r="X764" t="inlineStr">
        <is>
          <t>1995-11-02</t>
        </is>
      </c>
      <c r="Y764" t="n">
        <v>189</v>
      </c>
      <c r="Z764" t="n">
        <v>180</v>
      </c>
      <c r="AA764" t="n">
        <v>188</v>
      </c>
      <c r="AB764" t="n">
        <v>1</v>
      </c>
      <c r="AC764" t="n">
        <v>1</v>
      </c>
      <c r="AD764" t="n">
        <v>4</v>
      </c>
      <c r="AE764" t="n">
        <v>4</v>
      </c>
      <c r="AF764" t="n">
        <v>3</v>
      </c>
      <c r="AG764" t="n">
        <v>3</v>
      </c>
      <c r="AH764" t="n">
        <v>2</v>
      </c>
      <c r="AI764" t="n">
        <v>2</v>
      </c>
      <c r="AJ764" t="n">
        <v>2</v>
      </c>
      <c r="AK764" t="n">
        <v>2</v>
      </c>
      <c r="AL764" t="n">
        <v>0</v>
      </c>
      <c r="AM764" t="n">
        <v>0</v>
      </c>
      <c r="AN764" t="n">
        <v>0</v>
      </c>
      <c r="AO764" t="n">
        <v>0</v>
      </c>
      <c r="AP764" t="inlineStr">
        <is>
          <t>No</t>
        </is>
      </c>
      <c r="AQ764" t="inlineStr">
        <is>
          <t>Yes</t>
        </is>
      </c>
      <c r="AR764">
        <f>HYPERLINK("http://catalog.hathitrust.org/Record/005074976","HathiTrust Record")</f>
        <v/>
      </c>
      <c r="AS764">
        <f>HYPERLINK("https://creighton-primo.hosted.exlibrisgroup.com/primo-explore/search?tab=default_tab&amp;search_scope=EVERYTHING&amp;vid=01CRU&amp;lang=en_US&amp;offset=0&amp;query=any,contains,991001979149702656","Catalog Record")</f>
        <v/>
      </c>
      <c r="AT764">
        <f>HYPERLINK("http://www.worldcat.org/oclc/25124781","WorldCat Record")</f>
        <v/>
      </c>
      <c r="AU764" t="inlineStr">
        <is>
          <t>27265900:eng</t>
        </is>
      </c>
      <c r="AV764" t="inlineStr">
        <is>
          <t>25124781</t>
        </is>
      </c>
      <c r="AW764" t="inlineStr">
        <is>
          <t>991001979149702656</t>
        </is>
      </c>
      <c r="AX764" t="inlineStr">
        <is>
          <t>991001979149702656</t>
        </is>
      </c>
      <c r="AY764" t="inlineStr">
        <is>
          <t>2268869350002656</t>
        </is>
      </c>
      <c r="AZ764" t="inlineStr">
        <is>
          <t>BOOK</t>
        </is>
      </c>
      <c r="BB764" t="inlineStr">
        <is>
          <t>9780935493276</t>
        </is>
      </c>
      <c r="BC764" t="inlineStr">
        <is>
          <t>32285002100484</t>
        </is>
      </c>
      <c r="BD764" t="inlineStr">
        <is>
          <t>893872956</t>
        </is>
      </c>
    </row>
    <row r="765">
      <c r="A765" t="inlineStr">
        <is>
          <t>No</t>
        </is>
      </c>
      <c r="B765" t="inlineStr">
        <is>
          <t>LB1573.33 .W47 1991</t>
        </is>
      </c>
      <c r="C765" t="inlineStr">
        <is>
          <t>0                      LB 1573330W  47          1991</t>
        </is>
      </c>
      <c r="D765" t="inlineStr">
        <is>
          <t>The Whole language approach to reading and writing instruction.</t>
        </is>
      </c>
      <c r="F765" t="inlineStr">
        <is>
          <t>No</t>
        </is>
      </c>
      <c r="G765" t="inlineStr">
        <is>
          <t>1</t>
        </is>
      </c>
      <c r="H765" t="inlineStr">
        <is>
          <t>No</t>
        </is>
      </c>
      <c r="I765" t="inlineStr">
        <is>
          <t>No</t>
        </is>
      </c>
      <c r="J765" t="inlineStr">
        <is>
          <t>0</t>
        </is>
      </c>
      <c r="L765" t="inlineStr">
        <is>
          <t>Arlington, Va. (2000 Clarendon Blvd., Arlington 22201) : Educational Research Service, c1991.</t>
        </is>
      </c>
      <c r="M765" t="inlineStr">
        <is>
          <t>1991</t>
        </is>
      </c>
      <c r="O765" t="inlineStr">
        <is>
          <t>eng</t>
        </is>
      </c>
      <c r="P765" t="inlineStr">
        <is>
          <t>vau</t>
        </is>
      </c>
      <c r="Q765" t="inlineStr">
        <is>
          <t>ERS what we know about</t>
        </is>
      </c>
      <c r="R765" t="inlineStr">
        <is>
          <t xml:space="preserve">LB </t>
        </is>
      </c>
      <c r="S765" t="n">
        <v>6</v>
      </c>
      <c r="T765" t="n">
        <v>6</v>
      </c>
      <c r="U765" t="inlineStr">
        <is>
          <t>1997-03-25</t>
        </is>
      </c>
      <c r="V765" t="inlineStr">
        <is>
          <t>1997-03-25</t>
        </is>
      </c>
      <c r="W765" t="inlineStr">
        <is>
          <t>1992-01-10</t>
        </is>
      </c>
      <c r="X765" t="inlineStr">
        <is>
          <t>1992-01-10</t>
        </is>
      </c>
      <c r="Y765" t="n">
        <v>59</v>
      </c>
      <c r="Z765" t="n">
        <v>56</v>
      </c>
      <c r="AA765" t="n">
        <v>96</v>
      </c>
      <c r="AB765" t="n">
        <v>1</v>
      </c>
      <c r="AC765" t="n">
        <v>2</v>
      </c>
      <c r="AD765" t="n">
        <v>2</v>
      </c>
      <c r="AE765" t="n">
        <v>3</v>
      </c>
      <c r="AF765" t="n">
        <v>1</v>
      </c>
      <c r="AG765" t="n">
        <v>1</v>
      </c>
      <c r="AH765" t="n">
        <v>0</v>
      </c>
      <c r="AI765" t="n">
        <v>0</v>
      </c>
      <c r="AJ765" t="n">
        <v>1</v>
      </c>
      <c r="AK765" t="n">
        <v>1</v>
      </c>
      <c r="AL765" t="n">
        <v>0</v>
      </c>
      <c r="AM765" t="n">
        <v>1</v>
      </c>
      <c r="AN765" t="n">
        <v>0</v>
      </c>
      <c r="AO765" t="n">
        <v>0</v>
      </c>
      <c r="AP765" t="inlineStr">
        <is>
          <t>No</t>
        </is>
      </c>
      <c r="AQ765" t="inlineStr">
        <is>
          <t>Yes</t>
        </is>
      </c>
      <c r="AR765">
        <f>HYPERLINK("http://catalog.hathitrust.org/Record/101929098","HathiTrust Record")</f>
        <v/>
      </c>
      <c r="AS765">
        <f>HYPERLINK("https://creighton-primo.hosted.exlibrisgroup.com/primo-explore/search?tab=default_tab&amp;search_scope=EVERYTHING&amp;vid=01CRU&amp;lang=en_US&amp;offset=0&amp;query=any,contains,991001946459702656","Catalog Record")</f>
        <v/>
      </c>
      <c r="AT765">
        <f>HYPERLINK("http://www.worldcat.org/oclc/24590538","WorldCat Record")</f>
        <v/>
      </c>
      <c r="AU765" t="inlineStr">
        <is>
          <t>55513590:eng</t>
        </is>
      </c>
      <c r="AV765" t="inlineStr">
        <is>
          <t>24590538</t>
        </is>
      </c>
      <c r="AW765" t="inlineStr">
        <is>
          <t>991001946459702656</t>
        </is>
      </c>
      <c r="AX765" t="inlineStr">
        <is>
          <t>991001946459702656</t>
        </is>
      </c>
      <c r="AY765" t="inlineStr">
        <is>
          <t>2271110290002656</t>
        </is>
      </c>
      <c r="AZ765" t="inlineStr">
        <is>
          <t>BOOK</t>
        </is>
      </c>
      <c r="BC765" t="inlineStr">
        <is>
          <t>32285000863943</t>
        </is>
      </c>
      <c r="BD765" t="inlineStr">
        <is>
          <t>893250643</t>
        </is>
      </c>
    </row>
    <row r="766">
      <c r="A766" t="inlineStr">
        <is>
          <t>No</t>
        </is>
      </c>
      <c r="B766" t="inlineStr">
        <is>
          <t>LB1573.6 .R56 1997</t>
        </is>
      </c>
      <c r="C766" t="inlineStr">
        <is>
          <t>0                      LB 1573600R  56          1997</t>
        </is>
      </c>
      <c r="D766" t="inlineStr">
        <is>
          <t>Teaching word recognition skills / Lee Ann Rinsky.</t>
        </is>
      </c>
      <c r="F766" t="inlineStr">
        <is>
          <t>No</t>
        </is>
      </c>
      <c r="G766" t="inlineStr">
        <is>
          <t>1</t>
        </is>
      </c>
      <c r="H766" t="inlineStr">
        <is>
          <t>No</t>
        </is>
      </c>
      <c r="I766" t="inlineStr">
        <is>
          <t>No</t>
        </is>
      </c>
      <c r="J766" t="inlineStr">
        <is>
          <t>0</t>
        </is>
      </c>
      <c r="K766" t="inlineStr">
        <is>
          <t>Rinsky, Lee Ann.</t>
        </is>
      </c>
      <c r="L766" t="inlineStr">
        <is>
          <t>Scottsdale, Ariz. : Gorsuch Scarisbrick, c1997.</t>
        </is>
      </c>
      <c r="M766" t="inlineStr">
        <is>
          <t>1997</t>
        </is>
      </c>
      <c r="N766" t="inlineStr">
        <is>
          <t>6th ed.</t>
        </is>
      </c>
      <c r="O766" t="inlineStr">
        <is>
          <t>eng</t>
        </is>
      </c>
      <c r="P766" t="inlineStr">
        <is>
          <t>azu</t>
        </is>
      </c>
      <c r="R766" t="inlineStr">
        <is>
          <t xml:space="preserve">LB </t>
        </is>
      </c>
      <c r="S766" t="n">
        <v>1</v>
      </c>
      <c r="T766" t="n">
        <v>1</v>
      </c>
      <c r="U766" t="inlineStr">
        <is>
          <t>2006-11-06</t>
        </is>
      </c>
      <c r="V766" t="inlineStr">
        <is>
          <t>2006-11-06</t>
        </is>
      </c>
      <c r="W766" t="inlineStr">
        <is>
          <t>2006-11-06</t>
        </is>
      </c>
      <c r="X766" t="inlineStr">
        <is>
          <t>2006-11-06</t>
        </is>
      </c>
      <c r="Y766" t="n">
        <v>69</v>
      </c>
      <c r="Z766" t="n">
        <v>60</v>
      </c>
      <c r="AA766" t="n">
        <v>98</v>
      </c>
      <c r="AB766" t="n">
        <v>1</v>
      </c>
      <c r="AC766" t="n">
        <v>1</v>
      </c>
      <c r="AD766" t="n">
        <v>1</v>
      </c>
      <c r="AE766" t="n">
        <v>1</v>
      </c>
      <c r="AF766" t="n">
        <v>0</v>
      </c>
      <c r="AG766" t="n">
        <v>0</v>
      </c>
      <c r="AH766" t="n">
        <v>0</v>
      </c>
      <c r="AI766" t="n">
        <v>0</v>
      </c>
      <c r="AJ766" t="n">
        <v>1</v>
      </c>
      <c r="AK766" t="n">
        <v>1</v>
      </c>
      <c r="AL766" t="n">
        <v>0</v>
      </c>
      <c r="AM766" t="n">
        <v>0</v>
      </c>
      <c r="AN766" t="n">
        <v>0</v>
      </c>
      <c r="AO766" t="n">
        <v>0</v>
      </c>
      <c r="AP766" t="inlineStr">
        <is>
          <t>No</t>
        </is>
      </c>
      <c r="AQ766" t="inlineStr">
        <is>
          <t>Yes</t>
        </is>
      </c>
      <c r="AR766">
        <f>HYPERLINK("http://catalog.hathitrust.org/Record/101993414","HathiTrust Record")</f>
        <v/>
      </c>
      <c r="AS766">
        <f>HYPERLINK("https://creighton-primo.hosted.exlibrisgroup.com/primo-explore/search?tab=default_tab&amp;search_scope=EVERYTHING&amp;vid=01CRU&amp;lang=en_US&amp;offset=0&amp;query=any,contains,991004968719702656","Catalog Record")</f>
        <v/>
      </c>
      <c r="AT766">
        <f>HYPERLINK("http://www.worldcat.org/oclc/35317752","WorldCat Record")</f>
        <v/>
      </c>
      <c r="AU766" t="inlineStr">
        <is>
          <t>31358036:eng</t>
        </is>
      </c>
      <c r="AV766" t="inlineStr">
        <is>
          <t>35317752</t>
        </is>
      </c>
      <c r="AW766" t="inlineStr">
        <is>
          <t>991004968719702656</t>
        </is>
      </c>
      <c r="AX766" t="inlineStr">
        <is>
          <t>991004968719702656</t>
        </is>
      </c>
      <c r="AY766" t="inlineStr">
        <is>
          <t>2257372070002656</t>
        </is>
      </c>
      <c r="AZ766" t="inlineStr">
        <is>
          <t>BOOK</t>
        </is>
      </c>
      <c r="BB766" t="inlineStr">
        <is>
          <t>9780137768653</t>
        </is>
      </c>
      <c r="BC766" t="inlineStr">
        <is>
          <t>32285005236939</t>
        </is>
      </c>
      <c r="BD766" t="inlineStr">
        <is>
          <t>893418209</t>
        </is>
      </c>
    </row>
    <row r="767">
      <c r="A767" t="inlineStr">
        <is>
          <t>No</t>
        </is>
      </c>
      <c r="B767" t="inlineStr">
        <is>
          <t>LB1574 .A44 1984</t>
        </is>
      </c>
      <c r="C767" t="inlineStr">
        <is>
          <t>0                      LB 1574000A  44          1984</t>
        </is>
      </c>
      <c r="D767" t="inlineStr">
        <is>
          <t>Spelling trends, content, and methods / by Ruel A. Allred.</t>
        </is>
      </c>
      <c r="F767" t="inlineStr">
        <is>
          <t>No</t>
        </is>
      </c>
      <c r="G767" t="inlineStr">
        <is>
          <t>1</t>
        </is>
      </c>
      <c r="H767" t="inlineStr">
        <is>
          <t>No</t>
        </is>
      </c>
      <c r="I767" t="inlineStr">
        <is>
          <t>No</t>
        </is>
      </c>
      <c r="J767" t="inlineStr">
        <is>
          <t>0</t>
        </is>
      </c>
      <c r="K767" t="inlineStr">
        <is>
          <t>Allred, Ruel A.</t>
        </is>
      </c>
      <c r="L767" t="inlineStr">
        <is>
          <t>Washington, DC : NEA Professional Library, National Educational Association, c1984.</t>
        </is>
      </c>
      <c r="M767" t="inlineStr">
        <is>
          <t>1984</t>
        </is>
      </c>
      <c r="O767" t="inlineStr">
        <is>
          <t>eng</t>
        </is>
      </c>
      <c r="P767" t="inlineStr">
        <is>
          <t>dcu</t>
        </is>
      </c>
      <c r="Q767" t="inlineStr">
        <is>
          <t>What research says to the teacher</t>
        </is>
      </c>
      <c r="R767" t="inlineStr">
        <is>
          <t xml:space="preserve">LB </t>
        </is>
      </c>
      <c r="S767" t="n">
        <v>9</v>
      </c>
      <c r="T767" t="n">
        <v>9</v>
      </c>
      <c r="U767" t="inlineStr">
        <is>
          <t>2007-04-27</t>
        </is>
      </c>
      <c r="V767" t="inlineStr">
        <is>
          <t>2007-04-27</t>
        </is>
      </c>
      <c r="W767" t="inlineStr">
        <is>
          <t>1993-01-27</t>
        </is>
      </c>
      <c r="X767" t="inlineStr">
        <is>
          <t>1993-01-27</t>
        </is>
      </c>
      <c r="Y767" t="n">
        <v>278</v>
      </c>
      <c r="Z767" t="n">
        <v>272</v>
      </c>
      <c r="AA767" t="n">
        <v>327</v>
      </c>
      <c r="AB767" t="n">
        <v>4</v>
      </c>
      <c r="AC767" t="n">
        <v>4</v>
      </c>
      <c r="AD767" t="n">
        <v>11</v>
      </c>
      <c r="AE767" t="n">
        <v>13</v>
      </c>
      <c r="AF767" t="n">
        <v>5</v>
      </c>
      <c r="AG767" t="n">
        <v>7</v>
      </c>
      <c r="AH767" t="n">
        <v>1</v>
      </c>
      <c r="AI767" t="n">
        <v>2</v>
      </c>
      <c r="AJ767" t="n">
        <v>6</v>
      </c>
      <c r="AK767" t="n">
        <v>6</v>
      </c>
      <c r="AL767" t="n">
        <v>3</v>
      </c>
      <c r="AM767" t="n">
        <v>3</v>
      </c>
      <c r="AN767" t="n">
        <v>0</v>
      </c>
      <c r="AO767" t="n">
        <v>0</v>
      </c>
      <c r="AP767" t="inlineStr">
        <is>
          <t>No</t>
        </is>
      </c>
      <c r="AQ767" t="inlineStr">
        <is>
          <t>Yes</t>
        </is>
      </c>
      <c r="AR767">
        <f>HYPERLINK("http://catalog.hathitrust.org/Record/000335349","HathiTrust Record")</f>
        <v/>
      </c>
      <c r="AS767">
        <f>HYPERLINK("https://creighton-primo.hosted.exlibrisgroup.com/primo-explore/search?tab=default_tab&amp;search_scope=EVERYTHING&amp;vid=01CRU&amp;lang=en_US&amp;offset=0&amp;query=any,contains,991000469769702656","Catalog Record")</f>
        <v/>
      </c>
      <c r="AT767">
        <f>HYPERLINK("http://www.worldcat.org/oclc/10996564","WorldCat Record")</f>
        <v/>
      </c>
      <c r="AU767" t="inlineStr">
        <is>
          <t>1075773:eng</t>
        </is>
      </c>
      <c r="AV767" t="inlineStr">
        <is>
          <t>10996564</t>
        </is>
      </c>
      <c r="AW767" t="inlineStr">
        <is>
          <t>991000469769702656</t>
        </is>
      </c>
      <c r="AX767" t="inlineStr">
        <is>
          <t>991000469769702656</t>
        </is>
      </c>
      <c r="AY767" t="inlineStr">
        <is>
          <t>2261913730002656</t>
        </is>
      </c>
      <c r="AZ767" t="inlineStr">
        <is>
          <t>BOOK</t>
        </is>
      </c>
      <c r="BB767" t="inlineStr">
        <is>
          <t>9780810610620</t>
        </is>
      </c>
      <c r="BC767" t="inlineStr">
        <is>
          <t>32285001478931</t>
        </is>
      </c>
      <c r="BD767" t="inlineStr">
        <is>
          <t>893225003</t>
        </is>
      </c>
    </row>
    <row r="768">
      <c r="A768" t="inlineStr">
        <is>
          <t>No</t>
        </is>
      </c>
      <c r="B768" t="inlineStr">
        <is>
          <t>LB1574 .A53 1968</t>
        </is>
      </c>
      <c r="C768" t="inlineStr">
        <is>
          <t>0                      LB 1574000A  53          1968</t>
        </is>
      </c>
      <c r="D768" t="inlineStr">
        <is>
          <t>Resource materials for teachers of spelling / by Paul S. Anderson [and] Patrick J. Groff.</t>
        </is>
      </c>
      <c r="F768" t="inlineStr">
        <is>
          <t>No</t>
        </is>
      </c>
      <c r="G768" t="inlineStr">
        <is>
          <t>1</t>
        </is>
      </c>
      <c r="H768" t="inlineStr">
        <is>
          <t>No</t>
        </is>
      </c>
      <c r="I768" t="inlineStr">
        <is>
          <t>No</t>
        </is>
      </c>
      <c r="J768" t="inlineStr">
        <is>
          <t>0</t>
        </is>
      </c>
      <c r="K768" t="inlineStr">
        <is>
          <t>Anderson, Paul S. (Paul Seward), 1913-1975</t>
        </is>
      </c>
      <c r="L768" t="inlineStr">
        <is>
          <t>Minneapolis : Burgess Pub. Co., [1968]</t>
        </is>
      </c>
      <c r="M768" t="inlineStr">
        <is>
          <t>1968</t>
        </is>
      </c>
      <c r="N768" t="inlineStr">
        <is>
          <t>2d ed.</t>
        </is>
      </c>
      <c r="O768" t="inlineStr">
        <is>
          <t>eng</t>
        </is>
      </c>
      <c r="P768" t="inlineStr">
        <is>
          <t>mnu</t>
        </is>
      </c>
      <c r="R768" t="inlineStr">
        <is>
          <t xml:space="preserve">LB </t>
        </is>
      </c>
      <c r="S768" t="n">
        <v>2</v>
      </c>
      <c r="T768" t="n">
        <v>2</v>
      </c>
      <c r="U768" t="inlineStr">
        <is>
          <t>2001-03-19</t>
        </is>
      </c>
      <c r="V768" t="inlineStr">
        <is>
          <t>2001-03-19</t>
        </is>
      </c>
      <c r="W768" t="inlineStr">
        <is>
          <t>1997-05-12</t>
        </is>
      </c>
      <c r="X768" t="inlineStr">
        <is>
          <t>1997-05-12</t>
        </is>
      </c>
      <c r="Y768" t="n">
        <v>168</v>
      </c>
      <c r="Z768" t="n">
        <v>157</v>
      </c>
      <c r="AA768" t="n">
        <v>246</v>
      </c>
      <c r="AB768" t="n">
        <v>1</v>
      </c>
      <c r="AC768" t="n">
        <v>3</v>
      </c>
      <c r="AD768" t="n">
        <v>9</v>
      </c>
      <c r="AE768" t="n">
        <v>11</v>
      </c>
      <c r="AF768" t="n">
        <v>3</v>
      </c>
      <c r="AG768" t="n">
        <v>3</v>
      </c>
      <c r="AH768" t="n">
        <v>2</v>
      </c>
      <c r="AI768" t="n">
        <v>2</v>
      </c>
      <c r="AJ768" t="n">
        <v>7</v>
      </c>
      <c r="AK768" t="n">
        <v>7</v>
      </c>
      <c r="AL768" t="n">
        <v>0</v>
      </c>
      <c r="AM768" t="n">
        <v>2</v>
      </c>
      <c r="AN768" t="n">
        <v>0</v>
      </c>
      <c r="AO768" t="n">
        <v>0</v>
      </c>
      <c r="AP768" t="inlineStr">
        <is>
          <t>No</t>
        </is>
      </c>
      <c r="AQ768" t="inlineStr">
        <is>
          <t>Yes</t>
        </is>
      </c>
      <c r="AR768">
        <f>HYPERLINK("http://catalog.hathitrust.org/Record/001281972","HathiTrust Record")</f>
        <v/>
      </c>
      <c r="AS768">
        <f>HYPERLINK("https://creighton-primo.hosted.exlibrisgroup.com/primo-explore/search?tab=default_tab&amp;search_scope=EVERYTHING&amp;vid=01CRU&amp;lang=en_US&amp;offset=0&amp;query=any,contains,991002788469702656","Catalog Record")</f>
        <v/>
      </c>
      <c r="AT768">
        <f>HYPERLINK("http://www.worldcat.org/oclc/442540","WorldCat Record")</f>
        <v/>
      </c>
      <c r="AU768" t="inlineStr">
        <is>
          <t>1334346:eng</t>
        </is>
      </c>
      <c r="AV768" t="inlineStr">
        <is>
          <t>442540</t>
        </is>
      </c>
      <c r="AW768" t="inlineStr">
        <is>
          <t>991002788469702656</t>
        </is>
      </c>
      <c r="AX768" t="inlineStr">
        <is>
          <t>991002788469702656</t>
        </is>
      </c>
      <c r="AY768" t="inlineStr">
        <is>
          <t>2255967960002656</t>
        </is>
      </c>
      <c r="AZ768" t="inlineStr">
        <is>
          <t>BOOK</t>
        </is>
      </c>
      <c r="BC768" t="inlineStr">
        <is>
          <t>32285002665627</t>
        </is>
      </c>
      <c r="BD768" t="inlineStr">
        <is>
          <t>893440525</t>
        </is>
      </c>
    </row>
    <row r="769">
      <c r="A769" t="inlineStr">
        <is>
          <t>No</t>
        </is>
      </c>
      <c r="B769" t="inlineStr">
        <is>
          <t>LB1574 .B37 1985</t>
        </is>
      </c>
      <c r="C769" t="inlineStr">
        <is>
          <t>0                      LB 1574000B  37          1985</t>
        </is>
      </c>
      <c r="D769" t="inlineStr">
        <is>
          <t>Understanding children spelling / Jennifer E. Barr.</t>
        </is>
      </c>
      <c r="F769" t="inlineStr">
        <is>
          <t>No</t>
        </is>
      </c>
      <c r="G769" t="inlineStr">
        <is>
          <t>1</t>
        </is>
      </c>
      <c r="H769" t="inlineStr">
        <is>
          <t>No</t>
        </is>
      </c>
      <c r="I769" t="inlineStr">
        <is>
          <t>No</t>
        </is>
      </c>
      <c r="J769" t="inlineStr">
        <is>
          <t>0</t>
        </is>
      </c>
      <c r="K769" t="inlineStr">
        <is>
          <t>Barr, Jennifer E.</t>
        </is>
      </c>
      <c r="L769" t="inlineStr">
        <is>
          <t>Edinburgh : Scottish Council for Research in Education, c1985.</t>
        </is>
      </c>
      <c r="M769" t="inlineStr">
        <is>
          <t>1985</t>
        </is>
      </c>
      <c r="O769" t="inlineStr">
        <is>
          <t>eng</t>
        </is>
      </c>
      <c r="P769" t="inlineStr">
        <is>
          <t>stk</t>
        </is>
      </c>
      <c r="Q769" t="inlineStr">
        <is>
          <t>SCRE publication ; 90</t>
        </is>
      </c>
      <c r="R769" t="inlineStr">
        <is>
          <t xml:space="preserve">LB </t>
        </is>
      </c>
      <c r="S769" t="n">
        <v>6</v>
      </c>
      <c r="T769" t="n">
        <v>6</v>
      </c>
      <c r="U769" t="inlineStr">
        <is>
          <t>2005-10-30</t>
        </is>
      </c>
      <c r="V769" t="inlineStr">
        <is>
          <t>2005-10-30</t>
        </is>
      </c>
      <c r="W769" t="inlineStr">
        <is>
          <t>1993-01-27</t>
        </is>
      </c>
      <c r="X769" t="inlineStr">
        <is>
          <t>1993-01-27</t>
        </is>
      </c>
      <c r="Y769" t="n">
        <v>94</v>
      </c>
      <c r="Z769" t="n">
        <v>37</v>
      </c>
      <c r="AA769" t="n">
        <v>37</v>
      </c>
      <c r="AB769" t="n">
        <v>1</v>
      </c>
      <c r="AC769" t="n">
        <v>1</v>
      </c>
      <c r="AD769" t="n">
        <v>1</v>
      </c>
      <c r="AE769" t="n">
        <v>1</v>
      </c>
      <c r="AF769" t="n">
        <v>1</v>
      </c>
      <c r="AG769" t="n">
        <v>1</v>
      </c>
      <c r="AH769" t="n">
        <v>0</v>
      </c>
      <c r="AI769" t="n">
        <v>0</v>
      </c>
      <c r="AJ769" t="n">
        <v>1</v>
      </c>
      <c r="AK769" t="n">
        <v>1</v>
      </c>
      <c r="AL769" t="n">
        <v>0</v>
      </c>
      <c r="AM769" t="n">
        <v>0</v>
      </c>
      <c r="AN769" t="n">
        <v>0</v>
      </c>
      <c r="AO769" t="n">
        <v>0</v>
      </c>
      <c r="AP769" t="inlineStr">
        <is>
          <t>No</t>
        </is>
      </c>
      <c r="AQ769" t="inlineStr">
        <is>
          <t>No</t>
        </is>
      </c>
      <c r="AS769">
        <f>HYPERLINK("https://creighton-primo.hosted.exlibrisgroup.com/primo-explore/search?tab=default_tab&amp;search_scope=EVERYTHING&amp;vid=01CRU&amp;lang=en_US&amp;offset=0&amp;query=any,contains,991000954919702656","Catalog Record")</f>
        <v/>
      </c>
      <c r="AT769">
        <f>HYPERLINK("http://www.worldcat.org/oclc/14714901","WorldCat Record")</f>
        <v/>
      </c>
      <c r="AU769" t="inlineStr">
        <is>
          <t>8440821:eng</t>
        </is>
      </c>
      <c r="AV769" t="inlineStr">
        <is>
          <t>14714901</t>
        </is>
      </c>
      <c r="AW769" t="inlineStr">
        <is>
          <t>991000954919702656</t>
        </is>
      </c>
      <c r="AX769" t="inlineStr">
        <is>
          <t>991000954919702656</t>
        </is>
      </c>
      <c r="AY769" t="inlineStr">
        <is>
          <t>2272481280002656</t>
        </is>
      </c>
      <c r="AZ769" t="inlineStr">
        <is>
          <t>BOOK</t>
        </is>
      </c>
      <c r="BB769" t="inlineStr">
        <is>
          <t>9780947833121</t>
        </is>
      </c>
      <c r="BC769" t="inlineStr">
        <is>
          <t>32285001478949</t>
        </is>
      </c>
      <c r="BD769" t="inlineStr">
        <is>
          <t>893614647</t>
        </is>
      </c>
    </row>
    <row r="770">
      <c r="A770" t="inlineStr">
        <is>
          <t>No</t>
        </is>
      </c>
      <c r="B770" t="inlineStr">
        <is>
          <t>LB1574 .H345</t>
        </is>
      </c>
      <c r="C770" t="inlineStr">
        <is>
          <t>0                      LB 1574000H  345</t>
        </is>
      </c>
      <c r="D770" t="inlineStr">
        <is>
          <t>Spelling: structure and strategies [by] Paul R. Hanna, Richard E. Hodges [and] Jean S. Hanna.</t>
        </is>
      </c>
      <c r="F770" t="inlineStr">
        <is>
          <t>No</t>
        </is>
      </c>
      <c r="G770" t="inlineStr">
        <is>
          <t>1</t>
        </is>
      </c>
      <c r="H770" t="inlineStr">
        <is>
          <t>No</t>
        </is>
      </c>
      <c r="I770" t="inlineStr">
        <is>
          <t>No</t>
        </is>
      </c>
      <c r="J770" t="inlineStr">
        <is>
          <t>0</t>
        </is>
      </c>
      <c r="K770" t="inlineStr">
        <is>
          <t>Hanna, Paul R. (Paul Robert), 1902-1988.</t>
        </is>
      </c>
      <c r="L770" t="inlineStr">
        <is>
          <t>Boston, Houghton Mifflin [1971]</t>
        </is>
      </c>
      <c r="M770" t="inlineStr">
        <is>
          <t>1971</t>
        </is>
      </c>
      <c r="O770" t="inlineStr">
        <is>
          <t>eng</t>
        </is>
      </c>
      <c r="P770" t="inlineStr">
        <is>
          <t>mau</t>
        </is>
      </c>
      <c r="R770" t="inlineStr">
        <is>
          <t xml:space="preserve">LB </t>
        </is>
      </c>
      <c r="S770" t="n">
        <v>6</v>
      </c>
      <c r="T770" t="n">
        <v>6</v>
      </c>
      <c r="U770" t="inlineStr">
        <is>
          <t>2005-10-30</t>
        </is>
      </c>
      <c r="V770" t="inlineStr">
        <is>
          <t>2005-10-30</t>
        </is>
      </c>
      <c r="W770" t="inlineStr">
        <is>
          <t>1997-05-12</t>
        </is>
      </c>
      <c r="X770" t="inlineStr">
        <is>
          <t>1997-05-12</t>
        </is>
      </c>
      <c r="Y770" t="n">
        <v>362</v>
      </c>
      <c r="Z770" t="n">
        <v>314</v>
      </c>
      <c r="AA770" t="n">
        <v>417</v>
      </c>
      <c r="AB770" t="n">
        <v>4</v>
      </c>
      <c r="AC770" t="n">
        <v>4</v>
      </c>
      <c r="AD770" t="n">
        <v>17</v>
      </c>
      <c r="AE770" t="n">
        <v>18</v>
      </c>
      <c r="AF770" t="n">
        <v>7</v>
      </c>
      <c r="AG770" t="n">
        <v>8</v>
      </c>
      <c r="AH770" t="n">
        <v>1</v>
      </c>
      <c r="AI770" t="n">
        <v>1</v>
      </c>
      <c r="AJ770" t="n">
        <v>10</v>
      </c>
      <c r="AK770" t="n">
        <v>10</v>
      </c>
      <c r="AL770" t="n">
        <v>3</v>
      </c>
      <c r="AM770" t="n">
        <v>3</v>
      </c>
      <c r="AN770" t="n">
        <v>0</v>
      </c>
      <c r="AO770" t="n">
        <v>0</v>
      </c>
      <c r="AP770" t="inlineStr">
        <is>
          <t>No</t>
        </is>
      </c>
      <c r="AQ770" t="inlineStr">
        <is>
          <t>Yes</t>
        </is>
      </c>
      <c r="AR770">
        <f>HYPERLINK("http://catalog.hathitrust.org/Record/001281985","HathiTrust Record")</f>
        <v/>
      </c>
      <c r="AS770">
        <f>HYPERLINK("https://creighton-primo.hosted.exlibrisgroup.com/primo-explore/search?tab=default_tab&amp;search_scope=EVERYTHING&amp;vid=01CRU&amp;lang=en_US&amp;offset=0&amp;query=any,contains,991000777359702656","Catalog Record")</f>
        <v/>
      </c>
      <c r="AT770">
        <f>HYPERLINK("http://www.worldcat.org/oclc/133629","WorldCat Record")</f>
        <v/>
      </c>
      <c r="AU770" t="inlineStr">
        <is>
          <t>483601:eng</t>
        </is>
      </c>
      <c r="AV770" t="inlineStr">
        <is>
          <t>133629</t>
        </is>
      </c>
      <c r="AW770" t="inlineStr">
        <is>
          <t>991000777359702656</t>
        </is>
      </c>
      <c r="AX770" t="inlineStr">
        <is>
          <t>991000777359702656</t>
        </is>
      </c>
      <c r="AY770" t="inlineStr">
        <is>
          <t>2255634690002656</t>
        </is>
      </c>
      <c r="AZ770" t="inlineStr">
        <is>
          <t>BOOK</t>
        </is>
      </c>
      <c r="BB770" t="inlineStr">
        <is>
          <t>9780395045657</t>
        </is>
      </c>
      <c r="BC770" t="inlineStr">
        <is>
          <t>32285002665635</t>
        </is>
      </c>
      <c r="BD770" t="inlineStr">
        <is>
          <t>893778226</t>
        </is>
      </c>
    </row>
    <row r="771">
      <c r="A771" t="inlineStr">
        <is>
          <t>No</t>
        </is>
      </c>
      <c r="B771" t="inlineStr">
        <is>
          <t>LB1574 .H5</t>
        </is>
      </c>
      <c r="C771" t="inlineStr">
        <is>
          <t>0                      LB 1574000H  5</t>
        </is>
      </c>
      <c r="D771" t="inlineStr">
        <is>
          <t>Teaching spelling : a guide to basic principles and practices.</t>
        </is>
      </c>
      <c r="F771" t="inlineStr">
        <is>
          <t>No</t>
        </is>
      </c>
      <c r="G771" t="inlineStr">
        <is>
          <t>1</t>
        </is>
      </c>
      <c r="H771" t="inlineStr">
        <is>
          <t>No</t>
        </is>
      </c>
      <c r="I771" t="inlineStr">
        <is>
          <t>No</t>
        </is>
      </c>
      <c r="J771" t="inlineStr">
        <is>
          <t>0</t>
        </is>
      </c>
      <c r="K771" t="inlineStr">
        <is>
          <t>Hildreth, Gertrude Howell, 1898-1984.</t>
        </is>
      </c>
      <c r="L771" t="inlineStr">
        <is>
          <t>New York : H. Holt, [1955]</t>
        </is>
      </c>
      <c r="M771" t="inlineStr">
        <is>
          <t>1955</t>
        </is>
      </c>
      <c r="O771" t="inlineStr">
        <is>
          <t>eng</t>
        </is>
      </c>
      <c r="P771" t="inlineStr">
        <is>
          <t>nyu</t>
        </is>
      </c>
      <c r="R771" t="inlineStr">
        <is>
          <t xml:space="preserve">LB </t>
        </is>
      </c>
      <c r="S771" t="n">
        <v>1</v>
      </c>
      <c r="T771" t="n">
        <v>1</v>
      </c>
      <c r="U771" t="inlineStr">
        <is>
          <t>2001-03-19</t>
        </is>
      </c>
      <c r="V771" t="inlineStr">
        <is>
          <t>2001-03-19</t>
        </is>
      </c>
      <c r="W771" t="inlineStr">
        <is>
          <t>1994-09-21</t>
        </is>
      </c>
      <c r="X771" t="inlineStr">
        <is>
          <t>1994-09-21</t>
        </is>
      </c>
      <c r="Y771" t="n">
        <v>406</v>
      </c>
      <c r="Z771" t="n">
        <v>377</v>
      </c>
      <c r="AA771" t="n">
        <v>379</v>
      </c>
      <c r="AB771" t="n">
        <v>4</v>
      </c>
      <c r="AC771" t="n">
        <v>4</v>
      </c>
      <c r="AD771" t="n">
        <v>13</v>
      </c>
      <c r="AE771" t="n">
        <v>13</v>
      </c>
      <c r="AF771" t="n">
        <v>3</v>
      </c>
      <c r="AG771" t="n">
        <v>3</v>
      </c>
      <c r="AH771" t="n">
        <v>2</v>
      </c>
      <c r="AI771" t="n">
        <v>2</v>
      </c>
      <c r="AJ771" t="n">
        <v>8</v>
      </c>
      <c r="AK771" t="n">
        <v>8</v>
      </c>
      <c r="AL771" t="n">
        <v>3</v>
      </c>
      <c r="AM771" t="n">
        <v>3</v>
      </c>
      <c r="AN771" t="n">
        <v>0</v>
      </c>
      <c r="AO771" t="n">
        <v>0</v>
      </c>
      <c r="AP771" t="inlineStr">
        <is>
          <t>No</t>
        </is>
      </c>
      <c r="AQ771" t="inlineStr">
        <is>
          <t>Yes</t>
        </is>
      </c>
      <c r="AR771">
        <f>HYPERLINK("http://catalog.hathitrust.org/Record/001281986","HathiTrust Record")</f>
        <v/>
      </c>
      <c r="AS771">
        <f>HYPERLINK("https://creighton-primo.hosted.exlibrisgroup.com/primo-explore/search?tab=default_tab&amp;search_scope=EVERYTHING&amp;vid=01CRU&amp;lang=en_US&amp;offset=0&amp;query=any,contains,991001093639702656","Catalog Record")</f>
        <v/>
      </c>
      <c r="AT771">
        <f>HYPERLINK("http://www.worldcat.org/oclc/182221","WorldCat Record")</f>
        <v/>
      </c>
      <c r="AU771" t="inlineStr">
        <is>
          <t>309182463:eng</t>
        </is>
      </c>
      <c r="AV771" t="inlineStr">
        <is>
          <t>182221</t>
        </is>
      </c>
      <c r="AW771" t="inlineStr">
        <is>
          <t>991001093639702656</t>
        </is>
      </c>
      <c r="AX771" t="inlineStr">
        <is>
          <t>991001093639702656</t>
        </is>
      </c>
      <c r="AY771" t="inlineStr">
        <is>
          <t>2271498940002656</t>
        </is>
      </c>
      <c r="AZ771" t="inlineStr">
        <is>
          <t>BOOK</t>
        </is>
      </c>
      <c r="BC771" t="inlineStr">
        <is>
          <t>32285001952042</t>
        </is>
      </c>
      <c r="BD771" t="inlineStr">
        <is>
          <t>893496812</t>
        </is>
      </c>
    </row>
    <row r="772">
      <c r="A772" t="inlineStr">
        <is>
          <t>No</t>
        </is>
      </c>
      <c r="B772" t="inlineStr">
        <is>
          <t>LB1574 .H53</t>
        </is>
      </c>
      <c r="C772" t="inlineStr">
        <is>
          <t>0                      LB 1574000H  53</t>
        </is>
      </c>
      <c r="D772" t="inlineStr">
        <is>
          <t>Learning to spell / Richard E. Hodges.</t>
        </is>
      </c>
      <c r="F772" t="inlineStr">
        <is>
          <t>No</t>
        </is>
      </c>
      <c r="G772" t="inlineStr">
        <is>
          <t>1</t>
        </is>
      </c>
      <c r="H772" t="inlineStr">
        <is>
          <t>No</t>
        </is>
      </c>
      <c r="I772" t="inlineStr">
        <is>
          <t>No</t>
        </is>
      </c>
      <c r="J772" t="inlineStr">
        <is>
          <t>0</t>
        </is>
      </c>
      <c r="K772" t="inlineStr">
        <is>
          <t>Hodges, Richard E.</t>
        </is>
      </c>
      <c r="L772" t="inlineStr">
        <is>
          <t>Urbana, Ill. : ERIC Clearinghouse on Reading and Communication Skills : National Council of Teachers of English, 1981.</t>
        </is>
      </c>
      <c r="M772" t="inlineStr">
        <is>
          <t>1981</t>
        </is>
      </c>
      <c r="O772" t="inlineStr">
        <is>
          <t>eng</t>
        </is>
      </c>
      <c r="P772" t="inlineStr">
        <is>
          <t>ilu</t>
        </is>
      </c>
      <c r="Q772" t="inlineStr">
        <is>
          <t>Theory &amp; research into practice</t>
        </is>
      </c>
      <c r="R772" t="inlineStr">
        <is>
          <t xml:space="preserve">LB </t>
        </is>
      </c>
      <c r="S772" t="n">
        <v>7</v>
      </c>
      <c r="T772" t="n">
        <v>7</v>
      </c>
      <c r="U772" t="inlineStr">
        <is>
          <t>2005-10-30</t>
        </is>
      </c>
      <c r="V772" t="inlineStr">
        <is>
          <t>2005-10-30</t>
        </is>
      </c>
      <c r="W772" t="inlineStr">
        <is>
          <t>1993-01-27</t>
        </is>
      </c>
      <c r="X772" t="inlineStr">
        <is>
          <t>1993-01-27</t>
        </is>
      </c>
      <c r="Y772" t="n">
        <v>291</v>
      </c>
      <c r="Z772" t="n">
        <v>252</v>
      </c>
      <c r="AA772" t="n">
        <v>265</v>
      </c>
      <c r="AB772" t="n">
        <v>1</v>
      </c>
      <c r="AC772" t="n">
        <v>1</v>
      </c>
      <c r="AD772" t="n">
        <v>8</v>
      </c>
      <c r="AE772" t="n">
        <v>8</v>
      </c>
      <c r="AF772" t="n">
        <v>4</v>
      </c>
      <c r="AG772" t="n">
        <v>4</v>
      </c>
      <c r="AH772" t="n">
        <v>2</v>
      </c>
      <c r="AI772" t="n">
        <v>2</v>
      </c>
      <c r="AJ772" t="n">
        <v>6</v>
      </c>
      <c r="AK772" t="n">
        <v>6</v>
      </c>
      <c r="AL772" t="n">
        <v>0</v>
      </c>
      <c r="AM772" t="n">
        <v>0</v>
      </c>
      <c r="AN772" t="n">
        <v>0</v>
      </c>
      <c r="AO772" t="n">
        <v>0</v>
      </c>
      <c r="AP772" t="inlineStr">
        <is>
          <t>No</t>
        </is>
      </c>
      <c r="AQ772" t="inlineStr">
        <is>
          <t>No</t>
        </is>
      </c>
      <c r="AS772">
        <f>HYPERLINK("https://creighton-primo.hosted.exlibrisgroup.com/primo-explore/search?tab=default_tab&amp;search_scope=EVERYTHING&amp;vid=01CRU&amp;lang=en_US&amp;offset=0&amp;query=any,contains,991005202039702656","Catalog Record")</f>
        <v/>
      </c>
      <c r="AT772">
        <f>HYPERLINK("http://www.worldcat.org/oclc/8091678","WorldCat Record")</f>
        <v/>
      </c>
      <c r="AU772" t="inlineStr">
        <is>
          <t>580116:eng</t>
        </is>
      </c>
      <c r="AV772" t="inlineStr">
        <is>
          <t>8091678</t>
        </is>
      </c>
      <c r="AW772" t="inlineStr">
        <is>
          <t>991005202039702656</t>
        </is>
      </c>
      <c r="AX772" t="inlineStr">
        <is>
          <t>991005202039702656</t>
        </is>
      </c>
      <c r="AY772" t="inlineStr">
        <is>
          <t>2272125190002656</t>
        </is>
      </c>
      <c r="AZ772" t="inlineStr">
        <is>
          <t>BOOK</t>
        </is>
      </c>
      <c r="BC772" t="inlineStr">
        <is>
          <t>32285001478964</t>
        </is>
      </c>
      <c r="BD772" t="inlineStr">
        <is>
          <t>893625611</t>
        </is>
      </c>
    </row>
    <row r="773">
      <c r="A773" t="inlineStr">
        <is>
          <t>No</t>
        </is>
      </c>
      <c r="B773" t="inlineStr">
        <is>
          <t>LB1574 .P45 1985</t>
        </is>
      </c>
      <c r="C773" t="inlineStr">
        <is>
          <t>0                      LB 1574000P  45          1985</t>
        </is>
      </c>
      <c r="D773" t="inlineStr">
        <is>
          <t>Spelling, caught or taught? : a new look / Margaret L. Peters.</t>
        </is>
      </c>
      <c r="F773" t="inlineStr">
        <is>
          <t>No</t>
        </is>
      </c>
      <c r="G773" t="inlineStr">
        <is>
          <t>1</t>
        </is>
      </c>
      <c r="H773" t="inlineStr">
        <is>
          <t>No</t>
        </is>
      </c>
      <c r="I773" t="inlineStr">
        <is>
          <t>No</t>
        </is>
      </c>
      <c r="J773" t="inlineStr">
        <is>
          <t>0</t>
        </is>
      </c>
      <c r="K773" t="inlineStr">
        <is>
          <t>Peters, Margaret L.</t>
        </is>
      </c>
      <c r="L773" t="inlineStr">
        <is>
          <t>London ; Boston : Routledge &amp; Kegan Paul, 1985.</t>
        </is>
      </c>
      <c r="M773" t="inlineStr">
        <is>
          <t>1985</t>
        </is>
      </c>
      <c r="N773" t="inlineStr">
        <is>
          <t>Rev. ed.</t>
        </is>
      </c>
      <c r="O773" t="inlineStr">
        <is>
          <t>eng</t>
        </is>
      </c>
      <c r="P773" t="inlineStr">
        <is>
          <t>enk</t>
        </is>
      </c>
      <c r="R773" t="inlineStr">
        <is>
          <t xml:space="preserve">LB </t>
        </is>
      </c>
      <c r="S773" t="n">
        <v>4</v>
      </c>
      <c r="T773" t="n">
        <v>4</v>
      </c>
      <c r="U773" t="inlineStr">
        <is>
          <t>2005-10-30</t>
        </is>
      </c>
      <c r="V773" t="inlineStr">
        <is>
          <t>2005-10-30</t>
        </is>
      </c>
      <c r="W773" t="inlineStr">
        <is>
          <t>1992-06-05</t>
        </is>
      </c>
      <c r="X773" t="inlineStr">
        <is>
          <t>1992-06-05</t>
        </is>
      </c>
      <c r="Y773" t="n">
        <v>250</v>
      </c>
      <c r="Z773" t="n">
        <v>134</v>
      </c>
      <c r="AA773" t="n">
        <v>166</v>
      </c>
      <c r="AB773" t="n">
        <v>2</v>
      </c>
      <c r="AC773" t="n">
        <v>2</v>
      </c>
      <c r="AD773" t="n">
        <v>4</v>
      </c>
      <c r="AE773" t="n">
        <v>4</v>
      </c>
      <c r="AF773" t="n">
        <v>1</v>
      </c>
      <c r="AG773" t="n">
        <v>1</v>
      </c>
      <c r="AH773" t="n">
        <v>1</v>
      </c>
      <c r="AI773" t="n">
        <v>1</v>
      </c>
      <c r="AJ773" t="n">
        <v>3</v>
      </c>
      <c r="AK773" t="n">
        <v>3</v>
      </c>
      <c r="AL773" t="n">
        <v>1</v>
      </c>
      <c r="AM773" t="n">
        <v>1</v>
      </c>
      <c r="AN773" t="n">
        <v>0</v>
      </c>
      <c r="AO773" t="n">
        <v>0</v>
      </c>
      <c r="AP773" t="inlineStr">
        <is>
          <t>No</t>
        </is>
      </c>
      <c r="AQ773" t="inlineStr">
        <is>
          <t>Yes</t>
        </is>
      </c>
      <c r="AR773">
        <f>HYPERLINK("http://catalog.hathitrust.org/Record/000375674","HathiTrust Record")</f>
        <v/>
      </c>
      <c r="AS773">
        <f>HYPERLINK("https://creighton-primo.hosted.exlibrisgroup.com/primo-explore/search?tab=default_tab&amp;search_scope=EVERYTHING&amp;vid=01CRU&amp;lang=en_US&amp;offset=0&amp;query=any,contains,991000450079702656","Catalog Record")</f>
        <v/>
      </c>
      <c r="AT773">
        <f>HYPERLINK("http://www.worldcat.org/oclc/10877649","WorldCat Record")</f>
        <v/>
      </c>
      <c r="AU773" t="inlineStr">
        <is>
          <t>800708758:eng</t>
        </is>
      </c>
      <c r="AV773" t="inlineStr">
        <is>
          <t>10877649</t>
        </is>
      </c>
      <c r="AW773" t="inlineStr">
        <is>
          <t>991000450079702656</t>
        </is>
      </c>
      <c r="AX773" t="inlineStr">
        <is>
          <t>991000450079702656</t>
        </is>
      </c>
      <c r="AY773" t="inlineStr">
        <is>
          <t>2271325030002656</t>
        </is>
      </c>
      <c r="AZ773" t="inlineStr">
        <is>
          <t>BOOK</t>
        </is>
      </c>
      <c r="BB773" t="inlineStr">
        <is>
          <t>9780710203595</t>
        </is>
      </c>
      <c r="BC773" t="inlineStr">
        <is>
          <t>32285001130482</t>
        </is>
      </c>
      <c r="BD773" t="inlineStr">
        <is>
          <t>893790519</t>
        </is>
      </c>
    </row>
    <row r="774">
      <c r="A774" t="inlineStr">
        <is>
          <t>No</t>
        </is>
      </c>
      <c r="B774" t="inlineStr">
        <is>
          <t>LB1574 .P48</t>
        </is>
      </c>
      <c r="C774" t="inlineStr">
        <is>
          <t>0                      LB 1574000P  48</t>
        </is>
      </c>
      <c r="D774" t="inlineStr">
        <is>
          <t>Improving your spelling program / by Walter T. Petty.</t>
        </is>
      </c>
      <c r="F774" t="inlineStr">
        <is>
          <t>No</t>
        </is>
      </c>
      <c r="G774" t="inlineStr">
        <is>
          <t>1</t>
        </is>
      </c>
      <c r="H774" t="inlineStr">
        <is>
          <t>No</t>
        </is>
      </c>
      <c r="I774" t="inlineStr">
        <is>
          <t>No</t>
        </is>
      </c>
      <c r="J774" t="inlineStr">
        <is>
          <t>0</t>
        </is>
      </c>
      <c r="K774" t="inlineStr">
        <is>
          <t>Petty, Walter T. (Walter Thomas), 1918-2001.</t>
        </is>
      </c>
      <c r="L774" t="inlineStr">
        <is>
          <t>San Francisco : H. Chandler, c1959.</t>
        </is>
      </c>
      <c r="M774" t="inlineStr">
        <is>
          <t>1959</t>
        </is>
      </c>
      <c r="O774" t="inlineStr">
        <is>
          <t>eng</t>
        </is>
      </c>
      <c r="P774" t="inlineStr">
        <is>
          <t>cau</t>
        </is>
      </c>
      <c r="R774" t="inlineStr">
        <is>
          <t xml:space="preserve">LB </t>
        </is>
      </c>
      <c r="S774" t="n">
        <v>2</v>
      </c>
      <c r="T774" t="n">
        <v>2</v>
      </c>
      <c r="U774" t="inlineStr">
        <is>
          <t>2005-10-30</t>
        </is>
      </c>
      <c r="V774" t="inlineStr">
        <is>
          <t>2005-10-30</t>
        </is>
      </c>
      <c r="W774" t="inlineStr">
        <is>
          <t>1997-05-12</t>
        </is>
      </c>
      <c r="X774" t="inlineStr">
        <is>
          <t>1997-05-12</t>
        </is>
      </c>
      <c r="Y774" t="n">
        <v>9</v>
      </c>
      <c r="Z774" t="n">
        <v>9</v>
      </c>
      <c r="AA774" t="n">
        <v>86</v>
      </c>
      <c r="AB774" t="n">
        <v>2</v>
      </c>
      <c r="AC774" t="n">
        <v>2</v>
      </c>
      <c r="AD774" t="n">
        <v>1</v>
      </c>
      <c r="AE774" t="n">
        <v>4</v>
      </c>
      <c r="AF774" t="n">
        <v>0</v>
      </c>
      <c r="AG774" t="n">
        <v>3</v>
      </c>
      <c r="AH774" t="n">
        <v>0</v>
      </c>
      <c r="AI774" t="n">
        <v>0</v>
      </c>
      <c r="AJ774" t="n">
        <v>0</v>
      </c>
      <c r="AK774" t="n">
        <v>2</v>
      </c>
      <c r="AL774" t="n">
        <v>1</v>
      </c>
      <c r="AM774" t="n">
        <v>1</v>
      </c>
      <c r="AN774" t="n">
        <v>0</v>
      </c>
      <c r="AO774" t="n">
        <v>0</v>
      </c>
      <c r="AP774" t="inlineStr">
        <is>
          <t>Yes</t>
        </is>
      </c>
      <c r="AQ774" t="inlineStr">
        <is>
          <t>No</t>
        </is>
      </c>
      <c r="AR774">
        <f>HYPERLINK("http://catalog.hathitrust.org/Record/001883650","HathiTrust Record")</f>
        <v/>
      </c>
      <c r="AS774">
        <f>HYPERLINK("https://creighton-primo.hosted.exlibrisgroup.com/primo-explore/search?tab=default_tab&amp;search_scope=EVERYTHING&amp;vid=01CRU&amp;lang=en_US&amp;offset=0&amp;query=any,contains,991002201679702656","Catalog Record")</f>
        <v/>
      </c>
      <c r="AT774">
        <f>HYPERLINK("http://www.worldcat.org/oclc/28320942","WorldCat Record")</f>
        <v/>
      </c>
      <c r="AU774" t="inlineStr">
        <is>
          <t>501624843:eng</t>
        </is>
      </c>
      <c r="AV774" t="inlineStr">
        <is>
          <t>28320942</t>
        </is>
      </c>
      <c r="AW774" t="inlineStr">
        <is>
          <t>991002201679702656</t>
        </is>
      </c>
      <c r="AX774" t="inlineStr">
        <is>
          <t>991002201679702656</t>
        </is>
      </c>
      <c r="AY774" t="inlineStr">
        <is>
          <t>2258379280002656</t>
        </is>
      </c>
      <c r="AZ774" t="inlineStr">
        <is>
          <t>BOOK</t>
        </is>
      </c>
      <c r="BC774" t="inlineStr">
        <is>
          <t>32285002665643</t>
        </is>
      </c>
      <c r="BD774" t="inlineStr">
        <is>
          <t>893597138</t>
        </is>
      </c>
    </row>
    <row r="775">
      <c r="A775" t="inlineStr">
        <is>
          <t>No</t>
        </is>
      </c>
      <c r="B775" t="inlineStr">
        <is>
          <t>LB1574.5 .I75 1990</t>
        </is>
      </c>
      <c r="C775" t="inlineStr">
        <is>
          <t>0                      LB 1574500I  75          1990</t>
        </is>
      </c>
      <c r="D775" t="inlineStr">
        <is>
          <t>Vocabulary knowledge : guidelines for instruction / by Judith L. Irvin.</t>
        </is>
      </c>
      <c r="F775" t="inlineStr">
        <is>
          <t>No</t>
        </is>
      </c>
      <c r="G775" t="inlineStr">
        <is>
          <t>1</t>
        </is>
      </c>
      <c r="H775" t="inlineStr">
        <is>
          <t>No</t>
        </is>
      </c>
      <c r="I775" t="inlineStr">
        <is>
          <t>No</t>
        </is>
      </c>
      <c r="J775" t="inlineStr">
        <is>
          <t>0</t>
        </is>
      </c>
      <c r="K775" t="inlineStr">
        <is>
          <t>Irvin, Judith L., 1947-</t>
        </is>
      </c>
      <c r="L775" t="inlineStr">
        <is>
          <t>Washington, D.C. : National Education Association, c1990.</t>
        </is>
      </c>
      <c r="M775" t="inlineStr">
        <is>
          <t>1990</t>
        </is>
      </c>
      <c r="O775" t="inlineStr">
        <is>
          <t>eng</t>
        </is>
      </c>
      <c r="P775" t="inlineStr">
        <is>
          <t>dcu</t>
        </is>
      </c>
      <c r="Q775" t="inlineStr">
        <is>
          <t>What research says to the teacher</t>
        </is>
      </c>
      <c r="R775" t="inlineStr">
        <is>
          <t xml:space="preserve">LB </t>
        </is>
      </c>
      <c r="S775" t="n">
        <v>6</v>
      </c>
      <c r="T775" t="n">
        <v>6</v>
      </c>
      <c r="U775" t="inlineStr">
        <is>
          <t>2005-10-30</t>
        </is>
      </c>
      <c r="V775" t="inlineStr">
        <is>
          <t>2005-10-30</t>
        </is>
      </c>
      <c r="W775" t="inlineStr">
        <is>
          <t>1990-08-10</t>
        </is>
      </c>
      <c r="X775" t="inlineStr">
        <is>
          <t>1990-08-10</t>
        </is>
      </c>
      <c r="Y775" t="n">
        <v>256</v>
      </c>
      <c r="Z775" t="n">
        <v>253</v>
      </c>
      <c r="AA775" t="n">
        <v>255</v>
      </c>
      <c r="AB775" t="n">
        <v>4</v>
      </c>
      <c r="AC775" t="n">
        <v>4</v>
      </c>
      <c r="AD775" t="n">
        <v>9</v>
      </c>
      <c r="AE775" t="n">
        <v>9</v>
      </c>
      <c r="AF775" t="n">
        <v>4</v>
      </c>
      <c r="AG775" t="n">
        <v>4</v>
      </c>
      <c r="AH775" t="n">
        <v>1</v>
      </c>
      <c r="AI775" t="n">
        <v>1</v>
      </c>
      <c r="AJ775" t="n">
        <v>2</v>
      </c>
      <c r="AK775" t="n">
        <v>2</v>
      </c>
      <c r="AL775" t="n">
        <v>3</v>
      </c>
      <c r="AM775" t="n">
        <v>3</v>
      </c>
      <c r="AN775" t="n">
        <v>0</v>
      </c>
      <c r="AO775" t="n">
        <v>0</v>
      </c>
      <c r="AP775" t="inlineStr">
        <is>
          <t>No</t>
        </is>
      </c>
      <c r="AQ775" t="inlineStr">
        <is>
          <t>No</t>
        </is>
      </c>
      <c r="AS775">
        <f>HYPERLINK("https://creighton-primo.hosted.exlibrisgroup.com/primo-explore/search?tab=default_tab&amp;search_scope=EVERYTHING&amp;vid=01CRU&amp;lang=en_US&amp;offset=0&amp;query=any,contains,991001654419702656","Catalog Record")</f>
        <v/>
      </c>
      <c r="AT775">
        <f>HYPERLINK("http://www.worldcat.org/oclc/21117889","WorldCat Record")</f>
        <v/>
      </c>
      <c r="AU775" t="inlineStr">
        <is>
          <t>4019661167:eng</t>
        </is>
      </c>
      <c r="AV775" t="inlineStr">
        <is>
          <t>21117889</t>
        </is>
      </c>
      <c r="AW775" t="inlineStr">
        <is>
          <t>991001654419702656</t>
        </is>
      </c>
      <c r="AX775" t="inlineStr">
        <is>
          <t>991001654419702656</t>
        </is>
      </c>
      <c r="AY775" t="inlineStr">
        <is>
          <t>2261498250002656</t>
        </is>
      </c>
      <c r="AZ775" t="inlineStr">
        <is>
          <t>BOOK</t>
        </is>
      </c>
      <c r="BB775" t="inlineStr">
        <is>
          <t>9780810610859</t>
        </is>
      </c>
      <c r="BC775" t="inlineStr">
        <is>
          <t>32285000023993</t>
        </is>
      </c>
      <c r="BD775" t="inlineStr">
        <is>
          <t>893408263</t>
        </is>
      </c>
    </row>
    <row r="776">
      <c r="A776" t="inlineStr">
        <is>
          <t>No</t>
        </is>
      </c>
      <c r="B776" t="inlineStr">
        <is>
          <t>LB1574.5 .M365 2002</t>
        </is>
      </c>
      <c r="C776" t="inlineStr">
        <is>
          <t>0                      LB 1574500M  365         2002</t>
        </is>
      </c>
      <c r="D776" t="inlineStr">
        <is>
          <t>High frequency words : strategies that build skills in spelling, vocabulary, and word play / Ken Marland.</t>
        </is>
      </c>
      <c r="F776" t="inlineStr">
        <is>
          <t>No</t>
        </is>
      </c>
      <c r="G776" t="inlineStr">
        <is>
          <t>1</t>
        </is>
      </c>
      <c r="H776" t="inlineStr">
        <is>
          <t>No</t>
        </is>
      </c>
      <c r="I776" t="inlineStr">
        <is>
          <t>No</t>
        </is>
      </c>
      <c r="J776" t="inlineStr">
        <is>
          <t>0</t>
        </is>
      </c>
      <c r="K776" t="inlineStr">
        <is>
          <t>Marland, Ken, 1952-</t>
        </is>
      </c>
      <c r="L776" t="inlineStr">
        <is>
          <t>Markham, Ont. : Pembroke Publishers, c2002.</t>
        </is>
      </c>
      <c r="M776" t="inlineStr">
        <is>
          <t>2002</t>
        </is>
      </c>
      <c r="O776" t="inlineStr">
        <is>
          <t>eng</t>
        </is>
      </c>
      <c r="P776" t="inlineStr">
        <is>
          <t>onc</t>
        </is>
      </c>
      <c r="R776" t="inlineStr">
        <is>
          <t xml:space="preserve">LB </t>
        </is>
      </c>
      <c r="S776" t="n">
        <v>3</v>
      </c>
      <c r="T776" t="n">
        <v>3</v>
      </c>
      <c r="U776" t="inlineStr">
        <is>
          <t>2005-10-30</t>
        </is>
      </c>
      <c r="V776" t="inlineStr">
        <is>
          <t>2005-10-30</t>
        </is>
      </c>
      <c r="W776" t="inlineStr">
        <is>
          <t>2003-12-04</t>
        </is>
      </c>
      <c r="X776" t="inlineStr">
        <is>
          <t>2003-12-04</t>
        </is>
      </c>
      <c r="Y776" t="n">
        <v>167</v>
      </c>
      <c r="Z776" t="n">
        <v>135</v>
      </c>
      <c r="AA776" t="n">
        <v>135</v>
      </c>
      <c r="AB776" t="n">
        <v>1</v>
      </c>
      <c r="AC776" t="n">
        <v>1</v>
      </c>
      <c r="AD776" t="n">
        <v>8</v>
      </c>
      <c r="AE776" t="n">
        <v>8</v>
      </c>
      <c r="AF776" t="n">
        <v>3</v>
      </c>
      <c r="AG776" t="n">
        <v>3</v>
      </c>
      <c r="AH776" t="n">
        <v>1</v>
      </c>
      <c r="AI776" t="n">
        <v>1</v>
      </c>
      <c r="AJ776" t="n">
        <v>7</v>
      </c>
      <c r="AK776" t="n">
        <v>7</v>
      </c>
      <c r="AL776" t="n">
        <v>0</v>
      </c>
      <c r="AM776" t="n">
        <v>0</v>
      </c>
      <c r="AN776" t="n">
        <v>0</v>
      </c>
      <c r="AO776" t="n">
        <v>0</v>
      </c>
      <c r="AP776" t="inlineStr">
        <is>
          <t>No</t>
        </is>
      </c>
      <c r="AQ776" t="inlineStr">
        <is>
          <t>No</t>
        </is>
      </c>
      <c r="AS776">
        <f>HYPERLINK("https://creighton-primo.hosted.exlibrisgroup.com/primo-explore/search?tab=default_tab&amp;search_scope=EVERYTHING&amp;vid=01CRU&amp;lang=en_US&amp;offset=0&amp;query=any,contains,991004170109702656","Catalog Record")</f>
        <v/>
      </c>
      <c r="AT776">
        <f>HYPERLINK("http://www.worldcat.org/oclc/50143753","WorldCat Record")</f>
        <v/>
      </c>
      <c r="AU776" t="inlineStr">
        <is>
          <t>1045640:eng</t>
        </is>
      </c>
      <c r="AV776" t="inlineStr">
        <is>
          <t>50143753</t>
        </is>
      </c>
      <c r="AW776" t="inlineStr">
        <is>
          <t>991004170109702656</t>
        </is>
      </c>
      <c r="AX776" t="inlineStr">
        <is>
          <t>991004170109702656</t>
        </is>
      </c>
      <c r="AY776" t="inlineStr">
        <is>
          <t>2268977160002656</t>
        </is>
      </c>
      <c r="AZ776" t="inlineStr">
        <is>
          <t>BOOK</t>
        </is>
      </c>
      <c r="BB776" t="inlineStr">
        <is>
          <t>9781551381442</t>
        </is>
      </c>
      <c r="BC776" t="inlineStr">
        <is>
          <t>32285004844311</t>
        </is>
      </c>
      <c r="BD776" t="inlineStr">
        <is>
          <t>893788364</t>
        </is>
      </c>
    </row>
    <row r="777">
      <c r="A777" t="inlineStr">
        <is>
          <t>No</t>
        </is>
      </c>
      <c r="B777" t="inlineStr">
        <is>
          <t>LB1574.H6 I4 1982</t>
        </is>
      </c>
      <c r="C777" t="inlineStr">
        <is>
          <t>0                      LB 1574000H  6                  I  4           1982</t>
        </is>
      </c>
      <c r="D777" t="inlineStr">
        <is>
          <t>Improving spelling and vocabulary in the secondary school / Richard E. Hodges.</t>
        </is>
      </c>
      <c r="F777" t="inlineStr">
        <is>
          <t>No</t>
        </is>
      </c>
      <c r="G777" t="inlineStr">
        <is>
          <t>1</t>
        </is>
      </c>
      <c r="H777" t="inlineStr">
        <is>
          <t>No</t>
        </is>
      </c>
      <c r="I777" t="inlineStr">
        <is>
          <t>No</t>
        </is>
      </c>
      <c r="J777" t="inlineStr">
        <is>
          <t>0</t>
        </is>
      </c>
      <c r="K777" t="inlineStr">
        <is>
          <t>Hodges, Richard E.</t>
        </is>
      </c>
      <c r="L777" t="inlineStr">
        <is>
          <t>Urbana, Ill. : ERIC Clearinghouse on Reading and Communication Skills : National Council of Teachers of English, 1982.</t>
        </is>
      </c>
      <c r="M777" t="inlineStr">
        <is>
          <t>1982</t>
        </is>
      </c>
      <c r="O777" t="inlineStr">
        <is>
          <t>eng</t>
        </is>
      </c>
      <c r="P777" t="inlineStr">
        <is>
          <t>ilu</t>
        </is>
      </c>
      <c r="Q777" t="inlineStr">
        <is>
          <t>Theory &amp; research into practice</t>
        </is>
      </c>
      <c r="R777" t="inlineStr">
        <is>
          <t xml:space="preserve">LB </t>
        </is>
      </c>
      <c r="S777" t="n">
        <v>4</v>
      </c>
      <c r="T777" t="n">
        <v>4</v>
      </c>
      <c r="U777" t="inlineStr">
        <is>
          <t>1999-09-22</t>
        </is>
      </c>
      <c r="V777" t="inlineStr">
        <is>
          <t>1999-09-22</t>
        </is>
      </c>
      <c r="W777" t="inlineStr">
        <is>
          <t>1993-01-27</t>
        </is>
      </c>
      <c r="X777" t="inlineStr">
        <is>
          <t>1993-01-27</t>
        </is>
      </c>
      <c r="Y777" t="n">
        <v>169</v>
      </c>
      <c r="Z777" t="n">
        <v>148</v>
      </c>
      <c r="AA777" t="n">
        <v>150</v>
      </c>
      <c r="AB777" t="n">
        <v>3</v>
      </c>
      <c r="AC777" t="n">
        <v>3</v>
      </c>
      <c r="AD777" t="n">
        <v>8</v>
      </c>
      <c r="AE777" t="n">
        <v>8</v>
      </c>
      <c r="AF777" t="n">
        <v>4</v>
      </c>
      <c r="AG777" t="n">
        <v>4</v>
      </c>
      <c r="AH777" t="n">
        <v>1</v>
      </c>
      <c r="AI777" t="n">
        <v>1</v>
      </c>
      <c r="AJ777" t="n">
        <v>4</v>
      </c>
      <c r="AK777" t="n">
        <v>4</v>
      </c>
      <c r="AL777" t="n">
        <v>2</v>
      </c>
      <c r="AM777" t="n">
        <v>2</v>
      </c>
      <c r="AN777" t="n">
        <v>0</v>
      </c>
      <c r="AO777" t="n">
        <v>0</v>
      </c>
      <c r="AP777" t="inlineStr">
        <is>
          <t>No</t>
        </is>
      </c>
      <c r="AQ777" t="inlineStr">
        <is>
          <t>Yes</t>
        </is>
      </c>
      <c r="AR777">
        <f>HYPERLINK("http://catalog.hathitrust.org/Record/004530632","HathiTrust Record")</f>
        <v/>
      </c>
      <c r="AS777">
        <f>HYPERLINK("https://creighton-primo.hosted.exlibrisgroup.com/primo-explore/search?tab=default_tab&amp;search_scope=EVERYTHING&amp;vid=01CRU&amp;lang=en_US&amp;offset=0&amp;query=any,contains,991000099329702656","Catalog Record")</f>
        <v/>
      </c>
      <c r="AT777">
        <f>HYPERLINK("http://www.worldcat.org/oclc/8942599","WorldCat Record")</f>
        <v/>
      </c>
      <c r="AU777" t="inlineStr">
        <is>
          <t>42975290:eng</t>
        </is>
      </c>
      <c r="AV777" t="inlineStr">
        <is>
          <t>8942599</t>
        </is>
      </c>
      <c r="AW777" t="inlineStr">
        <is>
          <t>991000099329702656</t>
        </is>
      </c>
      <c r="AX777" t="inlineStr">
        <is>
          <t>991000099329702656</t>
        </is>
      </c>
      <c r="AY777" t="inlineStr">
        <is>
          <t>2258623260002656</t>
        </is>
      </c>
      <c r="AZ777" t="inlineStr">
        <is>
          <t>BOOK</t>
        </is>
      </c>
      <c r="BC777" t="inlineStr">
        <is>
          <t>32285001478956</t>
        </is>
      </c>
      <c r="BD777" t="inlineStr">
        <is>
          <t>893425426</t>
        </is>
      </c>
    </row>
    <row r="778">
      <c r="A778" t="inlineStr">
        <is>
          <t>No</t>
        </is>
      </c>
      <c r="B778" t="inlineStr">
        <is>
          <t>LB1575 .B35 1992</t>
        </is>
      </c>
      <c r="C778" t="inlineStr">
        <is>
          <t>0                      LB 1575000B  35          1992</t>
        </is>
      </c>
      <c r="D778" t="inlineStr">
        <is>
          <t>Literature activities across the curriculum : ready-to-use ideas, projects, and worksheets for grades 4-8 / Marian R. Bartch.</t>
        </is>
      </c>
      <c r="F778" t="inlineStr">
        <is>
          <t>No</t>
        </is>
      </c>
      <c r="G778" t="inlineStr">
        <is>
          <t>1</t>
        </is>
      </c>
      <c r="H778" t="inlineStr">
        <is>
          <t>No</t>
        </is>
      </c>
      <c r="I778" t="inlineStr">
        <is>
          <t>No</t>
        </is>
      </c>
      <c r="J778" t="inlineStr">
        <is>
          <t>0</t>
        </is>
      </c>
      <c r="K778" t="inlineStr">
        <is>
          <t>Bartch, Marian R.</t>
        </is>
      </c>
      <c r="L778" t="inlineStr">
        <is>
          <t>West Nyack, N.Y. : Center for Applied Research in Education, c1992.</t>
        </is>
      </c>
      <c r="M778" t="inlineStr">
        <is>
          <t>1992</t>
        </is>
      </c>
      <c r="O778" t="inlineStr">
        <is>
          <t>eng</t>
        </is>
      </c>
      <c r="P778" t="inlineStr">
        <is>
          <t>nyu</t>
        </is>
      </c>
      <c r="R778" t="inlineStr">
        <is>
          <t xml:space="preserve">LB </t>
        </is>
      </c>
      <c r="S778" t="n">
        <v>9</v>
      </c>
      <c r="T778" t="n">
        <v>9</v>
      </c>
      <c r="U778" t="inlineStr">
        <is>
          <t>1999-11-16</t>
        </is>
      </c>
      <c r="V778" t="inlineStr">
        <is>
          <t>1999-11-16</t>
        </is>
      </c>
      <c r="W778" t="inlineStr">
        <is>
          <t>1994-09-21</t>
        </is>
      </c>
      <c r="X778" t="inlineStr">
        <is>
          <t>1994-09-21</t>
        </is>
      </c>
      <c r="Y778" t="n">
        <v>163</v>
      </c>
      <c r="Z778" t="n">
        <v>157</v>
      </c>
      <c r="AA778" t="n">
        <v>158</v>
      </c>
      <c r="AB778" t="n">
        <v>5</v>
      </c>
      <c r="AC778" t="n">
        <v>5</v>
      </c>
      <c r="AD778" t="n">
        <v>8</v>
      </c>
      <c r="AE778" t="n">
        <v>8</v>
      </c>
      <c r="AF778" t="n">
        <v>2</v>
      </c>
      <c r="AG778" t="n">
        <v>2</v>
      </c>
      <c r="AH778" t="n">
        <v>2</v>
      </c>
      <c r="AI778" t="n">
        <v>2</v>
      </c>
      <c r="AJ778" t="n">
        <v>3</v>
      </c>
      <c r="AK778" t="n">
        <v>3</v>
      </c>
      <c r="AL778" t="n">
        <v>4</v>
      </c>
      <c r="AM778" t="n">
        <v>4</v>
      </c>
      <c r="AN778" t="n">
        <v>0</v>
      </c>
      <c r="AO778" t="n">
        <v>0</v>
      </c>
      <c r="AP778" t="inlineStr">
        <is>
          <t>No</t>
        </is>
      </c>
      <c r="AQ778" t="inlineStr">
        <is>
          <t>Yes</t>
        </is>
      </c>
      <c r="AR778">
        <f>HYPERLINK("http://catalog.hathitrust.org/Record/101933234","HathiTrust Record")</f>
        <v/>
      </c>
      <c r="AS778">
        <f>HYPERLINK("https://creighton-primo.hosted.exlibrisgroup.com/primo-explore/search?tab=default_tab&amp;search_scope=EVERYTHING&amp;vid=01CRU&amp;lang=en_US&amp;offset=0&amp;query=any,contains,991001872089702656","Catalog Record")</f>
        <v/>
      </c>
      <c r="AT778">
        <f>HYPERLINK("http://www.worldcat.org/oclc/23649445","WorldCat Record")</f>
        <v/>
      </c>
      <c r="AU778" t="inlineStr">
        <is>
          <t>4231079360:eng</t>
        </is>
      </c>
      <c r="AV778" t="inlineStr">
        <is>
          <t>23649445</t>
        </is>
      </c>
      <c r="AW778" t="inlineStr">
        <is>
          <t>991001872089702656</t>
        </is>
      </c>
      <c r="AX778" t="inlineStr">
        <is>
          <t>991001872089702656</t>
        </is>
      </c>
      <c r="AY778" t="inlineStr">
        <is>
          <t>2259875670002656</t>
        </is>
      </c>
      <c r="AZ778" t="inlineStr">
        <is>
          <t>BOOK</t>
        </is>
      </c>
      <c r="BB778" t="inlineStr">
        <is>
          <t>9780876285442</t>
        </is>
      </c>
      <c r="BC778" t="inlineStr">
        <is>
          <t>32285001946937</t>
        </is>
      </c>
      <c r="BD778" t="inlineStr">
        <is>
          <t>893256582</t>
        </is>
      </c>
    </row>
    <row r="779">
      <c r="A779" t="inlineStr">
        <is>
          <t>No</t>
        </is>
      </c>
      <c r="B779" t="inlineStr">
        <is>
          <t>LB1575 .H66</t>
        </is>
      </c>
      <c r="C779" t="inlineStr">
        <is>
          <t>0                      LB 1575000H  66</t>
        </is>
      </c>
      <c r="D779" t="inlineStr">
        <is>
          <t>Pass the poetry, please! Using poetry in pre-kindergarten-six classrooms.</t>
        </is>
      </c>
      <c r="F779" t="inlineStr">
        <is>
          <t>No</t>
        </is>
      </c>
      <c r="G779" t="inlineStr">
        <is>
          <t>1</t>
        </is>
      </c>
      <c r="H779" t="inlineStr">
        <is>
          <t>No</t>
        </is>
      </c>
      <c r="I779" t="inlineStr">
        <is>
          <t>No</t>
        </is>
      </c>
      <c r="J779" t="inlineStr">
        <is>
          <t>0</t>
        </is>
      </c>
      <c r="K779" t="inlineStr">
        <is>
          <t>Hopkins, Lee Bennett.</t>
        </is>
      </c>
      <c r="L779" t="inlineStr">
        <is>
          <t>New York, Citation Press, 1972.</t>
        </is>
      </c>
      <c r="M779" t="inlineStr">
        <is>
          <t>1972</t>
        </is>
      </c>
      <c r="O779" t="inlineStr">
        <is>
          <t>eng</t>
        </is>
      </c>
      <c r="P779" t="inlineStr">
        <is>
          <t>nyu</t>
        </is>
      </c>
      <c r="R779" t="inlineStr">
        <is>
          <t xml:space="preserve">LB </t>
        </is>
      </c>
      <c r="S779" t="n">
        <v>6</v>
      </c>
      <c r="T779" t="n">
        <v>6</v>
      </c>
      <c r="U779" t="inlineStr">
        <is>
          <t>2005-01-20</t>
        </is>
      </c>
      <c r="V779" t="inlineStr">
        <is>
          <t>2005-01-20</t>
        </is>
      </c>
      <c r="W779" t="inlineStr">
        <is>
          <t>1992-11-12</t>
        </is>
      </c>
      <c r="X779" t="inlineStr">
        <is>
          <t>1992-11-12</t>
        </is>
      </c>
      <c r="Y779" t="n">
        <v>360</v>
      </c>
      <c r="Z779" t="n">
        <v>338</v>
      </c>
      <c r="AA779" t="n">
        <v>1041</v>
      </c>
      <c r="AB779" t="n">
        <v>3</v>
      </c>
      <c r="AC779" t="n">
        <v>6</v>
      </c>
      <c r="AD779" t="n">
        <v>11</v>
      </c>
      <c r="AE779" t="n">
        <v>17</v>
      </c>
      <c r="AF779" t="n">
        <v>6</v>
      </c>
      <c r="AG779" t="n">
        <v>8</v>
      </c>
      <c r="AH779" t="n">
        <v>0</v>
      </c>
      <c r="AI779" t="n">
        <v>1</v>
      </c>
      <c r="AJ779" t="n">
        <v>6</v>
      </c>
      <c r="AK779" t="n">
        <v>8</v>
      </c>
      <c r="AL779" t="n">
        <v>2</v>
      </c>
      <c r="AM779" t="n">
        <v>3</v>
      </c>
      <c r="AN779" t="n">
        <v>0</v>
      </c>
      <c r="AO779" t="n">
        <v>0</v>
      </c>
      <c r="AP779" t="inlineStr">
        <is>
          <t>No</t>
        </is>
      </c>
      <c r="AQ779" t="inlineStr">
        <is>
          <t>Yes</t>
        </is>
      </c>
      <c r="AR779">
        <f>HYPERLINK("http://catalog.hathitrust.org/Record/009905832","HathiTrust Record")</f>
        <v/>
      </c>
      <c r="AS779">
        <f>HYPERLINK("https://creighton-primo.hosted.exlibrisgroup.com/primo-explore/search?tab=default_tab&amp;search_scope=EVERYTHING&amp;vid=01CRU&amp;lang=en_US&amp;offset=0&amp;query=any,contains,991003030769702656","Catalog Record")</f>
        <v/>
      </c>
      <c r="AT779">
        <f>HYPERLINK("http://www.worldcat.org/oclc/594064","WorldCat Record")</f>
        <v/>
      </c>
      <c r="AU779" t="inlineStr">
        <is>
          <t>7773479:eng</t>
        </is>
      </c>
      <c r="AV779" t="inlineStr">
        <is>
          <t>594064</t>
        </is>
      </c>
      <c r="AW779" t="inlineStr">
        <is>
          <t>991003030769702656</t>
        </is>
      </c>
      <c r="AX779" t="inlineStr">
        <is>
          <t>991003030769702656</t>
        </is>
      </c>
      <c r="AY779" t="inlineStr">
        <is>
          <t>2271759950002656</t>
        </is>
      </c>
      <c r="AZ779" t="inlineStr">
        <is>
          <t>BOOK</t>
        </is>
      </c>
      <c r="BC779" t="inlineStr">
        <is>
          <t>32285001389997</t>
        </is>
      </c>
      <c r="BD779" t="inlineStr">
        <is>
          <t>893258003</t>
        </is>
      </c>
    </row>
    <row r="780">
      <c r="A780" t="inlineStr">
        <is>
          <t>No</t>
        </is>
      </c>
      <c r="B780" t="inlineStr">
        <is>
          <t>LB1575 .K28 2000</t>
        </is>
      </c>
      <c r="C780" t="inlineStr">
        <is>
          <t>0                      LB 1575000K  28          2000</t>
        </is>
      </c>
      <c r="D780" t="inlineStr">
        <is>
          <t>Conferences &amp; conversations : listening to the literate classroom / Douglas Kaufman ; afterword by Linda Rief.</t>
        </is>
      </c>
      <c r="F780" t="inlineStr">
        <is>
          <t>No</t>
        </is>
      </c>
      <c r="G780" t="inlineStr">
        <is>
          <t>1</t>
        </is>
      </c>
      <c r="H780" t="inlineStr">
        <is>
          <t>No</t>
        </is>
      </c>
      <c r="I780" t="inlineStr">
        <is>
          <t>No</t>
        </is>
      </c>
      <c r="J780" t="inlineStr">
        <is>
          <t>0</t>
        </is>
      </c>
      <c r="K780" t="inlineStr">
        <is>
          <t>Kaufman, Douglas, 1963-</t>
        </is>
      </c>
      <c r="L780" t="inlineStr">
        <is>
          <t>Portsmouth, NH : Heinemann, c2000.</t>
        </is>
      </c>
      <c r="M780" t="inlineStr">
        <is>
          <t>2000</t>
        </is>
      </c>
      <c r="O780" t="inlineStr">
        <is>
          <t>eng</t>
        </is>
      </c>
      <c r="P780" t="inlineStr">
        <is>
          <t>nhu</t>
        </is>
      </c>
      <c r="R780" t="inlineStr">
        <is>
          <t xml:space="preserve">LB </t>
        </is>
      </c>
      <c r="S780" t="n">
        <v>2</v>
      </c>
      <c r="T780" t="n">
        <v>2</v>
      </c>
      <c r="U780" t="inlineStr">
        <is>
          <t>2009-09-24</t>
        </is>
      </c>
      <c r="V780" t="inlineStr">
        <is>
          <t>2009-09-24</t>
        </is>
      </c>
      <c r="W780" t="inlineStr">
        <is>
          <t>2001-04-19</t>
        </is>
      </c>
      <c r="X780" t="inlineStr">
        <is>
          <t>2001-04-19</t>
        </is>
      </c>
      <c r="Y780" t="n">
        <v>198</v>
      </c>
      <c r="Z780" t="n">
        <v>178</v>
      </c>
      <c r="AA780" t="n">
        <v>185</v>
      </c>
      <c r="AB780" t="n">
        <v>2</v>
      </c>
      <c r="AC780" t="n">
        <v>2</v>
      </c>
      <c r="AD780" t="n">
        <v>7</v>
      </c>
      <c r="AE780" t="n">
        <v>7</v>
      </c>
      <c r="AF780" t="n">
        <v>2</v>
      </c>
      <c r="AG780" t="n">
        <v>2</v>
      </c>
      <c r="AH780" t="n">
        <v>2</v>
      </c>
      <c r="AI780" t="n">
        <v>2</v>
      </c>
      <c r="AJ780" t="n">
        <v>4</v>
      </c>
      <c r="AK780" t="n">
        <v>4</v>
      </c>
      <c r="AL780" t="n">
        <v>1</v>
      </c>
      <c r="AM780" t="n">
        <v>1</v>
      </c>
      <c r="AN780" t="n">
        <v>0</v>
      </c>
      <c r="AO780" t="n">
        <v>0</v>
      </c>
      <c r="AP780" t="inlineStr">
        <is>
          <t>No</t>
        </is>
      </c>
      <c r="AQ780" t="inlineStr">
        <is>
          <t>Yes</t>
        </is>
      </c>
      <c r="AR780">
        <f>HYPERLINK("http://catalog.hathitrust.org/Record/102014466","HathiTrust Record")</f>
        <v/>
      </c>
      <c r="AS780">
        <f>HYPERLINK("https://creighton-primo.hosted.exlibrisgroup.com/primo-explore/search?tab=default_tab&amp;search_scope=EVERYTHING&amp;vid=01CRU&amp;lang=en_US&amp;offset=0&amp;query=any,contains,991003494359702656","Catalog Record")</f>
        <v/>
      </c>
      <c r="AT780">
        <f>HYPERLINK("http://www.worldcat.org/oclc/44089399","WorldCat Record")</f>
        <v/>
      </c>
      <c r="AU780" t="inlineStr">
        <is>
          <t>3740838616:eng</t>
        </is>
      </c>
      <c r="AV780" t="inlineStr">
        <is>
          <t>44089399</t>
        </is>
      </c>
      <c r="AW780" t="inlineStr">
        <is>
          <t>991003494359702656</t>
        </is>
      </c>
      <c r="AX780" t="inlineStr">
        <is>
          <t>991003494359702656</t>
        </is>
      </c>
      <c r="AY780" t="inlineStr">
        <is>
          <t>2262956440002656</t>
        </is>
      </c>
      <c r="AZ780" t="inlineStr">
        <is>
          <t>BOOK</t>
        </is>
      </c>
      <c r="BB780" t="inlineStr">
        <is>
          <t>9780325002712</t>
        </is>
      </c>
      <c r="BC780" t="inlineStr">
        <is>
          <t>32285004313630</t>
        </is>
      </c>
      <c r="BD780" t="inlineStr">
        <is>
          <t>893887524</t>
        </is>
      </c>
    </row>
    <row r="781">
      <c r="A781" t="inlineStr">
        <is>
          <t>No</t>
        </is>
      </c>
      <c r="B781" t="inlineStr">
        <is>
          <t>LB1575 .P65 2002</t>
        </is>
      </c>
      <c r="C781" t="inlineStr">
        <is>
          <t>0                      LB 1575000P  65          2002</t>
        </is>
      </c>
      <c r="D781" t="inlineStr">
        <is>
          <t>Literature lures : using picture books and novels to motivate middle school readers / Nancy J. Polette, Joan Ebbesmeyer.</t>
        </is>
      </c>
      <c r="F781" t="inlineStr">
        <is>
          <t>No</t>
        </is>
      </c>
      <c r="G781" t="inlineStr">
        <is>
          <t>1</t>
        </is>
      </c>
      <c r="H781" t="inlineStr">
        <is>
          <t>No</t>
        </is>
      </c>
      <c r="I781" t="inlineStr">
        <is>
          <t>No</t>
        </is>
      </c>
      <c r="J781" t="inlineStr">
        <is>
          <t>0</t>
        </is>
      </c>
      <c r="K781" t="inlineStr">
        <is>
          <t>Polette, Nancy.</t>
        </is>
      </c>
      <c r="L781" t="inlineStr">
        <is>
          <t>Greenwood village, Colo. : Teacher Ideas Press, 2002.</t>
        </is>
      </c>
      <c r="M781" t="inlineStr">
        <is>
          <t>2002</t>
        </is>
      </c>
      <c r="O781" t="inlineStr">
        <is>
          <t>eng</t>
        </is>
      </c>
      <c r="P781" t="inlineStr">
        <is>
          <t>cou</t>
        </is>
      </c>
      <c r="R781" t="inlineStr">
        <is>
          <t xml:space="preserve">LB </t>
        </is>
      </c>
      <c r="S781" t="n">
        <v>1</v>
      </c>
      <c r="T781" t="n">
        <v>1</v>
      </c>
      <c r="U781" t="inlineStr">
        <is>
          <t>2002-10-08</t>
        </is>
      </c>
      <c r="V781" t="inlineStr">
        <is>
          <t>2002-10-08</t>
        </is>
      </c>
      <c r="W781" t="inlineStr">
        <is>
          <t>2002-10-08</t>
        </is>
      </c>
      <c r="X781" t="inlineStr">
        <is>
          <t>2002-10-08</t>
        </is>
      </c>
      <c r="Y781" t="n">
        <v>264</v>
      </c>
      <c r="Z781" t="n">
        <v>233</v>
      </c>
      <c r="AA781" t="n">
        <v>1156</v>
      </c>
      <c r="AB781" t="n">
        <v>4</v>
      </c>
      <c r="AC781" t="n">
        <v>27</v>
      </c>
      <c r="AD781" t="n">
        <v>8</v>
      </c>
      <c r="AE781" t="n">
        <v>31</v>
      </c>
      <c r="AF781" t="n">
        <v>1</v>
      </c>
      <c r="AG781" t="n">
        <v>9</v>
      </c>
      <c r="AH781" t="n">
        <v>2</v>
      </c>
      <c r="AI781" t="n">
        <v>6</v>
      </c>
      <c r="AJ781" t="n">
        <v>3</v>
      </c>
      <c r="AK781" t="n">
        <v>10</v>
      </c>
      <c r="AL781" t="n">
        <v>3</v>
      </c>
      <c r="AM781" t="n">
        <v>12</v>
      </c>
      <c r="AN781" t="n">
        <v>0</v>
      </c>
      <c r="AO781" t="n">
        <v>0</v>
      </c>
      <c r="AP781" t="inlineStr">
        <is>
          <t>No</t>
        </is>
      </c>
      <c r="AQ781" t="inlineStr">
        <is>
          <t>No</t>
        </is>
      </c>
      <c r="AS781">
        <f>HYPERLINK("https://creighton-primo.hosted.exlibrisgroup.com/primo-explore/search?tab=default_tab&amp;search_scope=EVERYTHING&amp;vid=01CRU&amp;lang=en_US&amp;offset=0&amp;query=any,contains,991003878769702656","Catalog Record")</f>
        <v/>
      </c>
      <c r="AT781">
        <f>HYPERLINK("http://www.worldcat.org/oclc/48265579","WorldCat Record")</f>
        <v/>
      </c>
      <c r="AU781" t="inlineStr">
        <is>
          <t>800361951:eng</t>
        </is>
      </c>
      <c r="AV781" t="inlineStr">
        <is>
          <t>48265579</t>
        </is>
      </c>
      <c r="AW781" t="inlineStr">
        <is>
          <t>991003878769702656</t>
        </is>
      </c>
      <c r="AX781" t="inlineStr">
        <is>
          <t>991003878769702656</t>
        </is>
      </c>
      <c r="AY781" t="inlineStr">
        <is>
          <t>2255034550002656</t>
        </is>
      </c>
      <c r="AZ781" t="inlineStr">
        <is>
          <t>BOOK</t>
        </is>
      </c>
      <c r="BB781" t="inlineStr">
        <is>
          <t>9781563089527</t>
        </is>
      </c>
      <c r="BC781" t="inlineStr">
        <is>
          <t>32285004653548</t>
        </is>
      </c>
      <c r="BD781" t="inlineStr">
        <is>
          <t>893416916</t>
        </is>
      </c>
    </row>
    <row r="782">
      <c r="A782" t="inlineStr">
        <is>
          <t>No</t>
        </is>
      </c>
      <c r="B782" t="inlineStr">
        <is>
          <t>LB1575 .R82 1990</t>
        </is>
      </c>
      <c r="C782" t="inlineStr">
        <is>
          <t>0                      LB 1575000R  82          1990</t>
        </is>
      </c>
      <c r="D782" t="inlineStr">
        <is>
          <t>Teaching elementary language arts / Dorothy Rubin.</t>
        </is>
      </c>
      <c r="F782" t="inlineStr">
        <is>
          <t>No</t>
        </is>
      </c>
      <c r="G782" t="inlineStr">
        <is>
          <t>1</t>
        </is>
      </c>
      <c r="H782" t="inlineStr">
        <is>
          <t>No</t>
        </is>
      </c>
      <c r="I782" t="inlineStr">
        <is>
          <t>No</t>
        </is>
      </c>
      <c r="J782" t="inlineStr">
        <is>
          <t>0</t>
        </is>
      </c>
      <c r="K782" t="inlineStr">
        <is>
          <t>Rubin, Dorothy.</t>
        </is>
      </c>
      <c r="L782" t="inlineStr">
        <is>
          <t>Englewood Cliffs, N.J. : Prentice Hall, c1990.</t>
        </is>
      </c>
      <c r="M782" t="inlineStr">
        <is>
          <t>1990</t>
        </is>
      </c>
      <c r="N782" t="inlineStr">
        <is>
          <t>4th ed.</t>
        </is>
      </c>
      <c r="O782" t="inlineStr">
        <is>
          <t>eng</t>
        </is>
      </c>
      <c r="P782" t="inlineStr">
        <is>
          <t>nju</t>
        </is>
      </c>
      <c r="R782" t="inlineStr">
        <is>
          <t xml:space="preserve">LB </t>
        </is>
      </c>
      <c r="S782" t="n">
        <v>3</v>
      </c>
      <c r="T782" t="n">
        <v>3</v>
      </c>
      <c r="U782" t="inlineStr">
        <is>
          <t>1996-11-10</t>
        </is>
      </c>
      <c r="V782" t="inlineStr">
        <is>
          <t>1996-11-10</t>
        </is>
      </c>
      <c r="W782" t="inlineStr">
        <is>
          <t>1990-03-05</t>
        </is>
      </c>
      <c r="X782" t="inlineStr">
        <is>
          <t>1990-03-05</t>
        </is>
      </c>
      <c r="Y782" t="n">
        <v>200</v>
      </c>
      <c r="Z782" t="n">
        <v>180</v>
      </c>
      <c r="AA782" t="n">
        <v>534</v>
      </c>
      <c r="AB782" t="n">
        <v>2</v>
      </c>
      <c r="AC782" t="n">
        <v>5</v>
      </c>
      <c r="AD782" t="n">
        <v>9</v>
      </c>
      <c r="AE782" t="n">
        <v>19</v>
      </c>
      <c r="AF782" t="n">
        <v>4</v>
      </c>
      <c r="AG782" t="n">
        <v>6</v>
      </c>
      <c r="AH782" t="n">
        <v>3</v>
      </c>
      <c r="AI782" t="n">
        <v>4</v>
      </c>
      <c r="AJ782" t="n">
        <v>4</v>
      </c>
      <c r="AK782" t="n">
        <v>11</v>
      </c>
      <c r="AL782" t="n">
        <v>1</v>
      </c>
      <c r="AM782" t="n">
        <v>4</v>
      </c>
      <c r="AN782" t="n">
        <v>0</v>
      </c>
      <c r="AO782" t="n">
        <v>0</v>
      </c>
      <c r="AP782" t="inlineStr">
        <is>
          <t>No</t>
        </is>
      </c>
      <c r="AQ782" t="inlineStr">
        <is>
          <t>Yes</t>
        </is>
      </c>
      <c r="AR782">
        <f>HYPERLINK("http://catalog.hathitrust.org/Record/001943634","HathiTrust Record")</f>
        <v/>
      </c>
      <c r="AS782">
        <f>HYPERLINK("https://creighton-primo.hosted.exlibrisgroup.com/primo-explore/search?tab=default_tab&amp;search_scope=EVERYTHING&amp;vid=01CRU&amp;lang=en_US&amp;offset=0&amp;query=any,contains,991001487179702656","Catalog Record")</f>
        <v/>
      </c>
      <c r="AT782">
        <f>HYPERLINK("http://www.worldcat.org/oclc/19670737","WorldCat Record")</f>
        <v/>
      </c>
      <c r="AU782" t="inlineStr">
        <is>
          <t>2062908:eng</t>
        </is>
      </c>
      <c r="AV782" t="inlineStr">
        <is>
          <t>19670737</t>
        </is>
      </c>
      <c r="AW782" t="inlineStr">
        <is>
          <t>991001487179702656</t>
        </is>
      </c>
      <c r="AX782" t="inlineStr">
        <is>
          <t>991001487179702656</t>
        </is>
      </c>
      <c r="AY782" t="inlineStr">
        <is>
          <t>2264422730002656</t>
        </is>
      </c>
      <c r="AZ782" t="inlineStr">
        <is>
          <t>BOOK</t>
        </is>
      </c>
      <c r="BB782" t="inlineStr">
        <is>
          <t>9780138913670</t>
        </is>
      </c>
      <c r="BC782" t="inlineStr">
        <is>
          <t>32285000043025</t>
        </is>
      </c>
      <c r="BD782" t="inlineStr">
        <is>
          <t>893684355</t>
        </is>
      </c>
    </row>
    <row r="783">
      <c r="A783" t="inlineStr">
        <is>
          <t>No</t>
        </is>
      </c>
      <c r="B783" t="inlineStr">
        <is>
          <t>LB1575.8 .C88 1989</t>
        </is>
      </c>
      <c r="C783" t="inlineStr">
        <is>
          <t>0                      LB 1575800C  88          1989</t>
        </is>
      </c>
      <c r="D783" t="inlineStr">
        <is>
          <t>Getting started in whole language / by Brian Cutting.</t>
        </is>
      </c>
      <c r="F783" t="inlineStr">
        <is>
          <t>No</t>
        </is>
      </c>
      <c r="G783" t="inlineStr">
        <is>
          <t>1</t>
        </is>
      </c>
      <c r="H783" t="inlineStr">
        <is>
          <t>No</t>
        </is>
      </c>
      <c r="I783" t="inlineStr">
        <is>
          <t>No</t>
        </is>
      </c>
      <c r="J783" t="inlineStr">
        <is>
          <t>0</t>
        </is>
      </c>
      <c r="K783" t="inlineStr">
        <is>
          <t>Cutting, Brian.</t>
        </is>
      </c>
      <c r="L783" t="inlineStr">
        <is>
          <t>[New Zealand?] : Applecross ; San Diego, Calif. : Distributed in the United States of America by the Wright Group, [1989?]</t>
        </is>
      </c>
      <c r="M783" t="inlineStr">
        <is>
          <t>1989</t>
        </is>
      </c>
      <c r="O783" t="inlineStr">
        <is>
          <t>eng</t>
        </is>
      </c>
      <c r="P783" t="inlineStr">
        <is>
          <t xml:space="preserve">nz </t>
        </is>
      </c>
      <c r="R783" t="inlineStr">
        <is>
          <t xml:space="preserve">LB </t>
        </is>
      </c>
      <c r="S783" t="n">
        <v>6</v>
      </c>
      <c r="T783" t="n">
        <v>6</v>
      </c>
      <c r="U783" t="inlineStr">
        <is>
          <t>1996-11-13</t>
        </is>
      </c>
      <c r="V783" t="inlineStr">
        <is>
          <t>1996-11-13</t>
        </is>
      </c>
      <c r="W783" t="inlineStr">
        <is>
          <t>1994-04-18</t>
        </is>
      </c>
      <c r="X783" t="inlineStr">
        <is>
          <t>1994-04-18</t>
        </is>
      </c>
      <c r="Y783" t="n">
        <v>83</v>
      </c>
      <c r="Z783" t="n">
        <v>77</v>
      </c>
      <c r="AA783" t="n">
        <v>96</v>
      </c>
      <c r="AB783" t="n">
        <v>2</v>
      </c>
      <c r="AC783" t="n">
        <v>2</v>
      </c>
      <c r="AD783" t="n">
        <v>4</v>
      </c>
      <c r="AE783" t="n">
        <v>4</v>
      </c>
      <c r="AF783" t="n">
        <v>1</v>
      </c>
      <c r="AG783" t="n">
        <v>1</v>
      </c>
      <c r="AH783" t="n">
        <v>0</v>
      </c>
      <c r="AI783" t="n">
        <v>0</v>
      </c>
      <c r="AJ783" t="n">
        <v>3</v>
      </c>
      <c r="AK783" t="n">
        <v>3</v>
      </c>
      <c r="AL783" t="n">
        <v>1</v>
      </c>
      <c r="AM783" t="n">
        <v>1</v>
      </c>
      <c r="AN783" t="n">
        <v>0</v>
      </c>
      <c r="AO783" t="n">
        <v>0</v>
      </c>
      <c r="AP783" t="inlineStr">
        <is>
          <t>No</t>
        </is>
      </c>
      <c r="AQ783" t="inlineStr">
        <is>
          <t>No</t>
        </is>
      </c>
      <c r="AS783">
        <f>HYPERLINK("https://creighton-primo.hosted.exlibrisgroup.com/primo-explore/search?tab=default_tab&amp;search_scope=EVERYTHING&amp;vid=01CRU&amp;lang=en_US&amp;offset=0&amp;query=any,contains,991001640209702656","Catalog Record")</f>
        <v/>
      </c>
      <c r="AT783">
        <f>HYPERLINK("http://www.worldcat.org/oclc/21012181","WorldCat Record")</f>
        <v/>
      </c>
      <c r="AU783" t="inlineStr">
        <is>
          <t>22197533:eng</t>
        </is>
      </c>
      <c r="AV783" t="inlineStr">
        <is>
          <t>21012181</t>
        </is>
      </c>
      <c r="AW783" t="inlineStr">
        <is>
          <t>991001640209702656</t>
        </is>
      </c>
      <c r="AX783" t="inlineStr">
        <is>
          <t>991001640209702656</t>
        </is>
      </c>
      <c r="AY783" t="inlineStr">
        <is>
          <t>2267176700002656</t>
        </is>
      </c>
      <c r="AZ783" t="inlineStr">
        <is>
          <t>BOOK</t>
        </is>
      </c>
      <c r="BB783" t="inlineStr">
        <is>
          <t>9781559110419</t>
        </is>
      </c>
      <c r="BC783" t="inlineStr">
        <is>
          <t>32285001875201</t>
        </is>
      </c>
      <c r="BD783" t="inlineStr">
        <is>
          <t>893509774</t>
        </is>
      </c>
    </row>
    <row r="784">
      <c r="A784" t="inlineStr">
        <is>
          <t>No</t>
        </is>
      </c>
      <c r="B784" t="inlineStr">
        <is>
          <t>LB1575.8 .G65 1986b</t>
        </is>
      </c>
      <c r="C784" t="inlineStr">
        <is>
          <t>0                      LB 1575800G  65          1986b</t>
        </is>
      </c>
      <c r="D784" t="inlineStr">
        <is>
          <t>What's whole in whole language? / Ken Goodman.</t>
        </is>
      </c>
      <c r="F784" t="inlineStr">
        <is>
          <t>No</t>
        </is>
      </c>
      <c r="G784" t="inlineStr">
        <is>
          <t>1</t>
        </is>
      </c>
      <c r="H784" t="inlineStr">
        <is>
          <t>No</t>
        </is>
      </c>
      <c r="I784" t="inlineStr">
        <is>
          <t>No</t>
        </is>
      </c>
      <c r="J784" t="inlineStr">
        <is>
          <t>0</t>
        </is>
      </c>
      <c r="K784" t="inlineStr">
        <is>
          <t>Goodman, Kenneth S.</t>
        </is>
      </c>
      <c r="L784" t="inlineStr">
        <is>
          <t>Portsmouth, N.H. : Heinemann, c1986.</t>
        </is>
      </c>
      <c r="M784" t="inlineStr">
        <is>
          <t>1986</t>
        </is>
      </c>
      <c r="O784" t="inlineStr">
        <is>
          <t>eng</t>
        </is>
      </c>
      <c r="P784" t="inlineStr">
        <is>
          <t>nhu</t>
        </is>
      </c>
      <c r="R784" t="inlineStr">
        <is>
          <t xml:space="preserve">LB </t>
        </is>
      </c>
      <c r="S784" t="n">
        <v>5</v>
      </c>
      <c r="T784" t="n">
        <v>5</v>
      </c>
      <c r="U784" t="inlineStr">
        <is>
          <t>1996-10-20</t>
        </is>
      </c>
      <c r="V784" t="inlineStr">
        <is>
          <t>1996-10-20</t>
        </is>
      </c>
      <c r="W784" t="inlineStr">
        <is>
          <t>1992-01-21</t>
        </is>
      </c>
      <c r="X784" t="inlineStr">
        <is>
          <t>1992-01-21</t>
        </is>
      </c>
      <c r="Y784" t="n">
        <v>192</v>
      </c>
      <c r="Z784" t="n">
        <v>179</v>
      </c>
      <c r="AA784" t="n">
        <v>956</v>
      </c>
      <c r="AB784" t="n">
        <v>3</v>
      </c>
      <c r="AC784" t="n">
        <v>9</v>
      </c>
      <c r="AD784" t="n">
        <v>0</v>
      </c>
      <c r="AE784" t="n">
        <v>32</v>
      </c>
      <c r="AF784" t="n">
        <v>0</v>
      </c>
      <c r="AG784" t="n">
        <v>16</v>
      </c>
      <c r="AH784" t="n">
        <v>0</v>
      </c>
      <c r="AI784" t="n">
        <v>5</v>
      </c>
      <c r="AJ784" t="n">
        <v>0</v>
      </c>
      <c r="AK784" t="n">
        <v>13</v>
      </c>
      <c r="AL784" t="n">
        <v>0</v>
      </c>
      <c r="AM784" t="n">
        <v>6</v>
      </c>
      <c r="AN784" t="n">
        <v>0</v>
      </c>
      <c r="AO784" t="n">
        <v>0</v>
      </c>
      <c r="AP784" t="inlineStr">
        <is>
          <t>No</t>
        </is>
      </c>
      <c r="AQ784" t="inlineStr">
        <is>
          <t>Yes</t>
        </is>
      </c>
      <c r="AR784">
        <f>HYPERLINK("http://catalog.hathitrust.org/Record/007477142","HathiTrust Record")</f>
        <v/>
      </c>
      <c r="AS784">
        <f>HYPERLINK("https://creighton-primo.hosted.exlibrisgroup.com/primo-explore/search?tab=default_tab&amp;search_scope=EVERYTHING&amp;vid=01CRU&amp;lang=en_US&amp;offset=0&amp;query=any,contains,991001767839702656","Catalog Record")</f>
        <v/>
      </c>
      <c r="AT784">
        <f>HYPERLINK("http://www.worldcat.org/oclc/22340824","WorldCat Record")</f>
        <v/>
      </c>
      <c r="AU784" t="inlineStr">
        <is>
          <t>375992:eng</t>
        </is>
      </c>
      <c r="AV784" t="inlineStr">
        <is>
          <t>22340824</t>
        </is>
      </c>
      <c r="AW784" t="inlineStr">
        <is>
          <t>991001767839702656</t>
        </is>
      </c>
      <c r="AX784" t="inlineStr">
        <is>
          <t>991001767839702656</t>
        </is>
      </c>
      <c r="AY784" t="inlineStr">
        <is>
          <t>2255939610002656</t>
        </is>
      </c>
      <c r="AZ784" t="inlineStr">
        <is>
          <t>BOOK</t>
        </is>
      </c>
      <c r="BC784" t="inlineStr">
        <is>
          <t>32285000864636</t>
        </is>
      </c>
      <c r="BD784" t="inlineStr">
        <is>
          <t>893322230</t>
        </is>
      </c>
    </row>
    <row r="785">
      <c r="A785" t="inlineStr">
        <is>
          <t>No</t>
        </is>
      </c>
      <c r="B785" t="inlineStr">
        <is>
          <t>LB1576 .A6157 1997</t>
        </is>
      </c>
      <c r="C785" t="inlineStr">
        <is>
          <t>0                      LB 1576000A  6157        1997</t>
        </is>
      </c>
      <c r="D785" t="inlineStr">
        <is>
          <t>Alternatives to grading student writing / edited by Stephen Tchudi ; NCTE Committee on Alternatives to Grading Student Writing.</t>
        </is>
      </c>
      <c r="F785" t="inlineStr">
        <is>
          <t>No</t>
        </is>
      </c>
      <c r="G785" t="inlineStr">
        <is>
          <t>1</t>
        </is>
      </c>
      <c r="H785" t="inlineStr">
        <is>
          <t>No</t>
        </is>
      </c>
      <c r="I785" t="inlineStr">
        <is>
          <t>No</t>
        </is>
      </c>
      <c r="J785" t="inlineStr">
        <is>
          <t>0</t>
        </is>
      </c>
      <c r="L785" t="inlineStr">
        <is>
          <t>Urbana, Ill : National Council of Teachers of English, c1997.</t>
        </is>
      </c>
      <c r="M785" t="inlineStr">
        <is>
          <t>1997</t>
        </is>
      </c>
      <c r="O785" t="inlineStr">
        <is>
          <t>eng</t>
        </is>
      </c>
      <c r="P785" t="inlineStr">
        <is>
          <t>ilu</t>
        </is>
      </c>
      <c r="R785" t="inlineStr">
        <is>
          <t xml:space="preserve">LB </t>
        </is>
      </c>
      <c r="S785" t="n">
        <v>5</v>
      </c>
      <c r="T785" t="n">
        <v>5</v>
      </c>
      <c r="U785" t="inlineStr">
        <is>
          <t>2009-10-06</t>
        </is>
      </c>
      <c r="V785" t="inlineStr">
        <is>
          <t>2009-10-06</t>
        </is>
      </c>
      <c r="W785" t="inlineStr">
        <is>
          <t>1999-04-12</t>
        </is>
      </c>
      <c r="X785" t="inlineStr">
        <is>
          <t>1999-04-12</t>
        </is>
      </c>
      <c r="Y785" t="n">
        <v>501</v>
      </c>
      <c r="Z785" t="n">
        <v>458</v>
      </c>
      <c r="AA785" t="n">
        <v>506</v>
      </c>
      <c r="AB785" t="n">
        <v>3</v>
      </c>
      <c r="AC785" t="n">
        <v>4</v>
      </c>
      <c r="AD785" t="n">
        <v>21</v>
      </c>
      <c r="AE785" t="n">
        <v>23</v>
      </c>
      <c r="AF785" t="n">
        <v>10</v>
      </c>
      <c r="AG785" t="n">
        <v>10</v>
      </c>
      <c r="AH785" t="n">
        <v>5</v>
      </c>
      <c r="AI785" t="n">
        <v>5</v>
      </c>
      <c r="AJ785" t="n">
        <v>8</v>
      </c>
      <c r="AK785" t="n">
        <v>9</v>
      </c>
      <c r="AL785" t="n">
        <v>2</v>
      </c>
      <c r="AM785" t="n">
        <v>3</v>
      </c>
      <c r="AN785" t="n">
        <v>1</v>
      </c>
      <c r="AO785" t="n">
        <v>1</v>
      </c>
      <c r="AP785" t="inlineStr">
        <is>
          <t>No</t>
        </is>
      </c>
      <c r="AQ785" t="inlineStr">
        <is>
          <t>No</t>
        </is>
      </c>
      <c r="AS785">
        <f>HYPERLINK("https://creighton-primo.hosted.exlibrisgroup.com/primo-explore/search?tab=default_tab&amp;search_scope=EVERYTHING&amp;vid=01CRU&amp;lang=en_US&amp;offset=0&amp;query=any,contains,991002780679702656","Catalog Record")</f>
        <v/>
      </c>
      <c r="AT785">
        <f>HYPERLINK("http://www.worldcat.org/oclc/36501395","WorldCat Record")</f>
        <v/>
      </c>
      <c r="AU785" t="inlineStr">
        <is>
          <t>620695:eng</t>
        </is>
      </c>
      <c r="AV785" t="inlineStr">
        <is>
          <t>36501395</t>
        </is>
      </c>
      <c r="AW785" t="inlineStr">
        <is>
          <t>991002780679702656</t>
        </is>
      </c>
      <c r="AX785" t="inlineStr">
        <is>
          <t>991002780679702656</t>
        </is>
      </c>
      <c r="AY785" t="inlineStr">
        <is>
          <t>2267892930002656</t>
        </is>
      </c>
      <c r="AZ785" t="inlineStr">
        <is>
          <t>BOOK</t>
        </is>
      </c>
      <c r="BB785" t="inlineStr">
        <is>
          <t>9780814101308</t>
        </is>
      </c>
      <c r="BC785" t="inlineStr">
        <is>
          <t>32285003551248</t>
        </is>
      </c>
      <c r="BD785" t="inlineStr">
        <is>
          <t>893704511</t>
        </is>
      </c>
    </row>
    <row r="786">
      <c r="A786" t="inlineStr">
        <is>
          <t>No</t>
        </is>
      </c>
      <c r="B786" t="inlineStr">
        <is>
          <t>LB1576 .B87 1991</t>
        </is>
      </c>
      <c r="C786" t="inlineStr">
        <is>
          <t>0                      LB 1576000B  87          1991</t>
        </is>
      </c>
      <c r="D786" t="inlineStr">
        <is>
          <t>Why whole language? / written &amp; illustrated by Jay Buros.</t>
        </is>
      </c>
      <c r="F786" t="inlineStr">
        <is>
          <t>No</t>
        </is>
      </c>
      <c r="G786" t="inlineStr">
        <is>
          <t>1</t>
        </is>
      </c>
      <c r="H786" t="inlineStr">
        <is>
          <t>No</t>
        </is>
      </c>
      <c r="I786" t="inlineStr">
        <is>
          <t>No</t>
        </is>
      </c>
      <c r="J786" t="inlineStr">
        <is>
          <t>0</t>
        </is>
      </c>
      <c r="K786" t="inlineStr">
        <is>
          <t>Buros, Jay.</t>
        </is>
      </c>
      <c r="L786" t="inlineStr">
        <is>
          <t>Rosemont, NJ : Modern Learning Press, c1991.</t>
        </is>
      </c>
      <c r="M786" t="inlineStr">
        <is>
          <t>1991</t>
        </is>
      </c>
      <c r="O786" t="inlineStr">
        <is>
          <t>eng</t>
        </is>
      </c>
      <c r="P786" t="inlineStr">
        <is>
          <t>nju</t>
        </is>
      </c>
      <c r="R786" t="inlineStr">
        <is>
          <t xml:space="preserve">LB </t>
        </is>
      </c>
      <c r="S786" t="n">
        <v>3</v>
      </c>
      <c r="T786" t="n">
        <v>3</v>
      </c>
      <c r="U786" t="inlineStr">
        <is>
          <t>1996-10-20</t>
        </is>
      </c>
      <c r="V786" t="inlineStr">
        <is>
          <t>1996-10-20</t>
        </is>
      </c>
      <c r="W786" t="inlineStr">
        <is>
          <t>1992-04-08</t>
        </is>
      </c>
      <c r="X786" t="inlineStr">
        <is>
          <t>1992-04-08</t>
        </is>
      </c>
      <c r="Y786" t="n">
        <v>90</v>
      </c>
      <c r="Z786" t="n">
        <v>85</v>
      </c>
      <c r="AA786" t="n">
        <v>85</v>
      </c>
      <c r="AB786" t="n">
        <v>1</v>
      </c>
      <c r="AC786" t="n">
        <v>1</v>
      </c>
      <c r="AD786" t="n">
        <v>4</v>
      </c>
      <c r="AE786" t="n">
        <v>4</v>
      </c>
      <c r="AF786" t="n">
        <v>2</v>
      </c>
      <c r="AG786" t="n">
        <v>2</v>
      </c>
      <c r="AH786" t="n">
        <v>0</v>
      </c>
      <c r="AI786" t="n">
        <v>0</v>
      </c>
      <c r="AJ786" t="n">
        <v>4</v>
      </c>
      <c r="AK786" t="n">
        <v>4</v>
      </c>
      <c r="AL786" t="n">
        <v>0</v>
      </c>
      <c r="AM786" t="n">
        <v>0</v>
      </c>
      <c r="AN786" t="n">
        <v>0</v>
      </c>
      <c r="AO786" t="n">
        <v>0</v>
      </c>
      <c r="AP786" t="inlineStr">
        <is>
          <t>No</t>
        </is>
      </c>
      <c r="AQ786" t="inlineStr">
        <is>
          <t>No</t>
        </is>
      </c>
      <c r="AS786">
        <f>HYPERLINK("https://creighton-primo.hosted.exlibrisgroup.com/primo-explore/search?tab=default_tab&amp;search_scope=EVERYTHING&amp;vid=01CRU&amp;lang=en_US&amp;offset=0&amp;query=any,contains,991001932449702656","Catalog Record")</f>
        <v/>
      </c>
      <c r="AT786">
        <f>HYPERLINK("http://www.worldcat.org/oclc/24382285","WorldCat Record")</f>
        <v/>
      </c>
      <c r="AU786" t="inlineStr">
        <is>
          <t>26983737:eng</t>
        </is>
      </c>
      <c r="AV786" t="inlineStr">
        <is>
          <t>24382285</t>
        </is>
      </c>
      <c r="AW786" t="inlineStr">
        <is>
          <t>991001932449702656</t>
        </is>
      </c>
      <c r="AX786" t="inlineStr">
        <is>
          <t>991001932449702656</t>
        </is>
      </c>
      <c r="AY786" t="inlineStr">
        <is>
          <t>2258320380002656</t>
        </is>
      </c>
      <c r="AZ786" t="inlineStr">
        <is>
          <t>BOOK</t>
        </is>
      </c>
      <c r="BB786" t="inlineStr">
        <is>
          <t>9780935493443</t>
        </is>
      </c>
      <c r="BC786" t="inlineStr">
        <is>
          <t>32285001009017</t>
        </is>
      </c>
      <c r="BD786" t="inlineStr">
        <is>
          <t>893697161</t>
        </is>
      </c>
    </row>
    <row r="787">
      <c r="A787" t="inlineStr">
        <is>
          <t>No</t>
        </is>
      </c>
      <c r="B787" t="inlineStr">
        <is>
          <t>LB1576 .B876 1999</t>
        </is>
      </c>
      <c r="C787" t="inlineStr">
        <is>
          <t>0                      LB 1576000B  876         1999</t>
        </is>
      </c>
      <c r="D787" t="inlineStr">
        <is>
          <t>Writing rules! : teaching kids to write for life, grades 4-8 / Mike Brusko.</t>
        </is>
      </c>
      <c r="F787" t="inlineStr">
        <is>
          <t>No</t>
        </is>
      </c>
      <c r="G787" t="inlineStr">
        <is>
          <t>1</t>
        </is>
      </c>
      <c r="H787" t="inlineStr">
        <is>
          <t>No</t>
        </is>
      </c>
      <c r="I787" t="inlineStr">
        <is>
          <t>No</t>
        </is>
      </c>
      <c r="J787" t="inlineStr">
        <is>
          <t>0</t>
        </is>
      </c>
      <c r="K787" t="inlineStr">
        <is>
          <t>Brusko, Mike.</t>
        </is>
      </c>
      <c r="L787" t="inlineStr">
        <is>
          <t>Portsmouth, NH : Heinemann, c1999.</t>
        </is>
      </c>
      <c r="M787" t="inlineStr">
        <is>
          <t>1999</t>
        </is>
      </c>
      <c r="O787" t="inlineStr">
        <is>
          <t>eng</t>
        </is>
      </c>
      <c r="P787" t="inlineStr">
        <is>
          <t>nhu</t>
        </is>
      </c>
      <c r="R787" t="inlineStr">
        <is>
          <t xml:space="preserve">LB </t>
        </is>
      </c>
      <c r="S787" t="n">
        <v>1</v>
      </c>
      <c r="T787" t="n">
        <v>1</v>
      </c>
      <c r="U787" t="inlineStr">
        <is>
          <t>2005-04-07</t>
        </is>
      </c>
      <c r="V787" t="inlineStr">
        <is>
          <t>2005-04-07</t>
        </is>
      </c>
      <c r="W787" t="inlineStr">
        <is>
          <t>2000-07-20</t>
        </is>
      </c>
      <c r="X787" t="inlineStr">
        <is>
          <t>2000-07-20</t>
        </is>
      </c>
      <c r="Y787" t="n">
        <v>129</v>
      </c>
      <c r="Z787" t="n">
        <v>122</v>
      </c>
      <c r="AA787" t="n">
        <v>127</v>
      </c>
      <c r="AB787" t="n">
        <v>2</v>
      </c>
      <c r="AC787" t="n">
        <v>2</v>
      </c>
      <c r="AD787" t="n">
        <v>5</v>
      </c>
      <c r="AE787" t="n">
        <v>5</v>
      </c>
      <c r="AF787" t="n">
        <v>1</v>
      </c>
      <c r="AG787" t="n">
        <v>1</v>
      </c>
      <c r="AH787" t="n">
        <v>0</v>
      </c>
      <c r="AI787" t="n">
        <v>0</v>
      </c>
      <c r="AJ787" t="n">
        <v>4</v>
      </c>
      <c r="AK787" t="n">
        <v>4</v>
      </c>
      <c r="AL787" t="n">
        <v>1</v>
      </c>
      <c r="AM787" t="n">
        <v>1</v>
      </c>
      <c r="AN787" t="n">
        <v>0</v>
      </c>
      <c r="AO787" t="n">
        <v>0</v>
      </c>
      <c r="AP787" t="inlineStr">
        <is>
          <t>No</t>
        </is>
      </c>
      <c r="AQ787" t="inlineStr">
        <is>
          <t>No</t>
        </is>
      </c>
      <c r="AS787">
        <f>HYPERLINK("https://creighton-primo.hosted.exlibrisgroup.com/primo-explore/search?tab=default_tab&amp;search_scope=EVERYTHING&amp;vid=01CRU&amp;lang=en_US&amp;offset=0&amp;query=any,contains,991003209759702656","Catalog Record")</f>
        <v/>
      </c>
      <c r="AT787">
        <f>HYPERLINK("http://www.worldcat.org/oclc/41096216","WorldCat Record")</f>
        <v/>
      </c>
      <c r="AU787" t="inlineStr">
        <is>
          <t>27429278:eng</t>
        </is>
      </c>
      <c r="AV787" t="inlineStr">
        <is>
          <t>41096216</t>
        </is>
      </c>
      <c r="AW787" t="inlineStr">
        <is>
          <t>991003209759702656</t>
        </is>
      </c>
      <c r="AX787" t="inlineStr">
        <is>
          <t>991003209759702656</t>
        </is>
      </c>
      <c r="AY787" t="inlineStr">
        <is>
          <t>2265493240002656</t>
        </is>
      </c>
      <c r="AZ787" t="inlineStr">
        <is>
          <t>BOOK</t>
        </is>
      </c>
      <c r="BB787" t="inlineStr">
        <is>
          <t>9780325001579</t>
        </is>
      </c>
      <c r="BC787" t="inlineStr">
        <is>
          <t>32285003712782</t>
        </is>
      </c>
      <c r="BD787" t="inlineStr">
        <is>
          <t>893880921</t>
        </is>
      </c>
    </row>
    <row r="788">
      <c r="A788" t="inlineStr">
        <is>
          <t>No</t>
        </is>
      </c>
      <c r="B788" t="inlineStr">
        <is>
          <t>LB1576 .B94 1984</t>
        </is>
      </c>
      <c r="C788" t="inlineStr">
        <is>
          <t>0                      LB 1576000B  94          1984</t>
        </is>
      </c>
      <c r="D788" t="inlineStr">
        <is>
          <t>They all want to write : written English in the elementary school / Alvina Treut Burrows, Doris C. Jackson, Dorothy O. Saunders.</t>
        </is>
      </c>
      <c r="F788" t="inlineStr">
        <is>
          <t>No</t>
        </is>
      </c>
      <c r="G788" t="inlineStr">
        <is>
          <t>1</t>
        </is>
      </c>
      <c r="H788" t="inlineStr">
        <is>
          <t>No</t>
        </is>
      </c>
      <c r="I788" t="inlineStr">
        <is>
          <t>No</t>
        </is>
      </c>
      <c r="J788" t="inlineStr">
        <is>
          <t>0</t>
        </is>
      </c>
      <c r="K788" t="inlineStr">
        <is>
          <t>Burrows, Alvina Treut, 1903-</t>
        </is>
      </c>
      <c r="L788" t="inlineStr">
        <is>
          <t>Hamden, Conn. : Library Professional Publications, 1984.</t>
        </is>
      </c>
      <c r="M788" t="inlineStr">
        <is>
          <t>1984</t>
        </is>
      </c>
      <c r="N788" t="inlineStr">
        <is>
          <t>4th ed.</t>
        </is>
      </c>
      <c r="O788" t="inlineStr">
        <is>
          <t>eng</t>
        </is>
      </c>
      <c r="P788" t="inlineStr">
        <is>
          <t>ctu</t>
        </is>
      </c>
      <c r="R788" t="inlineStr">
        <is>
          <t xml:space="preserve">LB </t>
        </is>
      </c>
      <c r="S788" t="n">
        <v>5</v>
      </c>
      <c r="T788" t="n">
        <v>5</v>
      </c>
      <c r="U788" t="inlineStr">
        <is>
          <t>1999-03-23</t>
        </is>
      </c>
      <c r="V788" t="inlineStr">
        <is>
          <t>1999-03-23</t>
        </is>
      </c>
      <c r="W788" t="inlineStr">
        <is>
          <t>1993-01-27</t>
        </is>
      </c>
      <c r="X788" t="inlineStr">
        <is>
          <t>1993-01-27</t>
        </is>
      </c>
      <c r="Y788" t="n">
        <v>368</v>
      </c>
      <c r="Z788" t="n">
        <v>324</v>
      </c>
      <c r="AA788" t="n">
        <v>690</v>
      </c>
      <c r="AB788" t="n">
        <v>2</v>
      </c>
      <c r="AC788" t="n">
        <v>8</v>
      </c>
      <c r="AD788" t="n">
        <v>7</v>
      </c>
      <c r="AE788" t="n">
        <v>29</v>
      </c>
      <c r="AF788" t="n">
        <v>3</v>
      </c>
      <c r="AG788" t="n">
        <v>9</v>
      </c>
      <c r="AH788" t="n">
        <v>2</v>
      </c>
      <c r="AI788" t="n">
        <v>6</v>
      </c>
      <c r="AJ788" t="n">
        <v>3</v>
      </c>
      <c r="AK788" t="n">
        <v>13</v>
      </c>
      <c r="AL788" t="n">
        <v>1</v>
      </c>
      <c r="AM788" t="n">
        <v>7</v>
      </c>
      <c r="AN788" t="n">
        <v>0</v>
      </c>
      <c r="AO788" t="n">
        <v>0</v>
      </c>
      <c r="AP788" t="inlineStr">
        <is>
          <t>No</t>
        </is>
      </c>
      <c r="AQ788" t="inlineStr">
        <is>
          <t>Yes</t>
        </is>
      </c>
      <c r="AR788">
        <f>HYPERLINK("http://catalog.hathitrust.org/Record/000565957","HathiTrust Record")</f>
        <v/>
      </c>
      <c r="AS788">
        <f>HYPERLINK("https://creighton-primo.hosted.exlibrisgroup.com/primo-explore/search?tab=default_tab&amp;search_scope=EVERYTHING&amp;vid=01CRU&amp;lang=en_US&amp;offset=0&amp;query=any,contains,991000548199702656","Catalog Record")</f>
        <v/>
      </c>
      <c r="AT788">
        <f>HYPERLINK("http://www.worldcat.org/oclc/11522288","WorldCat Record")</f>
        <v/>
      </c>
      <c r="AU788" t="inlineStr">
        <is>
          <t>1351899:eng</t>
        </is>
      </c>
      <c r="AV788" t="inlineStr">
        <is>
          <t>11522288</t>
        </is>
      </c>
      <c r="AW788" t="inlineStr">
        <is>
          <t>991000548199702656</t>
        </is>
      </c>
      <c r="AX788" t="inlineStr">
        <is>
          <t>991000548199702656</t>
        </is>
      </c>
      <c r="AY788" t="inlineStr">
        <is>
          <t>2260851450002656</t>
        </is>
      </c>
      <c r="AZ788" t="inlineStr">
        <is>
          <t>BOOK</t>
        </is>
      </c>
      <c r="BB788" t="inlineStr">
        <is>
          <t>9780208020437</t>
        </is>
      </c>
      <c r="BC788" t="inlineStr">
        <is>
          <t>32285001479129</t>
        </is>
      </c>
      <c r="BD788" t="inlineStr">
        <is>
          <t>893515373</t>
        </is>
      </c>
    </row>
    <row r="789">
      <c r="A789" t="inlineStr">
        <is>
          <t>No</t>
        </is>
      </c>
      <c r="B789" t="inlineStr">
        <is>
          <t>LB1576 .C745 1991</t>
        </is>
      </c>
      <c r="C789" t="inlineStr">
        <is>
          <t>0                      LB 1576000C  745         1991</t>
        </is>
      </c>
      <c r="D789" t="inlineStr">
        <is>
          <t>Literacy and empowerment : the meaning makers / Patrick L. Courts.</t>
        </is>
      </c>
      <c r="F789" t="inlineStr">
        <is>
          <t>No</t>
        </is>
      </c>
      <c r="G789" t="inlineStr">
        <is>
          <t>1</t>
        </is>
      </c>
      <c r="H789" t="inlineStr">
        <is>
          <t>No</t>
        </is>
      </c>
      <c r="I789" t="inlineStr">
        <is>
          <t>No</t>
        </is>
      </c>
      <c r="J789" t="inlineStr">
        <is>
          <t>0</t>
        </is>
      </c>
      <c r="K789" t="inlineStr">
        <is>
          <t>Courts, Patrick L.</t>
        </is>
      </c>
      <c r="L789" t="inlineStr">
        <is>
          <t>New York : Bergin &amp; Garvey, 1991.</t>
        </is>
      </c>
      <c r="M789" t="inlineStr">
        <is>
          <t>1991</t>
        </is>
      </c>
      <c r="O789" t="inlineStr">
        <is>
          <t>eng</t>
        </is>
      </c>
      <c r="P789" t="inlineStr">
        <is>
          <t>nyu</t>
        </is>
      </c>
      <c r="Q789" t="inlineStr">
        <is>
          <t>Series in language and ideology</t>
        </is>
      </c>
      <c r="R789" t="inlineStr">
        <is>
          <t xml:space="preserve">LB </t>
        </is>
      </c>
      <c r="S789" t="n">
        <v>8</v>
      </c>
      <c r="T789" t="n">
        <v>8</v>
      </c>
      <c r="U789" t="inlineStr">
        <is>
          <t>2009-10-15</t>
        </is>
      </c>
      <c r="V789" t="inlineStr">
        <is>
          <t>2009-10-15</t>
        </is>
      </c>
      <c r="W789" t="inlineStr">
        <is>
          <t>1992-02-01</t>
        </is>
      </c>
      <c r="X789" t="inlineStr">
        <is>
          <t>1992-02-01</t>
        </is>
      </c>
      <c r="Y789" t="n">
        <v>337</v>
      </c>
      <c r="Z789" t="n">
        <v>273</v>
      </c>
      <c r="AA789" t="n">
        <v>282</v>
      </c>
      <c r="AB789" t="n">
        <v>4</v>
      </c>
      <c r="AC789" t="n">
        <v>4</v>
      </c>
      <c r="AD789" t="n">
        <v>14</v>
      </c>
      <c r="AE789" t="n">
        <v>14</v>
      </c>
      <c r="AF789" t="n">
        <v>2</v>
      </c>
      <c r="AG789" t="n">
        <v>2</v>
      </c>
      <c r="AH789" t="n">
        <v>3</v>
      </c>
      <c r="AI789" t="n">
        <v>3</v>
      </c>
      <c r="AJ789" t="n">
        <v>9</v>
      </c>
      <c r="AK789" t="n">
        <v>9</v>
      </c>
      <c r="AL789" t="n">
        <v>3</v>
      </c>
      <c r="AM789" t="n">
        <v>3</v>
      </c>
      <c r="AN789" t="n">
        <v>0</v>
      </c>
      <c r="AO789" t="n">
        <v>0</v>
      </c>
      <c r="AP789" t="inlineStr">
        <is>
          <t>No</t>
        </is>
      </c>
      <c r="AQ789" t="inlineStr">
        <is>
          <t>Yes</t>
        </is>
      </c>
      <c r="AR789">
        <f>HYPERLINK("http://catalog.hathitrust.org/Record/002494998","HathiTrust Record")</f>
        <v/>
      </c>
      <c r="AS789">
        <f>HYPERLINK("https://creighton-primo.hosted.exlibrisgroup.com/primo-explore/search?tab=default_tab&amp;search_scope=EVERYTHING&amp;vid=01CRU&amp;lang=en_US&amp;offset=0&amp;query=any,contains,991001839979702656","Catalog Record")</f>
        <v/>
      </c>
      <c r="AT789">
        <f>HYPERLINK("http://www.worldcat.org/oclc/23139086","WorldCat Record")</f>
        <v/>
      </c>
      <c r="AU789" t="inlineStr">
        <is>
          <t>2890589:eng</t>
        </is>
      </c>
      <c r="AV789" t="inlineStr">
        <is>
          <t>23139086</t>
        </is>
      </c>
      <c r="AW789" t="inlineStr">
        <is>
          <t>991001839979702656</t>
        </is>
      </c>
      <c r="AX789" t="inlineStr">
        <is>
          <t>991001839979702656</t>
        </is>
      </c>
      <c r="AY789" t="inlineStr">
        <is>
          <t>2261612380002656</t>
        </is>
      </c>
      <c r="AZ789" t="inlineStr">
        <is>
          <t>BOOK</t>
        </is>
      </c>
      <c r="BB789" t="inlineStr">
        <is>
          <t>9780897892612</t>
        </is>
      </c>
      <c r="BC789" t="inlineStr">
        <is>
          <t>32285000867753</t>
        </is>
      </c>
      <c r="BD789" t="inlineStr">
        <is>
          <t>893615415</t>
        </is>
      </c>
    </row>
    <row r="790">
      <c r="A790" t="inlineStr">
        <is>
          <t>No</t>
        </is>
      </c>
      <c r="B790" t="inlineStr">
        <is>
          <t>LB1576 .C755 1996</t>
        </is>
      </c>
      <c r="C790" t="inlineStr">
        <is>
          <t>0                      LB 1576000C  755         1996</t>
        </is>
      </c>
      <c r="D790" t="inlineStr">
        <is>
          <t>Teaching language arts : a student- and response-centered classroom / Carole Cox.</t>
        </is>
      </c>
      <c r="F790" t="inlineStr">
        <is>
          <t>No</t>
        </is>
      </c>
      <c r="G790" t="inlineStr">
        <is>
          <t>1</t>
        </is>
      </c>
      <c r="H790" t="inlineStr">
        <is>
          <t>No</t>
        </is>
      </c>
      <c r="I790" t="inlineStr">
        <is>
          <t>No</t>
        </is>
      </c>
      <c r="J790" t="inlineStr">
        <is>
          <t>0</t>
        </is>
      </c>
      <c r="K790" t="inlineStr">
        <is>
          <t>Cox, Carole, 1943-</t>
        </is>
      </c>
      <c r="L790" t="inlineStr">
        <is>
          <t>Boston : Allyn and Bacon, c1996.</t>
        </is>
      </c>
      <c r="M790" t="inlineStr">
        <is>
          <t>1996</t>
        </is>
      </c>
      <c r="N790" t="inlineStr">
        <is>
          <t>2nd ed.</t>
        </is>
      </c>
      <c r="O790" t="inlineStr">
        <is>
          <t>eng</t>
        </is>
      </c>
      <c r="P790" t="inlineStr">
        <is>
          <t>mau</t>
        </is>
      </c>
      <c r="R790" t="inlineStr">
        <is>
          <t xml:space="preserve">LB </t>
        </is>
      </c>
      <c r="S790" t="n">
        <v>3</v>
      </c>
      <c r="T790" t="n">
        <v>3</v>
      </c>
      <c r="U790" t="inlineStr">
        <is>
          <t>2001-03-13</t>
        </is>
      </c>
      <c r="V790" t="inlineStr">
        <is>
          <t>2001-03-13</t>
        </is>
      </c>
      <c r="W790" t="inlineStr">
        <is>
          <t>1997-01-09</t>
        </is>
      </c>
      <c r="X790" t="inlineStr">
        <is>
          <t>1997-01-09</t>
        </is>
      </c>
      <c r="Y790" t="n">
        <v>143</v>
      </c>
      <c r="Z790" t="n">
        <v>123</v>
      </c>
      <c r="AA790" t="n">
        <v>365</v>
      </c>
      <c r="AB790" t="n">
        <v>1</v>
      </c>
      <c r="AC790" t="n">
        <v>4</v>
      </c>
      <c r="AD790" t="n">
        <v>6</v>
      </c>
      <c r="AE790" t="n">
        <v>21</v>
      </c>
      <c r="AF790" t="n">
        <v>1</v>
      </c>
      <c r="AG790" t="n">
        <v>12</v>
      </c>
      <c r="AH790" t="n">
        <v>1</v>
      </c>
      <c r="AI790" t="n">
        <v>2</v>
      </c>
      <c r="AJ790" t="n">
        <v>5</v>
      </c>
      <c r="AK790" t="n">
        <v>10</v>
      </c>
      <c r="AL790" t="n">
        <v>0</v>
      </c>
      <c r="AM790" t="n">
        <v>3</v>
      </c>
      <c r="AN790" t="n">
        <v>0</v>
      </c>
      <c r="AO790" t="n">
        <v>0</v>
      </c>
      <c r="AP790" t="inlineStr">
        <is>
          <t>No</t>
        </is>
      </c>
      <c r="AQ790" t="inlineStr">
        <is>
          <t>No</t>
        </is>
      </c>
      <c r="AS790">
        <f>HYPERLINK("https://creighton-primo.hosted.exlibrisgroup.com/primo-explore/search?tab=default_tab&amp;search_scope=EVERYTHING&amp;vid=01CRU&amp;lang=en_US&amp;offset=0&amp;query=any,contains,991002573479702656","Catalog Record")</f>
        <v/>
      </c>
      <c r="AT790">
        <f>HYPERLINK("http://www.worldcat.org/oclc/33440867","WorldCat Record")</f>
        <v/>
      </c>
      <c r="AU790" t="inlineStr">
        <is>
          <t>2287846624:eng</t>
        </is>
      </c>
      <c r="AV790" t="inlineStr">
        <is>
          <t>33440867</t>
        </is>
      </c>
      <c r="AW790" t="inlineStr">
        <is>
          <t>991002573479702656</t>
        </is>
      </c>
      <c r="AX790" t="inlineStr">
        <is>
          <t>991002573479702656</t>
        </is>
      </c>
      <c r="AY790" t="inlineStr">
        <is>
          <t>2265969250002656</t>
        </is>
      </c>
      <c r="AZ790" t="inlineStr">
        <is>
          <t>BOOK</t>
        </is>
      </c>
      <c r="BB790" t="inlineStr">
        <is>
          <t>9780205174881</t>
        </is>
      </c>
      <c r="BC790" t="inlineStr">
        <is>
          <t>32285002405743</t>
        </is>
      </c>
      <c r="BD790" t="inlineStr">
        <is>
          <t>893530189</t>
        </is>
      </c>
    </row>
    <row r="791">
      <c r="A791" t="inlineStr">
        <is>
          <t>No</t>
        </is>
      </c>
      <c r="B791" t="inlineStr">
        <is>
          <t>LB1576 .D237 1989</t>
        </is>
      </c>
      <c r="C791" t="inlineStr">
        <is>
          <t>0                      LB 1576000D  237         1989</t>
        </is>
      </c>
      <c r="D791" t="inlineStr">
        <is>
          <t>Making sense, shaping meaning : writing in the context of a capacity-based approach to learning / Pat D'Arcy.</t>
        </is>
      </c>
      <c r="F791" t="inlineStr">
        <is>
          <t>No</t>
        </is>
      </c>
      <c r="G791" t="inlineStr">
        <is>
          <t>1</t>
        </is>
      </c>
      <c r="H791" t="inlineStr">
        <is>
          <t>No</t>
        </is>
      </c>
      <c r="I791" t="inlineStr">
        <is>
          <t>No</t>
        </is>
      </c>
      <c r="J791" t="inlineStr">
        <is>
          <t>0</t>
        </is>
      </c>
      <c r="K791" t="inlineStr">
        <is>
          <t>D'Arcy, Pat.</t>
        </is>
      </c>
      <c r="L791" t="inlineStr">
        <is>
          <t>Portsmouth, NH : Boynton/Cook, c1989.</t>
        </is>
      </c>
      <c r="M791" t="inlineStr">
        <is>
          <t>1989</t>
        </is>
      </c>
      <c r="O791" t="inlineStr">
        <is>
          <t>eng</t>
        </is>
      </c>
      <c r="P791" t="inlineStr">
        <is>
          <t>nhu</t>
        </is>
      </c>
      <c r="R791" t="inlineStr">
        <is>
          <t xml:space="preserve">LB </t>
        </is>
      </c>
      <c r="S791" t="n">
        <v>4</v>
      </c>
      <c r="T791" t="n">
        <v>4</v>
      </c>
      <c r="U791" t="inlineStr">
        <is>
          <t>2001-03-13</t>
        </is>
      </c>
      <c r="V791" t="inlineStr">
        <is>
          <t>2001-03-13</t>
        </is>
      </c>
      <c r="W791" t="inlineStr">
        <is>
          <t>1991-01-30</t>
        </is>
      </c>
      <c r="X791" t="inlineStr">
        <is>
          <t>1991-01-30</t>
        </is>
      </c>
      <c r="Y791" t="n">
        <v>407</v>
      </c>
      <c r="Z791" t="n">
        <v>340</v>
      </c>
      <c r="AA791" t="n">
        <v>347</v>
      </c>
      <c r="AB791" t="n">
        <v>2</v>
      </c>
      <c r="AC791" t="n">
        <v>2</v>
      </c>
      <c r="AD791" t="n">
        <v>17</v>
      </c>
      <c r="AE791" t="n">
        <v>17</v>
      </c>
      <c r="AF791" t="n">
        <v>9</v>
      </c>
      <c r="AG791" t="n">
        <v>9</v>
      </c>
      <c r="AH791" t="n">
        <v>1</v>
      </c>
      <c r="AI791" t="n">
        <v>1</v>
      </c>
      <c r="AJ791" t="n">
        <v>10</v>
      </c>
      <c r="AK791" t="n">
        <v>10</v>
      </c>
      <c r="AL791" t="n">
        <v>1</v>
      </c>
      <c r="AM791" t="n">
        <v>1</v>
      </c>
      <c r="AN791" t="n">
        <v>0</v>
      </c>
      <c r="AO791" t="n">
        <v>0</v>
      </c>
      <c r="AP791" t="inlineStr">
        <is>
          <t>No</t>
        </is>
      </c>
      <c r="AQ791" t="inlineStr">
        <is>
          <t>Yes</t>
        </is>
      </c>
      <c r="AR791">
        <f>HYPERLINK("http://catalog.hathitrust.org/Record/002227784","HathiTrust Record")</f>
        <v/>
      </c>
      <c r="AS791">
        <f>HYPERLINK("https://creighton-primo.hosted.exlibrisgroup.com/primo-explore/search?tab=default_tab&amp;search_scope=EVERYTHING&amp;vid=01CRU&amp;lang=en_US&amp;offset=0&amp;query=any,contains,991005410639702656","Catalog Record")</f>
        <v/>
      </c>
      <c r="AT791">
        <f>HYPERLINK("http://www.worldcat.org/oclc/19455211","WorldCat Record")</f>
        <v/>
      </c>
      <c r="AU791" t="inlineStr">
        <is>
          <t>422841224:eng</t>
        </is>
      </c>
      <c r="AV791" t="inlineStr">
        <is>
          <t>19455211</t>
        </is>
      </c>
      <c r="AW791" t="inlineStr">
        <is>
          <t>991005410639702656</t>
        </is>
      </c>
      <c r="AX791" t="inlineStr">
        <is>
          <t>991005410639702656</t>
        </is>
      </c>
      <c r="AY791" t="inlineStr">
        <is>
          <t>2270637480002656</t>
        </is>
      </c>
      <c r="AZ791" t="inlineStr">
        <is>
          <t>BOOK</t>
        </is>
      </c>
      <c r="BB791" t="inlineStr">
        <is>
          <t>9780867092455</t>
        </is>
      </c>
      <c r="BC791" t="inlineStr">
        <is>
          <t>32285000462423</t>
        </is>
      </c>
      <c r="BD791" t="inlineStr">
        <is>
          <t>893431456</t>
        </is>
      </c>
    </row>
    <row r="792">
      <c r="A792" t="inlineStr">
        <is>
          <t>No</t>
        </is>
      </c>
      <c r="B792" t="inlineStr">
        <is>
          <t>LB1576 .D33 1983</t>
        </is>
      </c>
      <c r="C792" t="inlineStr">
        <is>
          <t>0                      LB 1576000D  33          1983</t>
        </is>
      </c>
      <c r="D792" t="inlineStr">
        <is>
          <t>Teaching and learning the language arts / Edna P. DeHaven.</t>
        </is>
      </c>
      <c r="F792" t="inlineStr">
        <is>
          <t>No</t>
        </is>
      </c>
      <c r="G792" t="inlineStr">
        <is>
          <t>1</t>
        </is>
      </c>
      <c r="H792" t="inlineStr">
        <is>
          <t>No</t>
        </is>
      </c>
      <c r="I792" t="inlineStr">
        <is>
          <t>No</t>
        </is>
      </c>
      <c r="J792" t="inlineStr">
        <is>
          <t>0</t>
        </is>
      </c>
      <c r="K792" t="inlineStr">
        <is>
          <t>DeHaven, Edna P.</t>
        </is>
      </c>
      <c r="L792" t="inlineStr">
        <is>
          <t>Boston : Little, Brown, c1983.</t>
        </is>
      </c>
      <c r="M792" t="inlineStr">
        <is>
          <t>1983</t>
        </is>
      </c>
      <c r="N792" t="inlineStr">
        <is>
          <t>2nd ed.</t>
        </is>
      </c>
      <c r="O792" t="inlineStr">
        <is>
          <t>eng</t>
        </is>
      </c>
      <c r="P792" t="inlineStr">
        <is>
          <t>mau</t>
        </is>
      </c>
      <c r="R792" t="inlineStr">
        <is>
          <t xml:space="preserve">LB </t>
        </is>
      </c>
      <c r="S792" t="n">
        <v>2</v>
      </c>
      <c r="T792" t="n">
        <v>2</v>
      </c>
      <c r="U792" t="inlineStr">
        <is>
          <t>1994-03-14</t>
        </is>
      </c>
      <c r="V792" t="inlineStr">
        <is>
          <t>1994-03-14</t>
        </is>
      </c>
      <c r="W792" t="inlineStr">
        <is>
          <t>1990-07-10</t>
        </is>
      </c>
      <c r="X792" t="inlineStr">
        <is>
          <t>1990-07-10</t>
        </is>
      </c>
      <c r="Y792" t="n">
        <v>184</v>
      </c>
      <c r="Z792" t="n">
        <v>163</v>
      </c>
      <c r="AA792" t="n">
        <v>369</v>
      </c>
      <c r="AB792" t="n">
        <v>1</v>
      </c>
      <c r="AC792" t="n">
        <v>2</v>
      </c>
      <c r="AD792" t="n">
        <v>4</v>
      </c>
      <c r="AE792" t="n">
        <v>10</v>
      </c>
      <c r="AF792" t="n">
        <v>2</v>
      </c>
      <c r="AG792" t="n">
        <v>4</v>
      </c>
      <c r="AH792" t="n">
        <v>0</v>
      </c>
      <c r="AI792" t="n">
        <v>1</v>
      </c>
      <c r="AJ792" t="n">
        <v>3</v>
      </c>
      <c r="AK792" t="n">
        <v>7</v>
      </c>
      <c r="AL792" t="n">
        <v>0</v>
      </c>
      <c r="AM792" t="n">
        <v>1</v>
      </c>
      <c r="AN792" t="n">
        <v>0</v>
      </c>
      <c r="AO792" t="n">
        <v>0</v>
      </c>
      <c r="AP792" t="inlineStr">
        <is>
          <t>No</t>
        </is>
      </c>
      <c r="AQ792" t="inlineStr">
        <is>
          <t>No</t>
        </is>
      </c>
      <c r="AS792">
        <f>HYPERLINK("https://creighton-primo.hosted.exlibrisgroup.com/primo-explore/search?tab=default_tab&amp;search_scope=EVERYTHING&amp;vid=01CRU&amp;lang=en_US&amp;offset=0&amp;query=any,contains,991000080059702656","Catalog Record")</f>
        <v/>
      </c>
      <c r="AT792">
        <f>HYPERLINK("http://www.worldcat.org/oclc/8827222","WorldCat Record")</f>
        <v/>
      </c>
      <c r="AU792" t="inlineStr">
        <is>
          <t>13815525:eng</t>
        </is>
      </c>
      <c r="AV792" t="inlineStr">
        <is>
          <t>8827222</t>
        </is>
      </c>
      <c r="AW792" t="inlineStr">
        <is>
          <t>991000080059702656</t>
        </is>
      </c>
      <c r="AX792" t="inlineStr">
        <is>
          <t>991000080059702656</t>
        </is>
      </c>
      <c r="AY792" t="inlineStr">
        <is>
          <t>2266968700002656</t>
        </is>
      </c>
      <c r="AZ792" t="inlineStr">
        <is>
          <t>BOOK</t>
        </is>
      </c>
      <c r="BB792" t="inlineStr">
        <is>
          <t>9780316179355</t>
        </is>
      </c>
      <c r="BC792" t="inlineStr">
        <is>
          <t>32285000223098</t>
        </is>
      </c>
      <c r="BD792" t="inlineStr">
        <is>
          <t>893230854</t>
        </is>
      </c>
    </row>
    <row r="793">
      <c r="A793" t="inlineStr">
        <is>
          <t>No</t>
        </is>
      </c>
      <c r="B793" t="inlineStr">
        <is>
          <t>LB1576 .D455 1986</t>
        </is>
      </c>
      <c r="C793" t="inlineStr">
        <is>
          <t>0                      LB 1576000D  455         1986</t>
        </is>
      </c>
      <c r="D793" t="inlineStr">
        <is>
          <t>Developing readers and writers in the content areas : K-12 / David W. Moore ... [et al.].</t>
        </is>
      </c>
      <c r="F793" t="inlineStr">
        <is>
          <t>No</t>
        </is>
      </c>
      <c r="G793" t="inlineStr">
        <is>
          <t>1</t>
        </is>
      </c>
      <c r="H793" t="inlineStr">
        <is>
          <t>No</t>
        </is>
      </c>
      <c r="I793" t="inlineStr">
        <is>
          <t>No</t>
        </is>
      </c>
      <c r="J793" t="inlineStr">
        <is>
          <t>0</t>
        </is>
      </c>
      <c r="L793" t="inlineStr">
        <is>
          <t>New York : Longman, c1986.</t>
        </is>
      </c>
      <c r="M793" t="inlineStr">
        <is>
          <t>1986</t>
        </is>
      </c>
      <c r="O793" t="inlineStr">
        <is>
          <t>eng</t>
        </is>
      </c>
      <c r="P793" t="inlineStr">
        <is>
          <t>nyu</t>
        </is>
      </c>
      <c r="R793" t="inlineStr">
        <is>
          <t xml:space="preserve">LB </t>
        </is>
      </c>
      <c r="S793" t="n">
        <v>6</v>
      </c>
      <c r="T793" t="n">
        <v>6</v>
      </c>
      <c r="U793" t="inlineStr">
        <is>
          <t>1992-03-21</t>
        </is>
      </c>
      <c r="V793" t="inlineStr">
        <is>
          <t>1992-03-21</t>
        </is>
      </c>
      <c r="W793" t="inlineStr">
        <is>
          <t>1990-07-10</t>
        </is>
      </c>
      <c r="X793" t="inlineStr">
        <is>
          <t>1990-07-10</t>
        </is>
      </c>
      <c r="Y793" t="n">
        <v>373</v>
      </c>
      <c r="Z793" t="n">
        <v>355</v>
      </c>
      <c r="AA793" t="n">
        <v>631</v>
      </c>
      <c r="AB793" t="n">
        <v>2</v>
      </c>
      <c r="AC793" t="n">
        <v>7</v>
      </c>
      <c r="AD793" t="n">
        <v>13</v>
      </c>
      <c r="AE793" t="n">
        <v>30</v>
      </c>
      <c r="AF793" t="n">
        <v>6</v>
      </c>
      <c r="AG793" t="n">
        <v>10</v>
      </c>
      <c r="AH793" t="n">
        <v>0</v>
      </c>
      <c r="AI793" t="n">
        <v>4</v>
      </c>
      <c r="AJ793" t="n">
        <v>9</v>
      </c>
      <c r="AK793" t="n">
        <v>17</v>
      </c>
      <c r="AL793" t="n">
        <v>1</v>
      </c>
      <c r="AM793" t="n">
        <v>6</v>
      </c>
      <c r="AN793" t="n">
        <v>0</v>
      </c>
      <c r="AO793" t="n">
        <v>0</v>
      </c>
      <c r="AP793" t="inlineStr">
        <is>
          <t>No</t>
        </is>
      </c>
      <c r="AQ793" t="inlineStr">
        <is>
          <t>Yes</t>
        </is>
      </c>
      <c r="AR793">
        <f>HYPERLINK("http://catalog.hathitrust.org/Record/000400348","HathiTrust Record")</f>
        <v/>
      </c>
      <c r="AS793">
        <f>HYPERLINK("https://creighton-primo.hosted.exlibrisgroup.com/primo-explore/search?tab=default_tab&amp;search_scope=EVERYTHING&amp;vid=01CRU&amp;lang=en_US&amp;offset=0&amp;query=any,contains,991000706579702656","Catalog Record")</f>
        <v/>
      </c>
      <c r="AT793">
        <f>HYPERLINK("http://www.worldcat.org/oclc/12557525","WorldCat Record")</f>
        <v/>
      </c>
      <c r="AU793" t="inlineStr">
        <is>
          <t>54745405:eng</t>
        </is>
      </c>
      <c r="AV793" t="inlineStr">
        <is>
          <t>12557525</t>
        </is>
      </c>
      <c r="AW793" t="inlineStr">
        <is>
          <t>991000706579702656</t>
        </is>
      </c>
      <c r="AX793" t="inlineStr">
        <is>
          <t>991000706579702656</t>
        </is>
      </c>
      <c r="AY793" t="inlineStr">
        <is>
          <t>2255506110002656</t>
        </is>
      </c>
      <c r="AZ793" t="inlineStr">
        <is>
          <t>BOOK</t>
        </is>
      </c>
      <c r="BB793" t="inlineStr">
        <is>
          <t>9780582285187</t>
        </is>
      </c>
      <c r="BC793" t="inlineStr">
        <is>
          <t>32285000223106</t>
        </is>
      </c>
      <c r="BD793" t="inlineStr">
        <is>
          <t>893702357</t>
        </is>
      </c>
    </row>
    <row r="794">
      <c r="A794" t="inlineStr">
        <is>
          <t>No</t>
        </is>
      </c>
      <c r="B794" t="inlineStr">
        <is>
          <t>LB1576 .E18 1991</t>
        </is>
      </c>
      <c r="C794" t="inlineStr">
        <is>
          <t>0                      LB 1576000E  18          1991</t>
        </is>
      </c>
      <c r="D794" t="inlineStr">
        <is>
          <t>Early literacy : a constructivist foundation for whole language / Constance Kamii, Maryann Manning, Gary Manning, editors.</t>
        </is>
      </c>
      <c r="F794" t="inlineStr">
        <is>
          <t>No</t>
        </is>
      </c>
      <c r="G794" t="inlineStr">
        <is>
          <t>1</t>
        </is>
      </c>
      <c r="H794" t="inlineStr">
        <is>
          <t>No</t>
        </is>
      </c>
      <c r="I794" t="inlineStr">
        <is>
          <t>No</t>
        </is>
      </c>
      <c r="J794" t="inlineStr">
        <is>
          <t>0</t>
        </is>
      </c>
      <c r="L794" t="inlineStr">
        <is>
          <t>[Washington, D.C.] : NEA Professional Library, National Education Association, c1991.</t>
        </is>
      </c>
      <c r="M794" t="inlineStr">
        <is>
          <t>1991</t>
        </is>
      </c>
      <c r="O794" t="inlineStr">
        <is>
          <t>eng</t>
        </is>
      </c>
      <c r="P794" t="inlineStr">
        <is>
          <t>dcu</t>
        </is>
      </c>
      <c r="Q794" t="inlineStr">
        <is>
          <t>NEA early childhood education series</t>
        </is>
      </c>
      <c r="R794" t="inlineStr">
        <is>
          <t xml:space="preserve">LB </t>
        </is>
      </c>
      <c r="S794" t="n">
        <v>8</v>
      </c>
      <c r="T794" t="n">
        <v>8</v>
      </c>
      <c r="U794" t="inlineStr">
        <is>
          <t>2010-05-26</t>
        </is>
      </c>
      <c r="V794" t="inlineStr">
        <is>
          <t>2010-05-26</t>
        </is>
      </c>
      <c r="W794" t="inlineStr">
        <is>
          <t>1991-10-24</t>
        </is>
      </c>
      <c r="X794" t="inlineStr">
        <is>
          <t>1991-10-24</t>
        </is>
      </c>
      <c r="Y794" t="n">
        <v>524</v>
      </c>
      <c r="Z794" t="n">
        <v>497</v>
      </c>
      <c r="AA794" t="n">
        <v>506</v>
      </c>
      <c r="AB794" t="n">
        <v>6</v>
      </c>
      <c r="AC794" t="n">
        <v>6</v>
      </c>
      <c r="AD794" t="n">
        <v>23</v>
      </c>
      <c r="AE794" t="n">
        <v>23</v>
      </c>
      <c r="AF794" t="n">
        <v>8</v>
      </c>
      <c r="AG794" t="n">
        <v>8</v>
      </c>
      <c r="AH794" t="n">
        <v>6</v>
      </c>
      <c r="AI794" t="n">
        <v>6</v>
      </c>
      <c r="AJ794" t="n">
        <v>10</v>
      </c>
      <c r="AK794" t="n">
        <v>10</v>
      </c>
      <c r="AL794" t="n">
        <v>5</v>
      </c>
      <c r="AM794" t="n">
        <v>5</v>
      </c>
      <c r="AN794" t="n">
        <v>0</v>
      </c>
      <c r="AO794" t="n">
        <v>0</v>
      </c>
      <c r="AP794" t="inlineStr">
        <is>
          <t>No</t>
        </is>
      </c>
      <c r="AQ794" t="inlineStr">
        <is>
          <t>Yes</t>
        </is>
      </c>
      <c r="AR794">
        <f>HYPERLINK("http://catalog.hathitrust.org/Record/002510917","HathiTrust Record")</f>
        <v/>
      </c>
      <c r="AS794">
        <f>HYPERLINK("https://creighton-primo.hosted.exlibrisgroup.com/primo-explore/search?tab=default_tab&amp;search_scope=EVERYTHING&amp;vid=01CRU&amp;lang=en_US&amp;offset=0&amp;query=any,contains,991001883979702656","Catalog Record")</f>
        <v/>
      </c>
      <c r="AT794">
        <f>HYPERLINK("http://www.worldcat.org/oclc/23766044","WorldCat Record")</f>
        <v/>
      </c>
      <c r="AU794" t="inlineStr">
        <is>
          <t>426877556:eng</t>
        </is>
      </c>
      <c r="AV794" t="inlineStr">
        <is>
          <t>23766044</t>
        </is>
      </c>
      <c r="AW794" t="inlineStr">
        <is>
          <t>991001883979702656</t>
        </is>
      </c>
      <c r="AX794" t="inlineStr">
        <is>
          <t>991001883979702656</t>
        </is>
      </c>
      <c r="AY794" t="inlineStr">
        <is>
          <t>2270641250002656</t>
        </is>
      </c>
      <c r="AZ794" t="inlineStr">
        <is>
          <t>BOOK</t>
        </is>
      </c>
      <c r="BB794" t="inlineStr">
        <is>
          <t>9780810603554</t>
        </is>
      </c>
      <c r="BC794" t="inlineStr">
        <is>
          <t>32285000788777</t>
        </is>
      </c>
      <c r="BD794" t="inlineStr">
        <is>
          <t>893797891</t>
        </is>
      </c>
    </row>
    <row r="795">
      <c r="A795" t="inlineStr">
        <is>
          <t>No</t>
        </is>
      </c>
      <c r="B795" t="inlineStr">
        <is>
          <t>LB1576 .G7276 1989</t>
        </is>
      </c>
      <c r="C795" t="inlineStr">
        <is>
          <t>0                      LB 1576000G  7276        1989</t>
        </is>
      </c>
      <c r="D795" t="inlineStr">
        <is>
          <t>Investigate nonfiction / Donald H. Graves.</t>
        </is>
      </c>
      <c r="F795" t="inlineStr">
        <is>
          <t>No</t>
        </is>
      </c>
      <c r="G795" t="inlineStr">
        <is>
          <t>1</t>
        </is>
      </c>
      <c r="H795" t="inlineStr">
        <is>
          <t>No</t>
        </is>
      </c>
      <c r="I795" t="inlineStr">
        <is>
          <t>No</t>
        </is>
      </c>
      <c r="J795" t="inlineStr">
        <is>
          <t>0</t>
        </is>
      </c>
      <c r="K795" t="inlineStr">
        <is>
          <t>Graves, Donald H.</t>
        </is>
      </c>
      <c r="L795" t="inlineStr">
        <is>
          <t>Portsmouth, NH : Heinemann ; Toronto, Canada : Irwin Pub., c1989.</t>
        </is>
      </c>
      <c r="M795" t="inlineStr">
        <is>
          <t>1989</t>
        </is>
      </c>
      <c r="O795" t="inlineStr">
        <is>
          <t>eng</t>
        </is>
      </c>
      <c r="P795" t="inlineStr">
        <is>
          <t>nhu</t>
        </is>
      </c>
      <c r="Q795" t="inlineStr">
        <is>
          <t>The Reading/writing teacher's companion</t>
        </is>
      </c>
      <c r="R795" t="inlineStr">
        <is>
          <t xml:space="preserve">LB </t>
        </is>
      </c>
      <c r="S795" t="n">
        <v>1</v>
      </c>
      <c r="T795" t="n">
        <v>1</v>
      </c>
      <c r="U795" t="inlineStr">
        <is>
          <t>2006-11-06</t>
        </is>
      </c>
      <c r="V795" t="inlineStr">
        <is>
          <t>2006-11-06</t>
        </is>
      </c>
      <c r="W795" t="inlineStr">
        <is>
          <t>2006-11-06</t>
        </is>
      </c>
      <c r="X795" t="inlineStr">
        <is>
          <t>2006-11-06</t>
        </is>
      </c>
      <c r="Y795" t="n">
        <v>503</v>
      </c>
      <c r="Z795" t="n">
        <v>398</v>
      </c>
      <c r="AA795" t="n">
        <v>416</v>
      </c>
      <c r="AB795" t="n">
        <v>5</v>
      </c>
      <c r="AC795" t="n">
        <v>5</v>
      </c>
      <c r="AD795" t="n">
        <v>17</v>
      </c>
      <c r="AE795" t="n">
        <v>18</v>
      </c>
      <c r="AF795" t="n">
        <v>4</v>
      </c>
      <c r="AG795" t="n">
        <v>4</v>
      </c>
      <c r="AH795" t="n">
        <v>4</v>
      </c>
      <c r="AI795" t="n">
        <v>4</v>
      </c>
      <c r="AJ795" t="n">
        <v>10</v>
      </c>
      <c r="AK795" t="n">
        <v>11</v>
      </c>
      <c r="AL795" t="n">
        <v>3</v>
      </c>
      <c r="AM795" t="n">
        <v>3</v>
      </c>
      <c r="AN795" t="n">
        <v>0</v>
      </c>
      <c r="AO795" t="n">
        <v>0</v>
      </c>
      <c r="AP795" t="inlineStr">
        <is>
          <t>No</t>
        </is>
      </c>
      <c r="AQ795" t="inlineStr">
        <is>
          <t>Yes</t>
        </is>
      </c>
      <c r="AR795">
        <f>HYPERLINK("http://catalog.hathitrust.org/Record/004426042","HathiTrust Record")</f>
        <v/>
      </c>
      <c r="AS795">
        <f>HYPERLINK("https://creighton-primo.hosted.exlibrisgroup.com/primo-explore/search?tab=default_tab&amp;search_scope=EVERYTHING&amp;vid=01CRU&amp;lang=en_US&amp;offset=0&amp;query=any,contains,991004969049702656","Catalog Record")</f>
        <v/>
      </c>
      <c r="AT795">
        <f>HYPERLINK("http://www.worldcat.org/oclc/18962671","WorldCat Record")</f>
        <v/>
      </c>
      <c r="AU795" t="inlineStr">
        <is>
          <t>884071:eng</t>
        </is>
      </c>
      <c r="AV795" t="inlineStr">
        <is>
          <t>18962671</t>
        </is>
      </c>
      <c r="AW795" t="inlineStr">
        <is>
          <t>991004969049702656</t>
        </is>
      </c>
      <c r="AX795" t="inlineStr">
        <is>
          <t>991004969049702656</t>
        </is>
      </c>
      <c r="AY795" t="inlineStr">
        <is>
          <t>2263867750002656</t>
        </is>
      </c>
      <c r="AZ795" t="inlineStr">
        <is>
          <t>BOOK</t>
        </is>
      </c>
      <c r="BB795" t="inlineStr">
        <is>
          <t>9780435084868</t>
        </is>
      </c>
      <c r="BC795" t="inlineStr">
        <is>
          <t>32285005236673</t>
        </is>
      </c>
      <c r="BD795" t="inlineStr">
        <is>
          <t>893319836</t>
        </is>
      </c>
    </row>
    <row r="796">
      <c r="A796" t="inlineStr">
        <is>
          <t>No</t>
        </is>
      </c>
      <c r="B796" t="inlineStr">
        <is>
          <t>LB1576 .H234 1991</t>
        </is>
      </c>
      <c r="C796" t="inlineStr">
        <is>
          <t>0                      LB 1576000H  234         1991</t>
        </is>
      </c>
      <c r="D796" t="inlineStr">
        <is>
          <t>Handbook of research on teaching the English language arts / edited by James Flood ... [et al.].</t>
        </is>
      </c>
      <c r="F796" t="inlineStr">
        <is>
          <t>No</t>
        </is>
      </c>
      <c r="G796" t="inlineStr">
        <is>
          <t>1</t>
        </is>
      </c>
      <c r="H796" t="inlineStr">
        <is>
          <t>No</t>
        </is>
      </c>
      <c r="I796" t="inlineStr">
        <is>
          <t>No</t>
        </is>
      </c>
      <c r="J796" t="inlineStr">
        <is>
          <t>0</t>
        </is>
      </c>
      <c r="L796" t="inlineStr">
        <is>
          <t>New York : Macmillan ; Toronto : Collier Macmillan Canada ; New York : Maxwell Macmillan, c1991.</t>
        </is>
      </c>
      <c r="M796" t="inlineStr">
        <is>
          <t>1991</t>
        </is>
      </c>
      <c r="O796" t="inlineStr">
        <is>
          <t>eng</t>
        </is>
      </c>
      <c r="P796" t="inlineStr">
        <is>
          <t>nyu</t>
        </is>
      </c>
      <c r="R796" t="inlineStr">
        <is>
          <t xml:space="preserve">LB </t>
        </is>
      </c>
      <c r="S796" t="n">
        <v>2</v>
      </c>
      <c r="T796" t="n">
        <v>2</v>
      </c>
      <c r="U796" t="inlineStr">
        <is>
          <t>1994-02-28</t>
        </is>
      </c>
      <c r="V796" t="inlineStr">
        <is>
          <t>1994-02-28</t>
        </is>
      </c>
      <c r="W796" t="inlineStr">
        <is>
          <t>1992-03-31</t>
        </is>
      </c>
      <c r="X796" t="inlineStr">
        <is>
          <t>1992-03-31</t>
        </is>
      </c>
      <c r="Y796" t="n">
        <v>694</v>
      </c>
      <c r="Z796" t="n">
        <v>602</v>
      </c>
      <c r="AA796" t="n">
        <v>933</v>
      </c>
      <c r="AB796" t="n">
        <v>9</v>
      </c>
      <c r="AC796" t="n">
        <v>9</v>
      </c>
      <c r="AD796" t="n">
        <v>31</v>
      </c>
      <c r="AE796" t="n">
        <v>43</v>
      </c>
      <c r="AF796" t="n">
        <v>9</v>
      </c>
      <c r="AG796" t="n">
        <v>17</v>
      </c>
      <c r="AH796" t="n">
        <v>7</v>
      </c>
      <c r="AI796" t="n">
        <v>10</v>
      </c>
      <c r="AJ796" t="n">
        <v>13</v>
      </c>
      <c r="AK796" t="n">
        <v>17</v>
      </c>
      <c r="AL796" t="n">
        <v>8</v>
      </c>
      <c r="AM796" t="n">
        <v>8</v>
      </c>
      <c r="AN796" t="n">
        <v>0</v>
      </c>
      <c r="AO796" t="n">
        <v>0</v>
      </c>
      <c r="AP796" t="inlineStr">
        <is>
          <t>No</t>
        </is>
      </c>
      <c r="AQ796" t="inlineStr">
        <is>
          <t>No</t>
        </is>
      </c>
      <c r="AS796">
        <f>HYPERLINK("https://creighton-primo.hosted.exlibrisgroup.com/primo-explore/search?tab=default_tab&amp;search_scope=EVERYTHING&amp;vid=01CRU&amp;lang=en_US&amp;offset=0&amp;query=any,contains,991001709689702656","Catalog Record")</f>
        <v/>
      </c>
      <c r="AT796">
        <f>HYPERLINK("http://www.worldcat.org/oclc/21594482","WorldCat Record")</f>
        <v/>
      </c>
      <c r="AU796" t="inlineStr">
        <is>
          <t>8907591045:eng</t>
        </is>
      </c>
      <c r="AV796" t="inlineStr">
        <is>
          <t>21594482</t>
        </is>
      </c>
      <c r="AW796" t="inlineStr">
        <is>
          <t>991001709689702656</t>
        </is>
      </c>
      <c r="AX796" t="inlineStr">
        <is>
          <t>991001709689702656</t>
        </is>
      </c>
      <c r="AY796" t="inlineStr">
        <is>
          <t>2257065740002656</t>
        </is>
      </c>
      <c r="AZ796" t="inlineStr">
        <is>
          <t>BOOK</t>
        </is>
      </c>
      <c r="BB796" t="inlineStr">
        <is>
          <t>9780029223826</t>
        </is>
      </c>
      <c r="BC796" t="inlineStr">
        <is>
          <t>32285001007557</t>
        </is>
      </c>
      <c r="BD796" t="inlineStr">
        <is>
          <t>893602827</t>
        </is>
      </c>
    </row>
    <row r="797">
      <c r="A797" t="inlineStr">
        <is>
          <t>No</t>
        </is>
      </c>
      <c r="B797" t="inlineStr">
        <is>
          <t>LB1576 .H6 1987</t>
        </is>
      </c>
      <c r="C797" t="inlineStr">
        <is>
          <t>0                      LB 1576000H  6           1987</t>
        </is>
      </c>
      <c r="D797" t="inlineStr">
        <is>
          <t>Language arts : content and teaching strategies / Kenneth Hoskisson, Gail E. Tompkins.</t>
        </is>
      </c>
      <c r="F797" t="inlineStr">
        <is>
          <t>No</t>
        </is>
      </c>
      <c r="G797" t="inlineStr">
        <is>
          <t>1</t>
        </is>
      </c>
      <c r="H797" t="inlineStr">
        <is>
          <t>No</t>
        </is>
      </c>
      <c r="I797" t="inlineStr">
        <is>
          <t>No</t>
        </is>
      </c>
      <c r="J797" t="inlineStr">
        <is>
          <t>0</t>
        </is>
      </c>
      <c r="K797" t="inlineStr">
        <is>
          <t>Hoskisson, Kenneth.</t>
        </is>
      </c>
      <c r="L797" t="inlineStr">
        <is>
          <t>Columbus, Ohio : Merrill Pub. Co., c1987.</t>
        </is>
      </c>
      <c r="M797" t="inlineStr">
        <is>
          <t>1987</t>
        </is>
      </c>
      <c r="O797" t="inlineStr">
        <is>
          <t>eng</t>
        </is>
      </c>
      <c r="P797" t="inlineStr">
        <is>
          <t>ohu</t>
        </is>
      </c>
      <c r="R797" t="inlineStr">
        <is>
          <t xml:space="preserve">LB </t>
        </is>
      </c>
      <c r="S797" t="n">
        <v>2</v>
      </c>
      <c r="T797" t="n">
        <v>2</v>
      </c>
      <c r="U797" t="inlineStr">
        <is>
          <t>2001-07-06</t>
        </is>
      </c>
      <c r="V797" t="inlineStr">
        <is>
          <t>2001-07-06</t>
        </is>
      </c>
      <c r="W797" t="inlineStr">
        <is>
          <t>1995-10-30</t>
        </is>
      </c>
      <c r="X797" t="inlineStr">
        <is>
          <t>1995-10-30</t>
        </is>
      </c>
      <c r="Y797" t="n">
        <v>213</v>
      </c>
      <c r="Z797" t="n">
        <v>175</v>
      </c>
      <c r="AA797" t="n">
        <v>542</v>
      </c>
      <c r="AB797" t="n">
        <v>1</v>
      </c>
      <c r="AC797" t="n">
        <v>4</v>
      </c>
      <c r="AD797" t="n">
        <v>4</v>
      </c>
      <c r="AE797" t="n">
        <v>26</v>
      </c>
      <c r="AF797" t="n">
        <v>3</v>
      </c>
      <c r="AG797" t="n">
        <v>12</v>
      </c>
      <c r="AH797" t="n">
        <v>0</v>
      </c>
      <c r="AI797" t="n">
        <v>5</v>
      </c>
      <c r="AJ797" t="n">
        <v>2</v>
      </c>
      <c r="AK797" t="n">
        <v>13</v>
      </c>
      <c r="AL797" t="n">
        <v>0</v>
      </c>
      <c r="AM797" t="n">
        <v>3</v>
      </c>
      <c r="AN797" t="n">
        <v>0</v>
      </c>
      <c r="AO797" t="n">
        <v>0</v>
      </c>
      <c r="AP797" t="inlineStr">
        <is>
          <t>No</t>
        </is>
      </c>
      <c r="AQ797" t="inlineStr">
        <is>
          <t>No</t>
        </is>
      </c>
      <c r="AS797">
        <f>HYPERLINK("https://creighton-primo.hosted.exlibrisgroup.com/primo-explore/search?tab=default_tab&amp;search_scope=EVERYTHING&amp;vid=01CRU&amp;lang=en_US&amp;offset=0&amp;query=any,contains,991001025699702656","Catalog Record")</f>
        <v/>
      </c>
      <c r="AT797">
        <f>HYPERLINK("http://www.worldcat.org/oclc/15477009","WorldCat Record")</f>
        <v/>
      </c>
      <c r="AU797" t="inlineStr">
        <is>
          <t>56330059:eng</t>
        </is>
      </c>
      <c r="AV797" t="inlineStr">
        <is>
          <t>15477009</t>
        </is>
      </c>
      <c r="AW797" t="inlineStr">
        <is>
          <t>991001025699702656</t>
        </is>
      </c>
      <c r="AX797" t="inlineStr">
        <is>
          <t>991001025699702656</t>
        </is>
      </c>
      <c r="AY797" t="inlineStr">
        <is>
          <t>2264368230002656</t>
        </is>
      </c>
      <c r="AZ797" t="inlineStr">
        <is>
          <t>BOOK</t>
        </is>
      </c>
      <c r="BB797" t="inlineStr">
        <is>
          <t>9780675204347</t>
        </is>
      </c>
      <c r="BC797" t="inlineStr">
        <is>
          <t>32285002069192</t>
        </is>
      </c>
      <c r="BD797" t="inlineStr">
        <is>
          <t>893231638</t>
        </is>
      </c>
    </row>
    <row r="798">
      <c r="A798" t="inlineStr">
        <is>
          <t>No</t>
        </is>
      </c>
      <c r="B798" t="inlineStr">
        <is>
          <t>LB1576 .I3 1983</t>
        </is>
      </c>
      <c r="C798" t="inlineStr">
        <is>
          <t>0                      LB 1576000I  3           1983</t>
        </is>
      </c>
      <c r="D798" t="inlineStr">
        <is>
          <t>Ideas for teachers from teachers : elementary language arts.</t>
        </is>
      </c>
      <c r="F798" t="inlineStr">
        <is>
          <t>No</t>
        </is>
      </c>
      <c r="G798" t="inlineStr">
        <is>
          <t>1</t>
        </is>
      </c>
      <c r="H798" t="inlineStr">
        <is>
          <t>No</t>
        </is>
      </c>
      <c r="I798" t="inlineStr">
        <is>
          <t>No</t>
        </is>
      </c>
      <c r="J798" t="inlineStr">
        <is>
          <t>0</t>
        </is>
      </c>
      <c r="L798" t="inlineStr">
        <is>
          <t>Urbana, Ill. : National Council of Teachers of English, c1983.</t>
        </is>
      </c>
      <c r="M798" t="inlineStr">
        <is>
          <t>1983</t>
        </is>
      </c>
      <c r="O798" t="inlineStr">
        <is>
          <t>eng</t>
        </is>
      </c>
      <c r="P798" t="inlineStr">
        <is>
          <t>ilu</t>
        </is>
      </c>
      <c r="R798" t="inlineStr">
        <is>
          <t xml:space="preserve">LB </t>
        </is>
      </c>
      <c r="S798" t="n">
        <v>6</v>
      </c>
      <c r="T798" t="n">
        <v>6</v>
      </c>
      <c r="U798" t="inlineStr">
        <is>
          <t>1996-11-07</t>
        </is>
      </c>
      <c r="V798" t="inlineStr">
        <is>
          <t>1996-11-07</t>
        </is>
      </c>
      <c r="W798" t="inlineStr">
        <is>
          <t>1993-01-27</t>
        </is>
      </c>
      <c r="X798" t="inlineStr">
        <is>
          <t>1993-01-27</t>
        </is>
      </c>
      <c r="Y798" t="n">
        <v>328</v>
      </c>
      <c r="Z798" t="n">
        <v>295</v>
      </c>
      <c r="AA798" t="n">
        <v>299</v>
      </c>
      <c r="AB798" t="n">
        <v>2</v>
      </c>
      <c r="AC798" t="n">
        <v>2</v>
      </c>
      <c r="AD798" t="n">
        <v>5</v>
      </c>
      <c r="AE798" t="n">
        <v>5</v>
      </c>
      <c r="AF798" t="n">
        <v>2</v>
      </c>
      <c r="AG798" t="n">
        <v>2</v>
      </c>
      <c r="AH798" t="n">
        <v>1</v>
      </c>
      <c r="AI798" t="n">
        <v>1</v>
      </c>
      <c r="AJ798" t="n">
        <v>3</v>
      </c>
      <c r="AK798" t="n">
        <v>3</v>
      </c>
      <c r="AL798" t="n">
        <v>1</v>
      </c>
      <c r="AM798" t="n">
        <v>1</v>
      </c>
      <c r="AN798" t="n">
        <v>0</v>
      </c>
      <c r="AO798" t="n">
        <v>0</v>
      </c>
      <c r="AP798" t="inlineStr">
        <is>
          <t>No</t>
        </is>
      </c>
      <c r="AQ798" t="inlineStr">
        <is>
          <t>Yes</t>
        </is>
      </c>
      <c r="AR798">
        <f>HYPERLINK("http://catalog.hathitrust.org/Record/004531519","HathiTrust Record")</f>
        <v/>
      </c>
      <c r="AS798">
        <f>HYPERLINK("https://creighton-primo.hosted.exlibrisgroup.com/primo-explore/search?tab=default_tab&amp;search_scope=EVERYTHING&amp;vid=01CRU&amp;lang=en_US&amp;offset=0&amp;query=any,contains,991000185059702656","Catalog Record")</f>
        <v/>
      </c>
      <c r="AT798">
        <f>HYPERLINK("http://www.worldcat.org/oclc/9393328","WorldCat Record")</f>
        <v/>
      </c>
      <c r="AU798" t="inlineStr">
        <is>
          <t>1020769372:eng</t>
        </is>
      </c>
      <c r="AV798" t="inlineStr">
        <is>
          <t>9393328</t>
        </is>
      </c>
      <c r="AW798" t="inlineStr">
        <is>
          <t>991000185059702656</t>
        </is>
      </c>
      <c r="AX798" t="inlineStr">
        <is>
          <t>991000185059702656</t>
        </is>
      </c>
      <c r="AY798" t="inlineStr">
        <is>
          <t>2265851240002656</t>
        </is>
      </c>
      <c r="AZ798" t="inlineStr">
        <is>
          <t>BOOK</t>
        </is>
      </c>
      <c r="BB798" t="inlineStr">
        <is>
          <t>9780814122464</t>
        </is>
      </c>
      <c r="BC798" t="inlineStr">
        <is>
          <t>32285001479228</t>
        </is>
      </c>
      <c r="BD798" t="inlineStr">
        <is>
          <t>893314754</t>
        </is>
      </c>
    </row>
    <row r="799">
      <c r="A799" t="inlineStr">
        <is>
          <t>No</t>
        </is>
      </c>
      <c r="B799" t="inlineStr">
        <is>
          <t>LB1576 .I77 1994</t>
        </is>
      </c>
      <c r="C799" t="inlineStr">
        <is>
          <t>0                      LB 1576000I  77          1994</t>
        </is>
      </c>
      <c r="D799" t="inlineStr">
        <is>
          <t>Standards for the assessment of reading and writing / prepared by the IRA/NCTE Joint Task Force on Assessment.</t>
        </is>
      </c>
      <c r="F799" t="inlineStr">
        <is>
          <t>No</t>
        </is>
      </c>
      <c r="G799" t="inlineStr">
        <is>
          <t>1</t>
        </is>
      </c>
      <c r="H799" t="inlineStr">
        <is>
          <t>No</t>
        </is>
      </c>
      <c r="I799" t="inlineStr">
        <is>
          <t>No</t>
        </is>
      </c>
      <c r="J799" t="inlineStr">
        <is>
          <t>0</t>
        </is>
      </c>
      <c r="K799" t="inlineStr">
        <is>
          <t>IRA/NCTE Joint Task Force on Assessment.</t>
        </is>
      </c>
      <c r="L799" t="inlineStr">
        <is>
          <t>Newark, Del. : International Reading Association ; Urbana, Ill. : National Council of Teachers of English, c1994.</t>
        </is>
      </c>
      <c r="M799" t="inlineStr">
        <is>
          <t>1994</t>
        </is>
      </c>
      <c r="O799" t="inlineStr">
        <is>
          <t>eng</t>
        </is>
      </c>
      <c r="P799" t="inlineStr">
        <is>
          <t>deu</t>
        </is>
      </c>
      <c r="R799" t="inlineStr">
        <is>
          <t xml:space="preserve">LB </t>
        </is>
      </c>
      <c r="S799" t="n">
        <v>2</v>
      </c>
      <c r="T799" t="n">
        <v>2</v>
      </c>
      <c r="U799" t="inlineStr">
        <is>
          <t>1998-03-22</t>
        </is>
      </c>
      <c r="V799" t="inlineStr">
        <is>
          <t>1998-03-22</t>
        </is>
      </c>
      <c r="W799" t="inlineStr">
        <is>
          <t>1997-10-16</t>
        </is>
      </c>
      <c r="X799" t="inlineStr">
        <is>
          <t>1997-10-16</t>
        </is>
      </c>
      <c r="Y799" t="n">
        <v>616</v>
      </c>
      <c r="Z799" t="n">
        <v>523</v>
      </c>
      <c r="AA799" t="n">
        <v>662</v>
      </c>
      <c r="AB799" t="n">
        <v>4</v>
      </c>
      <c r="AC799" t="n">
        <v>4</v>
      </c>
      <c r="AD799" t="n">
        <v>22</v>
      </c>
      <c r="AE799" t="n">
        <v>30</v>
      </c>
      <c r="AF799" t="n">
        <v>9</v>
      </c>
      <c r="AG799" t="n">
        <v>12</v>
      </c>
      <c r="AH799" t="n">
        <v>7</v>
      </c>
      <c r="AI799" t="n">
        <v>8</v>
      </c>
      <c r="AJ799" t="n">
        <v>12</v>
      </c>
      <c r="AK799" t="n">
        <v>17</v>
      </c>
      <c r="AL799" t="n">
        <v>3</v>
      </c>
      <c r="AM799" t="n">
        <v>3</v>
      </c>
      <c r="AN799" t="n">
        <v>0</v>
      </c>
      <c r="AO799" t="n">
        <v>0</v>
      </c>
      <c r="AP799" t="inlineStr">
        <is>
          <t>No</t>
        </is>
      </c>
      <c r="AQ799" t="inlineStr">
        <is>
          <t>No</t>
        </is>
      </c>
      <c r="AS799">
        <f>HYPERLINK("https://creighton-primo.hosted.exlibrisgroup.com/primo-explore/search?tab=default_tab&amp;search_scope=EVERYTHING&amp;vid=01CRU&amp;lang=en_US&amp;offset=0&amp;query=any,contains,991002337119702656","Catalog Record")</f>
        <v/>
      </c>
      <c r="AT799">
        <f>HYPERLINK("http://www.worldcat.org/oclc/30417308","WorldCat Record")</f>
        <v/>
      </c>
      <c r="AU799" t="inlineStr">
        <is>
          <t>180175841:eng</t>
        </is>
      </c>
      <c r="AV799" t="inlineStr">
        <is>
          <t>30417308</t>
        </is>
      </c>
      <c r="AW799" t="inlineStr">
        <is>
          <t>991002337119702656</t>
        </is>
      </c>
      <c r="AX799" t="inlineStr">
        <is>
          <t>991002337119702656</t>
        </is>
      </c>
      <c r="AY799" t="inlineStr">
        <is>
          <t>2265917840002656</t>
        </is>
      </c>
      <c r="AZ799" t="inlineStr">
        <is>
          <t>BOOK</t>
        </is>
      </c>
      <c r="BB799" t="inlineStr">
        <is>
          <t>9780814102138</t>
        </is>
      </c>
      <c r="BC799" t="inlineStr">
        <is>
          <t>32285003255576</t>
        </is>
      </c>
      <c r="BD799" t="inlineStr">
        <is>
          <t>893347391</t>
        </is>
      </c>
    </row>
    <row r="800">
      <c r="A800" t="inlineStr">
        <is>
          <t>No</t>
        </is>
      </c>
      <c r="B800" t="inlineStr">
        <is>
          <t>LB1576 .L2936 1992</t>
        </is>
      </c>
      <c r="C800" t="inlineStr">
        <is>
          <t>0                      LB 1576000L  2936        1992</t>
        </is>
      </c>
      <c r="D800" t="inlineStr">
        <is>
          <t>Language and reflection : an integrated approach to teaching English / Anne Ruggles Gere ... [et al.].</t>
        </is>
      </c>
      <c r="F800" t="inlineStr">
        <is>
          <t>No</t>
        </is>
      </c>
      <c r="G800" t="inlineStr">
        <is>
          <t>1</t>
        </is>
      </c>
      <c r="H800" t="inlineStr">
        <is>
          <t>No</t>
        </is>
      </c>
      <c r="I800" t="inlineStr">
        <is>
          <t>No</t>
        </is>
      </c>
      <c r="J800" t="inlineStr">
        <is>
          <t>0</t>
        </is>
      </c>
      <c r="L800" t="inlineStr">
        <is>
          <t>New York : Macmillan ; Toronto : Maxwell Macmillan Canada ; New York : Maxwell Macmillan International, c1992.</t>
        </is>
      </c>
      <c r="M800" t="inlineStr">
        <is>
          <t>1992</t>
        </is>
      </c>
      <c r="O800" t="inlineStr">
        <is>
          <t>eng</t>
        </is>
      </c>
      <c r="P800" t="inlineStr">
        <is>
          <t>nyu</t>
        </is>
      </c>
      <c r="R800" t="inlineStr">
        <is>
          <t xml:space="preserve">LB </t>
        </is>
      </c>
      <c r="S800" t="n">
        <v>4</v>
      </c>
      <c r="T800" t="n">
        <v>4</v>
      </c>
      <c r="U800" t="inlineStr">
        <is>
          <t>2005-10-25</t>
        </is>
      </c>
      <c r="V800" t="inlineStr">
        <is>
          <t>2005-10-25</t>
        </is>
      </c>
      <c r="W800" t="inlineStr">
        <is>
          <t>1997-02-26</t>
        </is>
      </c>
      <c r="X800" t="inlineStr">
        <is>
          <t>1997-02-26</t>
        </is>
      </c>
      <c r="Y800" t="n">
        <v>195</v>
      </c>
      <c r="Z800" t="n">
        <v>167</v>
      </c>
      <c r="AA800" t="n">
        <v>168</v>
      </c>
      <c r="AB800" t="n">
        <v>3</v>
      </c>
      <c r="AC800" t="n">
        <v>3</v>
      </c>
      <c r="AD800" t="n">
        <v>7</v>
      </c>
      <c r="AE800" t="n">
        <v>7</v>
      </c>
      <c r="AF800" t="n">
        <v>1</v>
      </c>
      <c r="AG800" t="n">
        <v>1</v>
      </c>
      <c r="AH800" t="n">
        <v>2</v>
      </c>
      <c r="AI800" t="n">
        <v>2</v>
      </c>
      <c r="AJ800" t="n">
        <v>4</v>
      </c>
      <c r="AK800" t="n">
        <v>4</v>
      </c>
      <c r="AL800" t="n">
        <v>2</v>
      </c>
      <c r="AM800" t="n">
        <v>2</v>
      </c>
      <c r="AN800" t="n">
        <v>0</v>
      </c>
      <c r="AO800" t="n">
        <v>0</v>
      </c>
      <c r="AP800" t="inlineStr">
        <is>
          <t>No</t>
        </is>
      </c>
      <c r="AQ800" t="inlineStr">
        <is>
          <t>No</t>
        </is>
      </c>
      <c r="AS800">
        <f>HYPERLINK("https://creighton-primo.hosted.exlibrisgroup.com/primo-explore/search?tab=default_tab&amp;search_scope=EVERYTHING&amp;vid=01CRU&amp;lang=en_US&amp;offset=0&amp;query=any,contains,991001912459702656","Catalog Record")</f>
        <v/>
      </c>
      <c r="AT800">
        <f>HYPERLINK("http://www.worldcat.org/oclc/24143916","WorldCat Record")</f>
        <v/>
      </c>
      <c r="AU800" t="inlineStr">
        <is>
          <t>26154059:eng</t>
        </is>
      </c>
      <c r="AV800" t="inlineStr">
        <is>
          <t>24143916</t>
        </is>
      </c>
      <c r="AW800" t="inlineStr">
        <is>
          <t>991001912459702656</t>
        </is>
      </c>
      <c r="AX800" t="inlineStr">
        <is>
          <t>991001912459702656</t>
        </is>
      </c>
      <c r="AY800" t="inlineStr">
        <is>
          <t>2266330670002656</t>
        </is>
      </c>
      <c r="AZ800" t="inlineStr">
        <is>
          <t>BOOK</t>
        </is>
      </c>
      <c r="BB800" t="inlineStr">
        <is>
          <t>9780023414503</t>
        </is>
      </c>
      <c r="BC800" t="inlineStr">
        <is>
          <t>32285002433588</t>
        </is>
      </c>
      <c r="BD800" t="inlineStr">
        <is>
          <t>893244523</t>
        </is>
      </c>
    </row>
    <row r="801">
      <c r="A801" t="inlineStr">
        <is>
          <t>No</t>
        </is>
      </c>
      <c r="B801" t="inlineStr">
        <is>
          <t>LB1576 .L864 2003</t>
        </is>
      </c>
      <c r="C801" t="inlineStr">
        <is>
          <t>0                      LB 1576000L  864         2003</t>
        </is>
      </c>
      <c r="D801" t="inlineStr">
        <is>
          <t>Authentic assessment : designing performance-based tasks / Katherine Luongo-Orlando.</t>
        </is>
      </c>
      <c r="F801" t="inlineStr">
        <is>
          <t>No</t>
        </is>
      </c>
      <c r="G801" t="inlineStr">
        <is>
          <t>1</t>
        </is>
      </c>
      <c r="H801" t="inlineStr">
        <is>
          <t>No</t>
        </is>
      </c>
      <c r="I801" t="inlineStr">
        <is>
          <t>No</t>
        </is>
      </c>
      <c r="J801" t="inlineStr">
        <is>
          <t>0</t>
        </is>
      </c>
      <c r="K801" t="inlineStr">
        <is>
          <t>Luongo-Orlando, Katherine.</t>
        </is>
      </c>
      <c r="L801" t="inlineStr">
        <is>
          <t>Markham, Ont. : Pembroke Publishers, c2003.</t>
        </is>
      </c>
      <c r="M801" t="inlineStr">
        <is>
          <t>2003</t>
        </is>
      </c>
      <c r="O801" t="inlineStr">
        <is>
          <t>eng</t>
        </is>
      </c>
      <c r="P801" t="inlineStr">
        <is>
          <t>onc</t>
        </is>
      </c>
      <c r="R801" t="inlineStr">
        <is>
          <t xml:space="preserve">LB </t>
        </is>
      </c>
      <c r="S801" t="n">
        <v>2</v>
      </c>
      <c r="T801" t="n">
        <v>2</v>
      </c>
      <c r="U801" t="inlineStr">
        <is>
          <t>2003-12-04</t>
        </is>
      </c>
      <c r="V801" t="inlineStr">
        <is>
          <t>2003-12-04</t>
        </is>
      </c>
      <c r="W801" t="inlineStr">
        <is>
          <t>2003-12-04</t>
        </is>
      </c>
      <c r="X801" t="inlineStr">
        <is>
          <t>2003-12-04</t>
        </is>
      </c>
      <c r="Y801" t="n">
        <v>237</v>
      </c>
      <c r="Z801" t="n">
        <v>180</v>
      </c>
      <c r="AA801" t="n">
        <v>186</v>
      </c>
      <c r="AB801" t="n">
        <v>4</v>
      </c>
      <c r="AC801" t="n">
        <v>4</v>
      </c>
      <c r="AD801" t="n">
        <v>14</v>
      </c>
      <c r="AE801" t="n">
        <v>14</v>
      </c>
      <c r="AF801" t="n">
        <v>4</v>
      </c>
      <c r="AG801" t="n">
        <v>4</v>
      </c>
      <c r="AH801" t="n">
        <v>2</v>
      </c>
      <c r="AI801" t="n">
        <v>2</v>
      </c>
      <c r="AJ801" t="n">
        <v>8</v>
      </c>
      <c r="AK801" t="n">
        <v>8</v>
      </c>
      <c r="AL801" t="n">
        <v>3</v>
      </c>
      <c r="AM801" t="n">
        <v>3</v>
      </c>
      <c r="AN801" t="n">
        <v>0</v>
      </c>
      <c r="AO801" t="n">
        <v>0</v>
      </c>
      <c r="AP801" t="inlineStr">
        <is>
          <t>No</t>
        </is>
      </c>
      <c r="AQ801" t="inlineStr">
        <is>
          <t>No</t>
        </is>
      </c>
      <c r="AS801">
        <f>HYPERLINK("https://creighton-primo.hosted.exlibrisgroup.com/primo-explore/search?tab=default_tab&amp;search_scope=EVERYTHING&amp;vid=01CRU&amp;lang=en_US&amp;offset=0&amp;query=any,contains,991004170309702656","Catalog Record")</f>
        <v/>
      </c>
      <c r="AT801">
        <f>HYPERLINK("http://www.worldcat.org/oclc/51242916","WorldCat Record")</f>
        <v/>
      </c>
      <c r="AU801" t="inlineStr">
        <is>
          <t>1216757634:eng</t>
        </is>
      </c>
      <c r="AV801" t="inlineStr">
        <is>
          <t>51242916</t>
        </is>
      </c>
      <c r="AW801" t="inlineStr">
        <is>
          <t>991004170309702656</t>
        </is>
      </c>
      <c r="AX801" t="inlineStr">
        <is>
          <t>991004170309702656</t>
        </is>
      </c>
      <c r="AY801" t="inlineStr">
        <is>
          <t>2266557020002656</t>
        </is>
      </c>
      <c r="AZ801" t="inlineStr">
        <is>
          <t>BOOK</t>
        </is>
      </c>
      <c r="BB801" t="inlineStr">
        <is>
          <t>9781551381527</t>
        </is>
      </c>
      <c r="BC801" t="inlineStr">
        <is>
          <t>32285004844337</t>
        </is>
      </c>
      <c r="BD801" t="inlineStr">
        <is>
          <t>893599514</t>
        </is>
      </c>
    </row>
    <row r="802">
      <c r="A802" t="inlineStr">
        <is>
          <t>No</t>
        </is>
      </c>
      <c r="B802" t="inlineStr">
        <is>
          <t>LB1576 .M886 1993</t>
        </is>
      </c>
      <c r="C802" t="inlineStr">
        <is>
          <t>0                      LB 1576000M  886         1993</t>
        </is>
      </c>
      <c r="D802" t="inlineStr">
        <is>
          <t>Writing workshop survival kit / Gary R. Muschla.</t>
        </is>
      </c>
      <c r="F802" t="inlineStr">
        <is>
          <t>No</t>
        </is>
      </c>
      <c r="G802" t="inlineStr">
        <is>
          <t>1</t>
        </is>
      </c>
      <c r="H802" t="inlineStr">
        <is>
          <t>No</t>
        </is>
      </c>
      <c r="I802" t="inlineStr">
        <is>
          <t>No</t>
        </is>
      </c>
      <c r="J802" t="inlineStr">
        <is>
          <t>0</t>
        </is>
      </c>
      <c r="K802" t="inlineStr">
        <is>
          <t>Muschla, Gary Robert.</t>
        </is>
      </c>
      <c r="L802" t="inlineStr">
        <is>
          <t>West Nyack, N.Y. : Center for Applied Research in Education, c1993.</t>
        </is>
      </c>
      <c r="M802" t="inlineStr">
        <is>
          <t>1993</t>
        </is>
      </c>
      <c r="O802" t="inlineStr">
        <is>
          <t>eng</t>
        </is>
      </c>
      <c r="P802" t="inlineStr">
        <is>
          <t>nyu</t>
        </is>
      </c>
      <c r="R802" t="inlineStr">
        <is>
          <t xml:space="preserve">LB </t>
        </is>
      </c>
      <c r="S802" t="n">
        <v>8</v>
      </c>
      <c r="T802" t="n">
        <v>8</v>
      </c>
      <c r="U802" t="inlineStr">
        <is>
          <t>2005-04-07</t>
        </is>
      </c>
      <c r="V802" t="inlineStr">
        <is>
          <t>2005-04-07</t>
        </is>
      </c>
      <c r="W802" t="inlineStr">
        <is>
          <t>1993-08-09</t>
        </is>
      </c>
      <c r="X802" t="inlineStr">
        <is>
          <t>1993-08-09</t>
        </is>
      </c>
      <c r="Y802" t="n">
        <v>143</v>
      </c>
      <c r="Z802" t="n">
        <v>133</v>
      </c>
      <c r="AA802" t="n">
        <v>230</v>
      </c>
      <c r="AB802" t="n">
        <v>2</v>
      </c>
      <c r="AC802" t="n">
        <v>3</v>
      </c>
      <c r="AD802" t="n">
        <v>2</v>
      </c>
      <c r="AE802" t="n">
        <v>4</v>
      </c>
      <c r="AF802" t="n">
        <v>1</v>
      </c>
      <c r="AG802" t="n">
        <v>1</v>
      </c>
      <c r="AH802" t="n">
        <v>0</v>
      </c>
      <c r="AI802" t="n">
        <v>0</v>
      </c>
      <c r="AJ802" t="n">
        <v>2</v>
      </c>
      <c r="AK802" t="n">
        <v>3</v>
      </c>
      <c r="AL802" t="n">
        <v>0</v>
      </c>
      <c r="AM802" t="n">
        <v>1</v>
      </c>
      <c r="AN802" t="n">
        <v>0</v>
      </c>
      <c r="AO802" t="n">
        <v>0</v>
      </c>
      <c r="AP802" t="inlineStr">
        <is>
          <t>No</t>
        </is>
      </c>
      <c r="AQ802" t="inlineStr">
        <is>
          <t>Yes</t>
        </is>
      </c>
      <c r="AR802">
        <f>HYPERLINK("http://catalog.hathitrust.org/Record/101948572","HathiTrust Record")</f>
        <v/>
      </c>
      <c r="AS802">
        <f>HYPERLINK("https://creighton-primo.hosted.exlibrisgroup.com/primo-explore/search?tab=default_tab&amp;search_scope=EVERYTHING&amp;vid=01CRU&amp;lang=en_US&amp;offset=0&amp;query=any,contains,991005416229702656","Catalog Record")</f>
        <v/>
      </c>
      <c r="AT802">
        <f>HYPERLINK("http://www.worldcat.org/oclc/27186289","WorldCat Record")</f>
        <v/>
      </c>
      <c r="AU802" t="inlineStr">
        <is>
          <t>3857330871:eng</t>
        </is>
      </c>
      <c r="AV802" t="inlineStr">
        <is>
          <t>27186289</t>
        </is>
      </c>
      <c r="AW802" t="inlineStr">
        <is>
          <t>991005416229702656</t>
        </is>
      </c>
      <c r="AX802" t="inlineStr">
        <is>
          <t>991005416229702656</t>
        </is>
      </c>
      <c r="AY802" t="inlineStr">
        <is>
          <t>2270528850002656</t>
        </is>
      </c>
      <c r="AZ802" t="inlineStr">
        <is>
          <t>BOOK</t>
        </is>
      </c>
      <c r="BB802" t="inlineStr">
        <is>
          <t>9780876289723</t>
        </is>
      </c>
      <c r="BC802" t="inlineStr">
        <is>
          <t>32285001725653</t>
        </is>
      </c>
      <c r="BD802" t="inlineStr">
        <is>
          <t>893320592</t>
        </is>
      </c>
    </row>
    <row r="803">
      <c r="A803" t="inlineStr">
        <is>
          <t>No</t>
        </is>
      </c>
      <c r="B803" t="inlineStr">
        <is>
          <t>LB1576 .M945 1996</t>
        </is>
      </c>
      <c r="C803" t="inlineStr">
        <is>
          <t>0                      LB 1576000M  945         1996</t>
        </is>
      </c>
      <c r="D803" t="inlineStr">
        <is>
          <t>Changing our minds : negotiating English and literacy / Miles Myers.</t>
        </is>
      </c>
      <c r="F803" t="inlineStr">
        <is>
          <t>No</t>
        </is>
      </c>
      <c r="G803" t="inlineStr">
        <is>
          <t>1</t>
        </is>
      </c>
      <c r="H803" t="inlineStr">
        <is>
          <t>No</t>
        </is>
      </c>
      <c r="I803" t="inlineStr">
        <is>
          <t>No</t>
        </is>
      </c>
      <c r="J803" t="inlineStr">
        <is>
          <t>0</t>
        </is>
      </c>
      <c r="K803" t="inlineStr">
        <is>
          <t>Myers, Miles.</t>
        </is>
      </c>
      <c r="L803" t="inlineStr">
        <is>
          <t>Urbana, Ill. : National Council of Teachers of English, c1996.</t>
        </is>
      </c>
      <c r="M803" t="inlineStr">
        <is>
          <t>1996</t>
        </is>
      </c>
      <c r="O803" t="inlineStr">
        <is>
          <t>eng</t>
        </is>
      </c>
      <c r="P803" t="inlineStr">
        <is>
          <t>ilu</t>
        </is>
      </c>
      <c r="R803" t="inlineStr">
        <is>
          <t xml:space="preserve">LB </t>
        </is>
      </c>
      <c r="S803" t="n">
        <v>1</v>
      </c>
      <c r="T803" t="n">
        <v>1</v>
      </c>
      <c r="U803" t="inlineStr">
        <is>
          <t>2009-03-21</t>
        </is>
      </c>
      <c r="V803" t="inlineStr">
        <is>
          <t>2009-03-21</t>
        </is>
      </c>
      <c r="W803" t="inlineStr">
        <is>
          <t>1996-05-16</t>
        </is>
      </c>
      <c r="X803" t="inlineStr">
        <is>
          <t>1996-05-16</t>
        </is>
      </c>
      <c r="Y803" t="n">
        <v>335</v>
      </c>
      <c r="Z803" t="n">
        <v>303</v>
      </c>
      <c r="AA803" t="n">
        <v>311</v>
      </c>
      <c r="AB803" t="n">
        <v>2</v>
      </c>
      <c r="AC803" t="n">
        <v>2</v>
      </c>
      <c r="AD803" t="n">
        <v>9</v>
      </c>
      <c r="AE803" t="n">
        <v>9</v>
      </c>
      <c r="AF803" t="n">
        <v>5</v>
      </c>
      <c r="AG803" t="n">
        <v>5</v>
      </c>
      <c r="AH803" t="n">
        <v>2</v>
      </c>
      <c r="AI803" t="n">
        <v>2</v>
      </c>
      <c r="AJ803" t="n">
        <v>2</v>
      </c>
      <c r="AK803" t="n">
        <v>2</v>
      </c>
      <c r="AL803" t="n">
        <v>1</v>
      </c>
      <c r="AM803" t="n">
        <v>1</v>
      </c>
      <c r="AN803" t="n">
        <v>0</v>
      </c>
      <c r="AO803" t="n">
        <v>0</v>
      </c>
      <c r="AP803" t="inlineStr">
        <is>
          <t>No</t>
        </is>
      </c>
      <c r="AQ803" t="inlineStr">
        <is>
          <t>Yes</t>
        </is>
      </c>
      <c r="AR803">
        <f>HYPERLINK("http://catalog.hathitrust.org/Record/004536611","HathiTrust Record")</f>
        <v/>
      </c>
      <c r="AS803">
        <f>HYPERLINK("https://creighton-primo.hosted.exlibrisgroup.com/primo-explore/search?tab=default_tab&amp;search_scope=EVERYTHING&amp;vid=01CRU&amp;lang=en_US&amp;offset=0&amp;query=any,contains,991002539129702656","Catalog Record")</f>
        <v/>
      </c>
      <c r="AT803">
        <f>HYPERLINK("http://www.worldcat.org/oclc/33007708","WorldCat Record")</f>
        <v/>
      </c>
      <c r="AU803" t="inlineStr">
        <is>
          <t>325259442:eng</t>
        </is>
      </c>
      <c r="AV803" t="inlineStr">
        <is>
          <t>33007708</t>
        </is>
      </c>
      <c r="AW803" t="inlineStr">
        <is>
          <t>991002539129702656</t>
        </is>
      </c>
      <c r="AX803" t="inlineStr">
        <is>
          <t>991002539129702656</t>
        </is>
      </c>
      <c r="AY803" t="inlineStr">
        <is>
          <t>2261783530002656</t>
        </is>
      </c>
      <c r="AZ803" t="inlineStr">
        <is>
          <t>BOOK</t>
        </is>
      </c>
      <c r="BB803" t="inlineStr">
        <is>
          <t>9780814133040</t>
        </is>
      </c>
      <c r="BC803" t="inlineStr">
        <is>
          <t>32285002169067</t>
        </is>
      </c>
      <c r="BD803" t="inlineStr">
        <is>
          <t>893530130</t>
        </is>
      </c>
    </row>
    <row r="804">
      <c r="A804" t="inlineStr">
        <is>
          <t>No</t>
        </is>
      </c>
      <c r="B804" t="inlineStr">
        <is>
          <t>LB1576 .N274 1996</t>
        </is>
      </c>
      <c r="C804" t="inlineStr">
        <is>
          <t>0                      LB 1576000N  274         1996</t>
        </is>
      </c>
      <c r="D804" t="inlineStr">
        <is>
          <t>Standards for the English language arts.</t>
        </is>
      </c>
      <c r="F804" t="inlineStr">
        <is>
          <t>No</t>
        </is>
      </c>
      <c r="G804" t="inlineStr">
        <is>
          <t>1</t>
        </is>
      </c>
      <c r="H804" t="inlineStr">
        <is>
          <t>No</t>
        </is>
      </c>
      <c r="I804" t="inlineStr">
        <is>
          <t>No</t>
        </is>
      </c>
      <c r="J804" t="inlineStr">
        <is>
          <t>0</t>
        </is>
      </c>
      <c r="K804" t="inlineStr">
        <is>
          <t>National Council of Teachers of English.</t>
        </is>
      </c>
      <c r="L804" t="inlineStr">
        <is>
          <t>Urbana, Ill. : National Council of Teachers of English ; Newark, Del. : International Reading Association, c1996.</t>
        </is>
      </c>
      <c r="M804" t="inlineStr">
        <is>
          <t>1996</t>
        </is>
      </c>
      <c r="O804" t="inlineStr">
        <is>
          <t>eng</t>
        </is>
      </c>
      <c r="P804" t="inlineStr">
        <is>
          <t>ilu</t>
        </is>
      </c>
      <c r="R804" t="inlineStr">
        <is>
          <t xml:space="preserve">LB </t>
        </is>
      </c>
      <c r="S804" t="n">
        <v>9</v>
      </c>
      <c r="T804" t="n">
        <v>9</v>
      </c>
      <c r="U804" t="inlineStr">
        <is>
          <t>2008-10-08</t>
        </is>
      </c>
      <c r="V804" t="inlineStr">
        <is>
          <t>2008-10-08</t>
        </is>
      </c>
      <c r="W804" t="inlineStr">
        <is>
          <t>1996-05-28</t>
        </is>
      </c>
      <c r="X804" t="inlineStr">
        <is>
          <t>1996-05-28</t>
        </is>
      </c>
      <c r="Y804" t="n">
        <v>599</v>
      </c>
      <c r="Z804" t="n">
        <v>552</v>
      </c>
      <c r="AA804" t="n">
        <v>558</v>
      </c>
      <c r="AB804" t="n">
        <v>5</v>
      </c>
      <c r="AC804" t="n">
        <v>5</v>
      </c>
      <c r="AD804" t="n">
        <v>16</v>
      </c>
      <c r="AE804" t="n">
        <v>16</v>
      </c>
      <c r="AF804" t="n">
        <v>5</v>
      </c>
      <c r="AG804" t="n">
        <v>5</v>
      </c>
      <c r="AH804" t="n">
        <v>5</v>
      </c>
      <c r="AI804" t="n">
        <v>5</v>
      </c>
      <c r="AJ804" t="n">
        <v>8</v>
      </c>
      <c r="AK804" t="n">
        <v>8</v>
      </c>
      <c r="AL804" t="n">
        <v>3</v>
      </c>
      <c r="AM804" t="n">
        <v>3</v>
      </c>
      <c r="AN804" t="n">
        <v>0</v>
      </c>
      <c r="AO804" t="n">
        <v>0</v>
      </c>
      <c r="AP804" t="inlineStr">
        <is>
          <t>No</t>
        </is>
      </c>
      <c r="AQ804" t="inlineStr">
        <is>
          <t>No</t>
        </is>
      </c>
      <c r="AS804">
        <f>HYPERLINK("https://creighton-primo.hosted.exlibrisgroup.com/primo-explore/search?tab=default_tab&amp;search_scope=EVERYTHING&amp;vid=01CRU&amp;lang=en_US&amp;offset=0&amp;query=any,contains,991002603539702656","Catalog Record")</f>
        <v/>
      </c>
      <c r="AT804">
        <f>HYPERLINK("http://www.worldcat.org/oclc/34113534","WorldCat Record")</f>
        <v/>
      </c>
      <c r="AU804" t="inlineStr">
        <is>
          <t>39002258:eng</t>
        </is>
      </c>
      <c r="AV804" t="inlineStr">
        <is>
          <t>34113534</t>
        </is>
      </c>
      <c r="AW804" t="inlineStr">
        <is>
          <t>991002603539702656</t>
        </is>
      </c>
      <c r="AX804" t="inlineStr">
        <is>
          <t>991002603539702656</t>
        </is>
      </c>
      <c r="AY804" t="inlineStr">
        <is>
          <t>2272676140002656</t>
        </is>
      </c>
      <c r="AZ804" t="inlineStr">
        <is>
          <t>BOOK</t>
        </is>
      </c>
      <c r="BB804" t="inlineStr">
        <is>
          <t>9780814146767</t>
        </is>
      </c>
      <c r="BC804" t="inlineStr">
        <is>
          <t>32285002177904</t>
        </is>
      </c>
      <c r="BD804" t="inlineStr">
        <is>
          <t>893233163</t>
        </is>
      </c>
    </row>
    <row r="805">
      <c r="A805" t="inlineStr">
        <is>
          <t>No</t>
        </is>
      </c>
      <c r="B805" t="inlineStr">
        <is>
          <t>LB1576 .N84 1985</t>
        </is>
      </c>
      <c r="C805" t="inlineStr">
        <is>
          <t>0                      LB 1576000N  84          1985</t>
        </is>
      </c>
      <c r="D805" t="inlineStr">
        <is>
          <t>The effective teaching of language arts / Donna E. Norton.</t>
        </is>
      </c>
      <c r="F805" t="inlineStr">
        <is>
          <t>No</t>
        </is>
      </c>
      <c r="G805" t="inlineStr">
        <is>
          <t>1</t>
        </is>
      </c>
      <c r="H805" t="inlineStr">
        <is>
          <t>No</t>
        </is>
      </c>
      <c r="I805" t="inlineStr">
        <is>
          <t>No</t>
        </is>
      </c>
      <c r="J805" t="inlineStr">
        <is>
          <t>0</t>
        </is>
      </c>
      <c r="K805" t="inlineStr">
        <is>
          <t>Norton, Donna E.</t>
        </is>
      </c>
      <c r="L805" t="inlineStr">
        <is>
          <t>Columbus, Ohio : C.E. Merrill, c1985.</t>
        </is>
      </c>
      <c r="M805" t="inlineStr">
        <is>
          <t>1985</t>
        </is>
      </c>
      <c r="N805" t="inlineStr">
        <is>
          <t>2nd ed.</t>
        </is>
      </c>
      <c r="O805" t="inlineStr">
        <is>
          <t>eng</t>
        </is>
      </c>
      <c r="P805" t="inlineStr">
        <is>
          <t>ohu</t>
        </is>
      </c>
      <c r="R805" t="inlineStr">
        <is>
          <t xml:space="preserve">LB </t>
        </is>
      </c>
      <c r="S805" t="n">
        <v>5</v>
      </c>
      <c r="T805" t="n">
        <v>5</v>
      </c>
      <c r="U805" t="inlineStr">
        <is>
          <t>1995-12-12</t>
        </is>
      </c>
      <c r="V805" t="inlineStr">
        <is>
          <t>1995-12-12</t>
        </is>
      </c>
      <c r="W805" t="inlineStr">
        <is>
          <t>1990-07-10</t>
        </is>
      </c>
      <c r="X805" t="inlineStr">
        <is>
          <t>1990-07-10</t>
        </is>
      </c>
      <c r="Y805" t="n">
        <v>174</v>
      </c>
      <c r="Z805" t="n">
        <v>148</v>
      </c>
      <c r="AA805" t="n">
        <v>595</v>
      </c>
      <c r="AB805" t="n">
        <v>1</v>
      </c>
      <c r="AC805" t="n">
        <v>5</v>
      </c>
      <c r="AD805" t="n">
        <v>6</v>
      </c>
      <c r="AE805" t="n">
        <v>22</v>
      </c>
      <c r="AF805" t="n">
        <v>3</v>
      </c>
      <c r="AG805" t="n">
        <v>9</v>
      </c>
      <c r="AH805" t="n">
        <v>3</v>
      </c>
      <c r="AI805" t="n">
        <v>4</v>
      </c>
      <c r="AJ805" t="n">
        <v>2</v>
      </c>
      <c r="AK805" t="n">
        <v>12</v>
      </c>
      <c r="AL805" t="n">
        <v>0</v>
      </c>
      <c r="AM805" t="n">
        <v>4</v>
      </c>
      <c r="AN805" t="n">
        <v>0</v>
      </c>
      <c r="AO805" t="n">
        <v>0</v>
      </c>
      <c r="AP805" t="inlineStr">
        <is>
          <t>No</t>
        </is>
      </c>
      <c r="AQ805" t="inlineStr">
        <is>
          <t>No</t>
        </is>
      </c>
      <c r="AS805">
        <f>HYPERLINK("https://creighton-primo.hosted.exlibrisgroup.com/primo-explore/search?tab=default_tab&amp;search_scope=EVERYTHING&amp;vid=01CRU&amp;lang=en_US&amp;offset=0&amp;query=any,contains,991000572849702656","Catalog Record")</f>
        <v/>
      </c>
      <c r="AT805">
        <f>HYPERLINK("http://www.worldcat.org/oclc/11669590","WorldCat Record")</f>
        <v/>
      </c>
      <c r="AU805" t="inlineStr">
        <is>
          <t>4161585383:eng</t>
        </is>
      </c>
      <c r="AV805" t="inlineStr">
        <is>
          <t>11669590</t>
        </is>
      </c>
      <c r="AW805" t="inlineStr">
        <is>
          <t>991000572849702656</t>
        </is>
      </c>
      <c r="AX805" t="inlineStr">
        <is>
          <t>991000572849702656</t>
        </is>
      </c>
      <c r="AY805" t="inlineStr">
        <is>
          <t>2268863560002656</t>
        </is>
      </c>
      <c r="AZ805" t="inlineStr">
        <is>
          <t>BOOK</t>
        </is>
      </c>
      <c r="BB805" t="inlineStr">
        <is>
          <t>9780675203548</t>
        </is>
      </c>
      <c r="BC805" t="inlineStr">
        <is>
          <t>32285000223163</t>
        </is>
      </c>
      <c r="BD805" t="inlineStr">
        <is>
          <t>893608052</t>
        </is>
      </c>
    </row>
    <row r="806">
      <c r="A806" t="inlineStr">
        <is>
          <t>No</t>
        </is>
      </c>
      <c r="B806" t="inlineStr">
        <is>
          <t>LB1576 .N844 1985</t>
        </is>
      </c>
      <c r="C806" t="inlineStr">
        <is>
          <t>0                      LB 1576000N  844         1985</t>
        </is>
      </c>
      <c r="D806" t="inlineStr">
        <is>
          <t>Language arts activities for children / Donna E. Norton.</t>
        </is>
      </c>
      <c r="F806" t="inlineStr">
        <is>
          <t>No</t>
        </is>
      </c>
      <c r="G806" t="inlineStr">
        <is>
          <t>1</t>
        </is>
      </c>
      <c r="H806" t="inlineStr">
        <is>
          <t>No</t>
        </is>
      </c>
      <c r="I806" t="inlineStr">
        <is>
          <t>No</t>
        </is>
      </c>
      <c r="J806" t="inlineStr">
        <is>
          <t>0</t>
        </is>
      </c>
      <c r="K806" t="inlineStr">
        <is>
          <t>Norton, Donna E.</t>
        </is>
      </c>
      <c r="L806" t="inlineStr">
        <is>
          <t>Columbus : C.E. Merrill, c1985.</t>
        </is>
      </c>
      <c r="M806" t="inlineStr">
        <is>
          <t>1985</t>
        </is>
      </c>
      <c r="N806" t="inlineStr">
        <is>
          <t>2nd ed.</t>
        </is>
      </c>
      <c r="O806" t="inlineStr">
        <is>
          <t>eng</t>
        </is>
      </c>
      <c r="P806" t="inlineStr">
        <is>
          <t>ohu</t>
        </is>
      </c>
      <c r="R806" t="inlineStr">
        <is>
          <t xml:space="preserve">LB </t>
        </is>
      </c>
      <c r="S806" t="n">
        <v>2</v>
      </c>
      <c r="T806" t="n">
        <v>2</v>
      </c>
      <c r="U806" t="inlineStr">
        <is>
          <t>1999-09-10</t>
        </is>
      </c>
      <c r="V806" t="inlineStr">
        <is>
          <t>1999-09-10</t>
        </is>
      </c>
      <c r="W806" t="inlineStr">
        <is>
          <t>1990-07-10</t>
        </is>
      </c>
      <c r="X806" t="inlineStr">
        <is>
          <t>1990-07-10</t>
        </is>
      </c>
      <c r="Y806" t="n">
        <v>180</v>
      </c>
      <c r="Z806" t="n">
        <v>159</v>
      </c>
      <c r="AA806" t="n">
        <v>564</v>
      </c>
      <c r="AB806" t="n">
        <v>1</v>
      </c>
      <c r="AC806" t="n">
        <v>6</v>
      </c>
      <c r="AD806" t="n">
        <v>4</v>
      </c>
      <c r="AE806" t="n">
        <v>28</v>
      </c>
      <c r="AF806" t="n">
        <v>2</v>
      </c>
      <c r="AG806" t="n">
        <v>12</v>
      </c>
      <c r="AH806" t="n">
        <v>2</v>
      </c>
      <c r="AI806" t="n">
        <v>4</v>
      </c>
      <c r="AJ806" t="n">
        <v>3</v>
      </c>
      <c r="AK806" t="n">
        <v>12</v>
      </c>
      <c r="AL806" t="n">
        <v>0</v>
      </c>
      <c r="AM806" t="n">
        <v>5</v>
      </c>
      <c r="AN806" t="n">
        <v>0</v>
      </c>
      <c r="AO806" t="n">
        <v>0</v>
      </c>
      <c r="AP806" t="inlineStr">
        <is>
          <t>No</t>
        </is>
      </c>
      <c r="AQ806" t="inlineStr">
        <is>
          <t>Yes</t>
        </is>
      </c>
      <c r="AR806">
        <f>HYPERLINK("http://catalog.hathitrust.org/Record/101876991","HathiTrust Record")</f>
        <v/>
      </c>
      <c r="AS806">
        <f>HYPERLINK("https://creighton-primo.hosted.exlibrisgroup.com/primo-explore/search?tab=default_tab&amp;search_scope=EVERYTHING&amp;vid=01CRU&amp;lang=en_US&amp;offset=0&amp;query=any,contains,991000572809702656","Catalog Record")</f>
        <v/>
      </c>
      <c r="AT806">
        <f>HYPERLINK("http://www.worldcat.org/oclc/11669537","WorldCat Record")</f>
        <v/>
      </c>
      <c r="AU806" t="inlineStr">
        <is>
          <t>984066:eng</t>
        </is>
      </c>
      <c r="AV806" t="inlineStr">
        <is>
          <t>11669537</t>
        </is>
      </c>
      <c r="AW806" t="inlineStr">
        <is>
          <t>991000572809702656</t>
        </is>
      </c>
      <c r="AX806" t="inlineStr">
        <is>
          <t>991000572809702656</t>
        </is>
      </c>
      <c r="AY806" t="inlineStr">
        <is>
          <t>2268860780002656</t>
        </is>
      </c>
      <c r="AZ806" t="inlineStr">
        <is>
          <t>BOOK</t>
        </is>
      </c>
      <c r="BB806" t="inlineStr">
        <is>
          <t>9780675203449</t>
        </is>
      </c>
      <c r="BC806" t="inlineStr">
        <is>
          <t>32285000223171</t>
        </is>
      </c>
      <c r="BD806" t="inlineStr">
        <is>
          <t>893339674</t>
        </is>
      </c>
    </row>
    <row r="807">
      <c r="A807" t="inlineStr">
        <is>
          <t>No</t>
        </is>
      </c>
      <c r="B807" t="inlineStr">
        <is>
          <t>LB1576 .O32 1987</t>
        </is>
      </c>
      <c r="C807" t="inlineStr">
        <is>
          <t>0                      LB 1576000O  32          1987</t>
        </is>
      </c>
      <c r="D807" t="inlineStr">
        <is>
          <t>Beyond the "ands" and "buts" : sentence combining resources for integrated programs, grades 8-12, English and anglais / editor, Peter Evans ; authors, Michael O'Hagan, Pat Haynes, Peter Evans ; contributors, Marion Spencer, Marty Varpio, Dan St-Jean.</t>
        </is>
      </c>
      <c r="F807" t="inlineStr">
        <is>
          <t>No</t>
        </is>
      </c>
      <c r="G807" t="inlineStr">
        <is>
          <t>1</t>
        </is>
      </c>
      <c r="H807" t="inlineStr">
        <is>
          <t>No</t>
        </is>
      </c>
      <c r="I807" t="inlineStr">
        <is>
          <t>No</t>
        </is>
      </c>
      <c r="J807" t="inlineStr">
        <is>
          <t>0</t>
        </is>
      </c>
      <c r="K807" t="inlineStr">
        <is>
          <t>O'Hagan, Michael, 1946-</t>
        </is>
      </c>
      <c r="L807" t="inlineStr">
        <is>
          <t>Toronto : OISE Press, 1987.</t>
        </is>
      </c>
      <c r="M807" t="inlineStr">
        <is>
          <t>1987</t>
        </is>
      </c>
      <c r="O807" t="inlineStr">
        <is>
          <t>eng</t>
        </is>
      </c>
      <c r="P807" t="inlineStr">
        <is>
          <t>onc</t>
        </is>
      </c>
      <c r="Q807" t="inlineStr">
        <is>
          <t>Curriculum series ; 53</t>
        </is>
      </c>
      <c r="R807" t="inlineStr">
        <is>
          <t xml:space="preserve">LB </t>
        </is>
      </c>
      <c r="S807" t="n">
        <v>1</v>
      </c>
      <c r="T807" t="n">
        <v>1</v>
      </c>
      <c r="U807" t="inlineStr">
        <is>
          <t>2000-05-31</t>
        </is>
      </c>
      <c r="V807" t="inlineStr">
        <is>
          <t>2000-05-31</t>
        </is>
      </c>
      <c r="W807" t="inlineStr">
        <is>
          <t>1990-07-10</t>
        </is>
      </c>
      <c r="X807" t="inlineStr">
        <is>
          <t>1990-07-10</t>
        </is>
      </c>
      <c r="Y807" t="n">
        <v>63</v>
      </c>
      <c r="Z807" t="n">
        <v>37</v>
      </c>
      <c r="AA807" t="n">
        <v>37</v>
      </c>
      <c r="AB807" t="n">
        <v>1</v>
      </c>
      <c r="AC807" t="n">
        <v>1</v>
      </c>
      <c r="AD807" t="n">
        <v>0</v>
      </c>
      <c r="AE807" t="n">
        <v>0</v>
      </c>
      <c r="AF807" t="n">
        <v>0</v>
      </c>
      <c r="AG807" t="n">
        <v>0</v>
      </c>
      <c r="AH807" t="n">
        <v>0</v>
      </c>
      <c r="AI807" t="n">
        <v>0</v>
      </c>
      <c r="AJ807" t="n">
        <v>0</v>
      </c>
      <c r="AK807" t="n">
        <v>0</v>
      </c>
      <c r="AL807" t="n">
        <v>0</v>
      </c>
      <c r="AM807" t="n">
        <v>0</v>
      </c>
      <c r="AN807" t="n">
        <v>0</v>
      </c>
      <c r="AO807" t="n">
        <v>0</v>
      </c>
      <c r="AP807" t="inlineStr">
        <is>
          <t>No</t>
        </is>
      </c>
      <c r="AQ807" t="inlineStr">
        <is>
          <t>No</t>
        </is>
      </c>
      <c r="AS807">
        <f>HYPERLINK("https://creighton-primo.hosted.exlibrisgroup.com/primo-explore/search?tab=default_tab&amp;search_scope=EVERYTHING&amp;vid=01CRU&amp;lang=en_US&amp;offset=0&amp;query=any,contains,991005408019702656","Catalog Record")</f>
        <v/>
      </c>
      <c r="AT807">
        <f>HYPERLINK("http://www.worldcat.org/oclc/16182401","WorldCat Record")</f>
        <v/>
      </c>
      <c r="AU807" t="inlineStr">
        <is>
          <t>5336940616:eng</t>
        </is>
      </c>
      <c r="AV807" t="inlineStr">
        <is>
          <t>16182401</t>
        </is>
      </c>
      <c r="AW807" t="inlineStr">
        <is>
          <t>991005408019702656</t>
        </is>
      </c>
      <c r="AX807" t="inlineStr">
        <is>
          <t>991005408019702656</t>
        </is>
      </c>
      <c r="AY807" t="inlineStr">
        <is>
          <t>2269664720002656</t>
        </is>
      </c>
      <c r="AZ807" t="inlineStr">
        <is>
          <t>BOOK</t>
        </is>
      </c>
      <c r="BB807" t="inlineStr">
        <is>
          <t>9780774403092</t>
        </is>
      </c>
      <c r="BC807" t="inlineStr">
        <is>
          <t>32285000223189</t>
        </is>
      </c>
      <c r="BD807" t="inlineStr">
        <is>
          <t>893332916</t>
        </is>
      </c>
    </row>
    <row r="808">
      <c r="A808" t="inlineStr">
        <is>
          <t>No</t>
        </is>
      </c>
      <c r="B808" t="inlineStr">
        <is>
          <t>LB1576 .O36 1997</t>
        </is>
      </c>
      <c r="C808" t="inlineStr">
        <is>
          <t>0                      LB 1576000O  36          1997</t>
        </is>
      </c>
      <c r="D808" t="inlineStr">
        <is>
          <t>Parents, learning, and whole language classrooms / Gerald R. Oglan.</t>
        </is>
      </c>
      <c r="F808" t="inlineStr">
        <is>
          <t>No</t>
        </is>
      </c>
      <c r="G808" t="inlineStr">
        <is>
          <t>1</t>
        </is>
      </c>
      <c r="H808" t="inlineStr">
        <is>
          <t>No</t>
        </is>
      </c>
      <c r="I808" t="inlineStr">
        <is>
          <t>No</t>
        </is>
      </c>
      <c r="J808" t="inlineStr">
        <is>
          <t>0</t>
        </is>
      </c>
      <c r="K808" t="inlineStr">
        <is>
          <t>Oglan, Gerald R., 1949-</t>
        </is>
      </c>
      <c r="L808" t="inlineStr">
        <is>
          <t>Urbana, Ill. : National Council of Teachers of English, c1997.</t>
        </is>
      </c>
      <c r="M808" t="inlineStr">
        <is>
          <t>1997</t>
        </is>
      </c>
      <c r="O808" t="inlineStr">
        <is>
          <t>eng</t>
        </is>
      </c>
      <c r="P808" t="inlineStr">
        <is>
          <t>ilu</t>
        </is>
      </c>
      <c r="R808" t="inlineStr">
        <is>
          <t xml:space="preserve">LB </t>
        </is>
      </c>
      <c r="S808" t="n">
        <v>1</v>
      </c>
      <c r="T808" t="n">
        <v>1</v>
      </c>
      <c r="U808" t="inlineStr">
        <is>
          <t>2006-11-07</t>
        </is>
      </c>
      <c r="V808" t="inlineStr">
        <is>
          <t>2006-11-07</t>
        </is>
      </c>
      <c r="W808" t="inlineStr">
        <is>
          <t>2006-11-07</t>
        </is>
      </c>
      <c r="X808" t="inlineStr">
        <is>
          <t>2006-11-07</t>
        </is>
      </c>
      <c r="Y808" t="n">
        <v>120</v>
      </c>
      <c r="Z808" t="n">
        <v>113</v>
      </c>
      <c r="AA808" t="n">
        <v>116</v>
      </c>
      <c r="AB808" t="n">
        <v>1</v>
      </c>
      <c r="AC808" t="n">
        <v>1</v>
      </c>
      <c r="AD808" t="n">
        <v>3</v>
      </c>
      <c r="AE808" t="n">
        <v>3</v>
      </c>
      <c r="AF808" t="n">
        <v>1</v>
      </c>
      <c r="AG808" t="n">
        <v>1</v>
      </c>
      <c r="AH808" t="n">
        <v>0</v>
      </c>
      <c r="AI808" t="n">
        <v>0</v>
      </c>
      <c r="AJ808" t="n">
        <v>2</v>
      </c>
      <c r="AK808" t="n">
        <v>2</v>
      </c>
      <c r="AL808" t="n">
        <v>0</v>
      </c>
      <c r="AM808" t="n">
        <v>0</v>
      </c>
      <c r="AN808" t="n">
        <v>0</v>
      </c>
      <c r="AO808" t="n">
        <v>0</v>
      </c>
      <c r="AP808" t="inlineStr">
        <is>
          <t>No</t>
        </is>
      </c>
      <c r="AQ808" t="inlineStr">
        <is>
          <t>Yes</t>
        </is>
      </c>
      <c r="AR808">
        <f>HYPERLINK("http://catalog.hathitrust.org/Record/008326942","HathiTrust Record")</f>
        <v/>
      </c>
      <c r="AS808">
        <f>HYPERLINK("https://creighton-primo.hosted.exlibrisgroup.com/primo-explore/search?tab=default_tab&amp;search_scope=EVERYTHING&amp;vid=01CRU&amp;lang=en_US&amp;offset=0&amp;query=any,contains,991004971839702656","Catalog Record")</f>
        <v/>
      </c>
      <c r="AT808">
        <f>HYPERLINK("http://www.worldcat.org/oclc/37322462","WorldCat Record")</f>
        <v/>
      </c>
      <c r="AU808" t="inlineStr">
        <is>
          <t>620720:eng</t>
        </is>
      </c>
      <c r="AV808" t="inlineStr">
        <is>
          <t>37322462</t>
        </is>
      </c>
      <c r="AW808" t="inlineStr">
        <is>
          <t>991004971839702656</t>
        </is>
      </c>
      <c r="AX808" t="inlineStr">
        <is>
          <t>991004971839702656</t>
        </is>
      </c>
      <c r="AY808" t="inlineStr">
        <is>
          <t>2269321830002656</t>
        </is>
      </c>
      <c r="AZ808" t="inlineStr">
        <is>
          <t>BOOK</t>
        </is>
      </c>
      <c r="BB808" t="inlineStr">
        <is>
          <t>9780814134955</t>
        </is>
      </c>
      <c r="BC808" t="inlineStr">
        <is>
          <t>32285005236988</t>
        </is>
      </c>
      <c r="BD808" t="inlineStr">
        <is>
          <t>893418214</t>
        </is>
      </c>
    </row>
    <row r="809">
      <c r="A809" t="inlineStr">
        <is>
          <t>No</t>
        </is>
      </c>
      <c r="B809" t="inlineStr">
        <is>
          <t>LB1576 .P576 1985</t>
        </is>
      </c>
      <c r="C809" t="inlineStr">
        <is>
          <t>0                      LB 1576000P  576         1985</t>
        </is>
      </c>
      <c r="D809" t="inlineStr">
        <is>
          <t>Creative writing : a handbook for teaching young people / Kathleen C. Phillips and Barbara Steiner ; illustrated by Robert B. Phillips.</t>
        </is>
      </c>
      <c r="F809" t="inlineStr">
        <is>
          <t>No</t>
        </is>
      </c>
      <c r="G809" t="inlineStr">
        <is>
          <t>1</t>
        </is>
      </c>
      <c r="H809" t="inlineStr">
        <is>
          <t>No</t>
        </is>
      </c>
      <c r="I809" t="inlineStr">
        <is>
          <t>No</t>
        </is>
      </c>
      <c r="J809" t="inlineStr">
        <is>
          <t>0</t>
        </is>
      </c>
      <c r="K809" t="inlineStr">
        <is>
          <t>Phillips, Kathleen C.</t>
        </is>
      </c>
      <c r="L809" t="inlineStr">
        <is>
          <t>Littleton, Colo. : Libraries Unlimited, 1985.</t>
        </is>
      </c>
      <c r="M809" t="inlineStr">
        <is>
          <t>1985</t>
        </is>
      </c>
      <c r="O809" t="inlineStr">
        <is>
          <t>eng</t>
        </is>
      </c>
      <c r="P809" t="inlineStr">
        <is>
          <t>cou</t>
        </is>
      </c>
      <c r="R809" t="inlineStr">
        <is>
          <t xml:space="preserve">LB </t>
        </is>
      </c>
      <c r="S809" t="n">
        <v>4</v>
      </c>
      <c r="T809" t="n">
        <v>4</v>
      </c>
      <c r="U809" t="inlineStr">
        <is>
          <t>1995-11-21</t>
        </is>
      </c>
      <c r="V809" t="inlineStr">
        <is>
          <t>1995-11-21</t>
        </is>
      </c>
      <c r="W809" t="inlineStr">
        <is>
          <t>1990-07-10</t>
        </is>
      </c>
      <c r="X809" t="inlineStr">
        <is>
          <t>1990-07-10</t>
        </is>
      </c>
      <c r="Y809" t="n">
        <v>252</v>
      </c>
      <c r="Z809" t="n">
        <v>225</v>
      </c>
      <c r="AA809" t="n">
        <v>225</v>
      </c>
      <c r="AB809" t="n">
        <v>5</v>
      </c>
      <c r="AC809" t="n">
        <v>5</v>
      </c>
      <c r="AD809" t="n">
        <v>6</v>
      </c>
      <c r="AE809" t="n">
        <v>6</v>
      </c>
      <c r="AF809" t="n">
        <v>3</v>
      </c>
      <c r="AG809" t="n">
        <v>3</v>
      </c>
      <c r="AH809" t="n">
        <v>0</v>
      </c>
      <c r="AI809" t="n">
        <v>0</v>
      </c>
      <c r="AJ809" t="n">
        <v>2</v>
      </c>
      <c r="AK809" t="n">
        <v>2</v>
      </c>
      <c r="AL809" t="n">
        <v>3</v>
      </c>
      <c r="AM809" t="n">
        <v>3</v>
      </c>
      <c r="AN809" t="n">
        <v>0</v>
      </c>
      <c r="AO809" t="n">
        <v>0</v>
      </c>
      <c r="AP809" t="inlineStr">
        <is>
          <t>No</t>
        </is>
      </c>
      <c r="AQ809" t="inlineStr">
        <is>
          <t>No</t>
        </is>
      </c>
      <c r="AS809">
        <f>HYPERLINK("https://creighton-primo.hosted.exlibrisgroup.com/primo-explore/search?tab=default_tab&amp;search_scope=EVERYTHING&amp;vid=01CRU&amp;lang=en_US&amp;offset=0&amp;query=any,contains,991000557849702656","Catalog Record")</f>
        <v/>
      </c>
      <c r="AT809">
        <f>HYPERLINK("http://www.worldcat.org/oclc/11573419","WorldCat Record")</f>
        <v/>
      </c>
      <c r="AU809" t="inlineStr">
        <is>
          <t>4463786:eng</t>
        </is>
      </c>
      <c r="AV809" t="inlineStr">
        <is>
          <t>11573419</t>
        </is>
      </c>
      <c r="AW809" t="inlineStr">
        <is>
          <t>991000557849702656</t>
        </is>
      </c>
      <c r="AX809" t="inlineStr">
        <is>
          <t>991000557849702656</t>
        </is>
      </c>
      <c r="AY809" t="inlineStr">
        <is>
          <t>2263014760002656</t>
        </is>
      </c>
      <c r="AZ809" t="inlineStr">
        <is>
          <t>BOOK</t>
        </is>
      </c>
      <c r="BB809" t="inlineStr">
        <is>
          <t>9780872874886</t>
        </is>
      </c>
      <c r="BC809" t="inlineStr">
        <is>
          <t>32285000223205</t>
        </is>
      </c>
      <c r="BD809" t="inlineStr">
        <is>
          <t>893333579</t>
        </is>
      </c>
    </row>
    <row r="810">
      <c r="A810" t="inlineStr">
        <is>
          <t>No</t>
        </is>
      </c>
      <c r="B810" t="inlineStr">
        <is>
          <t>LB1576 .P66 1992</t>
        </is>
      </c>
      <c r="C810" t="inlineStr">
        <is>
          <t>0                      LB 1576000P  66          1992</t>
        </is>
      </c>
      <c r="D810" t="inlineStr">
        <is>
          <t>Portfolios in the writing classroom : an introduction / edited by Kathleen Blake Yancey.</t>
        </is>
      </c>
      <c r="F810" t="inlineStr">
        <is>
          <t>No</t>
        </is>
      </c>
      <c r="G810" t="inlineStr">
        <is>
          <t>1</t>
        </is>
      </c>
      <c r="H810" t="inlineStr">
        <is>
          <t>No</t>
        </is>
      </c>
      <c r="I810" t="inlineStr">
        <is>
          <t>No</t>
        </is>
      </c>
      <c r="J810" t="inlineStr">
        <is>
          <t>0</t>
        </is>
      </c>
      <c r="L810" t="inlineStr">
        <is>
          <t>Urbana, Ill. : National Council of Teachers of English, c1992.</t>
        </is>
      </c>
      <c r="M810" t="inlineStr">
        <is>
          <t>1992</t>
        </is>
      </c>
      <c r="O810" t="inlineStr">
        <is>
          <t>eng</t>
        </is>
      </c>
      <c r="P810" t="inlineStr">
        <is>
          <t>ilu</t>
        </is>
      </c>
      <c r="R810" t="inlineStr">
        <is>
          <t xml:space="preserve">LB </t>
        </is>
      </c>
      <c r="S810" t="n">
        <v>8</v>
      </c>
      <c r="T810" t="n">
        <v>8</v>
      </c>
      <c r="U810" t="inlineStr">
        <is>
          <t>2005-03-10</t>
        </is>
      </c>
      <c r="V810" t="inlineStr">
        <is>
          <t>2005-03-10</t>
        </is>
      </c>
      <c r="W810" t="inlineStr">
        <is>
          <t>1996-05-16</t>
        </is>
      </c>
      <c r="X810" t="inlineStr">
        <is>
          <t>1996-05-16</t>
        </is>
      </c>
      <c r="Y810" t="n">
        <v>678</v>
      </c>
      <c r="Z810" t="n">
        <v>621</v>
      </c>
      <c r="AA810" t="n">
        <v>626</v>
      </c>
      <c r="AB810" t="n">
        <v>4</v>
      </c>
      <c r="AC810" t="n">
        <v>4</v>
      </c>
      <c r="AD810" t="n">
        <v>27</v>
      </c>
      <c r="AE810" t="n">
        <v>27</v>
      </c>
      <c r="AF810" t="n">
        <v>13</v>
      </c>
      <c r="AG810" t="n">
        <v>13</v>
      </c>
      <c r="AH810" t="n">
        <v>6</v>
      </c>
      <c r="AI810" t="n">
        <v>6</v>
      </c>
      <c r="AJ810" t="n">
        <v>11</v>
      </c>
      <c r="AK810" t="n">
        <v>11</v>
      </c>
      <c r="AL810" t="n">
        <v>4</v>
      </c>
      <c r="AM810" t="n">
        <v>4</v>
      </c>
      <c r="AN810" t="n">
        <v>0</v>
      </c>
      <c r="AO810" t="n">
        <v>0</v>
      </c>
      <c r="AP810" t="inlineStr">
        <is>
          <t>No</t>
        </is>
      </c>
      <c r="AQ810" t="inlineStr">
        <is>
          <t>Yes</t>
        </is>
      </c>
      <c r="AR810">
        <f>HYPERLINK("http://catalog.hathitrust.org/Record/005039281","HathiTrust Record")</f>
        <v/>
      </c>
      <c r="AS810">
        <f>HYPERLINK("https://creighton-primo.hosted.exlibrisgroup.com/primo-explore/search?tab=default_tab&amp;search_scope=EVERYTHING&amp;vid=01CRU&amp;lang=en_US&amp;offset=0&amp;query=any,contains,991001956599702656","Catalog Record")</f>
        <v/>
      </c>
      <c r="AT810">
        <f>HYPERLINK("http://www.worldcat.org/oclc/24792117","WorldCat Record")</f>
        <v/>
      </c>
      <c r="AU810" t="inlineStr">
        <is>
          <t>909350526:eng</t>
        </is>
      </c>
      <c r="AV810" t="inlineStr">
        <is>
          <t>24792117</t>
        </is>
      </c>
      <c r="AW810" t="inlineStr">
        <is>
          <t>991001956599702656</t>
        </is>
      </c>
      <c r="AX810" t="inlineStr">
        <is>
          <t>991001956599702656</t>
        </is>
      </c>
      <c r="AY810" t="inlineStr">
        <is>
          <t>2261571140002656</t>
        </is>
      </c>
      <c r="AZ810" t="inlineStr">
        <is>
          <t>BOOK</t>
        </is>
      </c>
      <c r="BB810" t="inlineStr">
        <is>
          <t>9780814136454</t>
        </is>
      </c>
      <c r="BC810" t="inlineStr">
        <is>
          <t>32285002169307</t>
        </is>
      </c>
      <c r="BD810" t="inlineStr">
        <is>
          <t>893226267</t>
        </is>
      </c>
    </row>
    <row r="811">
      <c r="A811" t="inlineStr">
        <is>
          <t>No</t>
        </is>
      </c>
      <c r="B811" t="inlineStr">
        <is>
          <t>LB1576 .P67 1990</t>
        </is>
      </c>
      <c r="C811" t="inlineStr">
        <is>
          <t>0                      LB 1576000P  67          1990</t>
        </is>
      </c>
      <c r="D811" t="inlineStr">
        <is>
          <t>Portraits of whole language classrooms : learning for all ages / edited by Heidi Mills, Jean Anne Clyde.</t>
        </is>
      </c>
      <c r="F811" t="inlineStr">
        <is>
          <t>No</t>
        </is>
      </c>
      <c r="G811" t="inlineStr">
        <is>
          <t>1</t>
        </is>
      </c>
      <c r="H811" t="inlineStr">
        <is>
          <t>No</t>
        </is>
      </c>
      <c r="I811" t="inlineStr">
        <is>
          <t>No</t>
        </is>
      </c>
      <c r="J811" t="inlineStr">
        <is>
          <t>0</t>
        </is>
      </c>
      <c r="L811" t="inlineStr">
        <is>
          <t>Portsmouth, N.H. : Heinemann, c1990.</t>
        </is>
      </c>
      <c r="M811" t="inlineStr">
        <is>
          <t>1990</t>
        </is>
      </c>
      <c r="O811" t="inlineStr">
        <is>
          <t>eng</t>
        </is>
      </c>
      <c r="P811" t="inlineStr">
        <is>
          <t>nhu</t>
        </is>
      </c>
      <c r="R811" t="inlineStr">
        <is>
          <t xml:space="preserve">LB </t>
        </is>
      </c>
      <c r="S811" t="n">
        <v>6</v>
      </c>
      <c r="T811" t="n">
        <v>6</v>
      </c>
      <c r="U811" t="inlineStr">
        <is>
          <t>1994-07-06</t>
        </is>
      </c>
      <c r="V811" t="inlineStr">
        <is>
          <t>1994-07-06</t>
        </is>
      </c>
      <c r="W811" t="inlineStr">
        <is>
          <t>1990-11-05</t>
        </is>
      </c>
      <c r="X811" t="inlineStr">
        <is>
          <t>1990-11-05</t>
        </is>
      </c>
      <c r="Y811" t="n">
        <v>431</v>
      </c>
      <c r="Z811" t="n">
        <v>389</v>
      </c>
      <c r="AA811" t="n">
        <v>396</v>
      </c>
      <c r="AB811" t="n">
        <v>4</v>
      </c>
      <c r="AC811" t="n">
        <v>4</v>
      </c>
      <c r="AD811" t="n">
        <v>22</v>
      </c>
      <c r="AE811" t="n">
        <v>22</v>
      </c>
      <c r="AF811" t="n">
        <v>11</v>
      </c>
      <c r="AG811" t="n">
        <v>11</v>
      </c>
      <c r="AH811" t="n">
        <v>5</v>
      </c>
      <c r="AI811" t="n">
        <v>5</v>
      </c>
      <c r="AJ811" t="n">
        <v>12</v>
      </c>
      <c r="AK811" t="n">
        <v>12</v>
      </c>
      <c r="AL811" t="n">
        <v>3</v>
      </c>
      <c r="AM811" t="n">
        <v>3</v>
      </c>
      <c r="AN811" t="n">
        <v>0</v>
      </c>
      <c r="AO811" t="n">
        <v>0</v>
      </c>
      <c r="AP811" t="inlineStr">
        <is>
          <t>No</t>
        </is>
      </c>
      <c r="AQ811" t="inlineStr">
        <is>
          <t>Yes</t>
        </is>
      </c>
      <c r="AR811">
        <f>HYPERLINK("http://catalog.hathitrust.org/Record/002372087","HathiTrust Record")</f>
        <v/>
      </c>
      <c r="AS811">
        <f>HYPERLINK("https://creighton-primo.hosted.exlibrisgroup.com/primo-explore/search?tab=default_tab&amp;search_scope=EVERYTHING&amp;vid=01CRU&amp;lang=en_US&amp;offset=0&amp;query=any,contains,991001563239702656","Catalog Record")</f>
        <v/>
      </c>
      <c r="AT811">
        <f>HYPERLINK("http://www.worldcat.org/oclc/20318965","WorldCat Record")</f>
        <v/>
      </c>
      <c r="AU811" t="inlineStr">
        <is>
          <t>919279057:eng</t>
        </is>
      </c>
      <c r="AV811" t="inlineStr">
        <is>
          <t>20318965</t>
        </is>
      </c>
      <c r="AW811" t="inlineStr">
        <is>
          <t>991001563239702656</t>
        </is>
      </c>
      <c r="AX811" t="inlineStr">
        <is>
          <t>991001563239702656</t>
        </is>
      </c>
      <c r="AY811" t="inlineStr">
        <is>
          <t>2257978650002656</t>
        </is>
      </c>
      <c r="AZ811" t="inlineStr">
        <is>
          <t>BOOK</t>
        </is>
      </c>
      <c r="BB811" t="inlineStr">
        <is>
          <t>9780435085100</t>
        </is>
      </c>
      <c r="BC811" t="inlineStr">
        <is>
          <t>32285000313287</t>
        </is>
      </c>
      <c r="BD811" t="inlineStr">
        <is>
          <t>893608947</t>
        </is>
      </c>
    </row>
    <row r="812">
      <c r="A812" t="inlineStr">
        <is>
          <t>No</t>
        </is>
      </c>
      <c r="B812" t="inlineStr">
        <is>
          <t>LB1576 .S313 1993</t>
        </is>
      </c>
      <c r="C812" t="inlineStr">
        <is>
          <t>0                      LB 1576000S  313         1993</t>
        </is>
      </c>
      <c r="D812" t="inlineStr">
        <is>
          <t>Integrated language arts for emerging literacy / Walter E. Sawyer, Jean C. Sawyer.</t>
        </is>
      </c>
      <c r="F812" t="inlineStr">
        <is>
          <t>No</t>
        </is>
      </c>
      <c r="G812" t="inlineStr">
        <is>
          <t>1</t>
        </is>
      </c>
      <c r="H812" t="inlineStr">
        <is>
          <t>No</t>
        </is>
      </c>
      <c r="I812" t="inlineStr">
        <is>
          <t>No</t>
        </is>
      </c>
      <c r="J812" t="inlineStr">
        <is>
          <t>0</t>
        </is>
      </c>
      <c r="K812" t="inlineStr">
        <is>
          <t>Sawyer, Walter.</t>
        </is>
      </c>
      <c r="L812" t="inlineStr">
        <is>
          <t>Albany, N.Y. : Delmar Publishers, c1993.</t>
        </is>
      </c>
      <c r="M812" t="inlineStr">
        <is>
          <t>1993</t>
        </is>
      </c>
      <c r="O812" t="inlineStr">
        <is>
          <t>eng</t>
        </is>
      </c>
      <c r="P812" t="inlineStr">
        <is>
          <t>nyu</t>
        </is>
      </c>
      <c r="R812" t="inlineStr">
        <is>
          <t xml:space="preserve">LB </t>
        </is>
      </c>
      <c r="S812" t="n">
        <v>5</v>
      </c>
      <c r="T812" t="n">
        <v>5</v>
      </c>
      <c r="U812" t="inlineStr">
        <is>
          <t>2001-03-31</t>
        </is>
      </c>
      <c r="V812" t="inlineStr">
        <is>
          <t>2001-03-31</t>
        </is>
      </c>
      <c r="W812" t="inlineStr">
        <is>
          <t>1994-04-05</t>
        </is>
      </c>
      <c r="X812" t="inlineStr">
        <is>
          <t>1994-04-05</t>
        </is>
      </c>
      <c r="Y812" t="n">
        <v>185</v>
      </c>
      <c r="Z812" t="n">
        <v>155</v>
      </c>
      <c r="AA812" t="n">
        <v>160</v>
      </c>
      <c r="AB812" t="n">
        <v>2</v>
      </c>
      <c r="AC812" t="n">
        <v>2</v>
      </c>
      <c r="AD812" t="n">
        <v>7</v>
      </c>
      <c r="AE812" t="n">
        <v>7</v>
      </c>
      <c r="AF812" t="n">
        <v>4</v>
      </c>
      <c r="AG812" t="n">
        <v>4</v>
      </c>
      <c r="AH812" t="n">
        <v>2</v>
      </c>
      <c r="AI812" t="n">
        <v>2</v>
      </c>
      <c r="AJ812" t="n">
        <v>2</v>
      </c>
      <c r="AK812" t="n">
        <v>2</v>
      </c>
      <c r="AL812" t="n">
        <v>1</v>
      </c>
      <c r="AM812" t="n">
        <v>1</v>
      </c>
      <c r="AN812" t="n">
        <v>0</v>
      </c>
      <c r="AO812" t="n">
        <v>0</v>
      </c>
      <c r="AP812" t="inlineStr">
        <is>
          <t>No</t>
        </is>
      </c>
      <c r="AQ812" t="inlineStr">
        <is>
          <t>No</t>
        </is>
      </c>
      <c r="AS812">
        <f>HYPERLINK("https://creighton-primo.hosted.exlibrisgroup.com/primo-explore/search?tab=default_tab&amp;search_scope=EVERYTHING&amp;vid=01CRU&amp;lang=en_US&amp;offset=0&amp;query=any,contains,991002090419702656","Catalog Record")</f>
        <v/>
      </c>
      <c r="AT812">
        <f>HYPERLINK("http://www.worldcat.org/oclc/26810120","WorldCat Record")</f>
        <v/>
      </c>
      <c r="AU812" t="inlineStr">
        <is>
          <t>29313656:eng</t>
        </is>
      </c>
      <c r="AV812" t="inlineStr">
        <is>
          <t>26810120</t>
        </is>
      </c>
      <c r="AW812" t="inlineStr">
        <is>
          <t>991002090419702656</t>
        </is>
      </c>
      <c r="AX812" t="inlineStr">
        <is>
          <t>991002090419702656</t>
        </is>
      </c>
      <c r="AY812" t="inlineStr">
        <is>
          <t>2266711700002656</t>
        </is>
      </c>
      <c r="AZ812" t="inlineStr">
        <is>
          <t>BOOK</t>
        </is>
      </c>
      <c r="BB812" t="inlineStr">
        <is>
          <t>9780827346093</t>
        </is>
      </c>
      <c r="BC812" t="inlineStr">
        <is>
          <t>32285001859452</t>
        </is>
      </c>
      <c r="BD812" t="inlineStr">
        <is>
          <t>893773204</t>
        </is>
      </c>
    </row>
    <row r="813">
      <c r="A813" t="inlineStr">
        <is>
          <t>No</t>
        </is>
      </c>
      <c r="B813" t="inlineStr">
        <is>
          <t>LB1576 .S42 1996</t>
        </is>
      </c>
      <c r="C813" t="inlineStr">
        <is>
          <t>0                      LB 1576000S  42          1996</t>
        </is>
      </c>
      <c r="D813" t="inlineStr">
        <is>
          <t>Standards in practice, grades 3-5 / Martha Sierra-Perry with Jan Ewing ... [et al.].</t>
        </is>
      </c>
      <c r="F813" t="inlineStr">
        <is>
          <t>No</t>
        </is>
      </c>
      <c r="G813" t="inlineStr">
        <is>
          <t>1</t>
        </is>
      </c>
      <c r="H813" t="inlineStr">
        <is>
          <t>No</t>
        </is>
      </c>
      <c r="I813" t="inlineStr">
        <is>
          <t>No</t>
        </is>
      </c>
      <c r="J813" t="inlineStr">
        <is>
          <t>0</t>
        </is>
      </c>
      <c r="K813" t="inlineStr">
        <is>
          <t>Sierra-Perry, Martha, 1949-</t>
        </is>
      </c>
      <c r="L813" t="inlineStr">
        <is>
          <t>Urbana, Ill. : National Council of Teachers of English, c1996.</t>
        </is>
      </c>
      <c r="M813" t="inlineStr">
        <is>
          <t>1996</t>
        </is>
      </c>
      <c r="O813" t="inlineStr">
        <is>
          <t>eng</t>
        </is>
      </c>
      <c r="P813" t="inlineStr">
        <is>
          <t>ilu</t>
        </is>
      </c>
      <c r="Q813" t="inlineStr">
        <is>
          <t>Standards in practice series</t>
        </is>
      </c>
      <c r="R813" t="inlineStr">
        <is>
          <t xml:space="preserve">LB </t>
        </is>
      </c>
      <c r="S813" t="n">
        <v>4</v>
      </c>
      <c r="T813" t="n">
        <v>4</v>
      </c>
      <c r="U813" t="inlineStr">
        <is>
          <t>2004-03-04</t>
        </is>
      </c>
      <c r="V813" t="inlineStr">
        <is>
          <t>2004-03-04</t>
        </is>
      </c>
      <c r="W813" t="inlineStr">
        <is>
          <t>1997-10-16</t>
        </is>
      </c>
      <c r="X813" t="inlineStr">
        <is>
          <t>1997-10-16</t>
        </is>
      </c>
      <c r="Y813" t="n">
        <v>255</v>
      </c>
      <c r="Z813" t="n">
        <v>243</v>
      </c>
      <c r="AA813" t="n">
        <v>254</v>
      </c>
      <c r="AB813" t="n">
        <v>3</v>
      </c>
      <c r="AC813" t="n">
        <v>3</v>
      </c>
      <c r="AD813" t="n">
        <v>10</v>
      </c>
      <c r="AE813" t="n">
        <v>10</v>
      </c>
      <c r="AF813" t="n">
        <v>4</v>
      </c>
      <c r="AG813" t="n">
        <v>4</v>
      </c>
      <c r="AH813" t="n">
        <v>1</v>
      </c>
      <c r="AI813" t="n">
        <v>1</v>
      </c>
      <c r="AJ813" t="n">
        <v>5</v>
      </c>
      <c r="AK813" t="n">
        <v>5</v>
      </c>
      <c r="AL813" t="n">
        <v>2</v>
      </c>
      <c r="AM813" t="n">
        <v>2</v>
      </c>
      <c r="AN813" t="n">
        <v>0</v>
      </c>
      <c r="AO813" t="n">
        <v>0</v>
      </c>
      <c r="AP813" t="inlineStr">
        <is>
          <t>No</t>
        </is>
      </c>
      <c r="AQ813" t="inlineStr">
        <is>
          <t>Yes</t>
        </is>
      </c>
      <c r="AR813">
        <f>HYPERLINK("http://catalog.hathitrust.org/Record/004537550","HathiTrust Record")</f>
        <v/>
      </c>
      <c r="AS813">
        <f>HYPERLINK("https://creighton-primo.hosted.exlibrisgroup.com/primo-explore/search?tab=default_tab&amp;search_scope=EVERYTHING&amp;vid=01CRU&amp;lang=en_US&amp;offset=0&amp;query=any,contains,991002584219702656","Catalog Record")</f>
        <v/>
      </c>
      <c r="AT813">
        <f>HYPERLINK("http://www.worldcat.org/oclc/33864848","WorldCat Record")</f>
        <v/>
      </c>
      <c r="AU813" t="inlineStr">
        <is>
          <t>38889044:eng</t>
        </is>
      </c>
      <c r="AV813" t="inlineStr">
        <is>
          <t>33864848</t>
        </is>
      </c>
      <c r="AW813" t="inlineStr">
        <is>
          <t>991002584219702656</t>
        </is>
      </c>
      <c r="AX813" t="inlineStr">
        <is>
          <t>991002584219702656</t>
        </is>
      </c>
      <c r="AY813" t="inlineStr">
        <is>
          <t>2265732040002656</t>
        </is>
      </c>
      <c r="AZ813" t="inlineStr">
        <is>
          <t>BOOK</t>
        </is>
      </c>
      <c r="BB813" t="inlineStr">
        <is>
          <t>9780814146934</t>
        </is>
      </c>
      <c r="BC813" t="inlineStr">
        <is>
          <t>32285003255477</t>
        </is>
      </c>
      <c r="BD813" t="inlineStr">
        <is>
          <t>893409272</t>
        </is>
      </c>
    </row>
    <row r="814">
      <c r="A814" t="inlineStr">
        <is>
          <t>No</t>
        </is>
      </c>
      <c r="B814" t="inlineStr">
        <is>
          <t>LB1576 .S575 2000</t>
        </is>
      </c>
      <c r="C814" t="inlineStr">
        <is>
          <t>0                      LB 1576000S  575         2000</t>
        </is>
      </c>
      <c r="D814" t="inlineStr">
        <is>
          <t>More than meets the eye : how relationships enhance literacy learning / Donna Skolnick ; [editor, William Varner].</t>
        </is>
      </c>
      <c r="F814" t="inlineStr">
        <is>
          <t>No</t>
        </is>
      </c>
      <c r="G814" t="inlineStr">
        <is>
          <t>1</t>
        </is>
      </c>
      <c r="H814" t="inlineStr">
        <is>
          <t>No</t>
        </is>
      </c>
      <c r="I814" t="inlineStr">
        <is>
          <t>No</t>
        </is>
      </c>
      <c r="J814" t="inlineStr">
        <is>
          <t>0</t>
        </is>
      </c>
      <c r="K814" t="inlineStr">
        <is>
          <t>Skolnick, Donna.</t>
        </is>
      </c>
      <c r="L814" t="inlineStr">
        <is>
          <t>Portsmouth, NH : Heinemann, c2000.</t>
        </is>
      </c>
      <c r="M814" t="inlineStr">
        <is>
          <t>2000</t>
        </is>
      </c>
      <c r="O814" t="inlineStr">
        <is>
          <t>eng</t>
        </is>
      </c>
      <c r="P814" t="inlineStr">
        <is>
          <t>nhu</t>
        </is>
      </c>
      <c r="R814" t="inlineStr">
        <is>
          <t xml:space="preserve">LB </t>
        </is>
      </c>
      <c r="S814" t="n">
        <v>2</v>
      </c>
      <c r="T814" t="n">
        <v>2</v>
      </c>
      <c r="U814" t="inlineStr">
        <is>
          <t>2001-05-16</t>
        </is>
      </c>
      <c r="V814" t="inlineStr">
        <is>
          <t>2001-05-16</t>
        </is>
      </c>
      <c r="W814" t="inlineStr">
        <is>
          <t>2001-04-19</t>
        </is>
      </c>
      <c r="X814" t="inlineStr">
        <is>
          <t>2001-04-19</t>
        </is>
      </c>
      <c r="Y814" t="n">
        <v>224</v>
      </c>
      <c r="Z814" t="n">
        <v>207</v>
      </c>
      <c r="AA814" t="n">
        <v>209</v>
      </c>
      <c r="AB814" t="n">
        <v>2</v>
      </c>
      <c r="AC814" t="n">
        <v>2</v>
      </c>
      <c r="AD814" t="n">
        <v>11</v>
      </c>
      <c r="AE814" t="n">
        <v>11</v>
      </c>
      <c r="AF814" t="n">
        <v>4</v>
      </c>
      <c r="AG814" t="n">
        <v>4</v>
      </c>
      <c r="AH814" t="n">
        <v>1</v>
      </c>
      <c r="AI814" t="n">
        <v>1</v>
      </c>
      <c r="AJ814" t="n">
        <v>9</v>
      </c>
      <c r="AK814" t="n">
        <v>9</v>
      </c>
      <c r="AL814" t="n">
        <v>1</v>
      </c>
      <c r="AM814" t="n">
        <v>1</v>
      </c>
      <c r="AN814" t="n">
        <v>0</v>
      </c>
      <c r="AO814" t="n">
        <v>0</v>
      </c>
      <c r="AP814" t="inlineStr">
        <is>
          <t>No</t>
        </is>
      </c>
      <c r="AQ814" t="inlineStr">
        <is>
          <t>Yes</t>
        </is>
      </c>
      <c r="AR814">
        <f>HYPERLINK("http://catalog.hathitrust.org/Record/004158244","HathiTrust Record")</f>
        <v/>
      </c>
      <c r="AS814">
        <f>HYPERLINK("https://creighton-primo.hosted.exlibrisgroup.com/primo-explore/search?tab=default_tab&amp;search_scope=EVERYTHING&amp;vid=01CRU&amp;lang=en_US&amp;offset=0&amp;query=any,contains,991003488529702656","Catalog Record")</f>
        <v/>
      </c>
      <c r="AT814">
        <f>HYPERLINK("http://www.worldcat.org/oclc/43936990","WorldCat Record")</f>
        <v/>
      </c>
      <c r="AU814" t="inlineStr">
        <is>
          <t>44599:eng</t>
        </is>
      </c>
      <c r="AV814" t="inlineStr">
        <is>
          <t>43936990</t>
        </is>
      </c>
      <c r="AW814" t="inlineStr">
        <is>
          <t>991003488529702656</t>
        </is>
      </c>
      <c r="AX814" t="inlineStr">
        <is>
          <t>991003488529702656</t>
        </is>
      </c>
      <c r="AY814" t="inlineStr">
        <is>
          <t>2257988890002656</t>
        </is>
      </c>
      <c r="AZ814" t="inlineStr">
        <is>
          <t>BOOK</t>
        </is>
      </c>
      <c r="BB814" t="inlineStr">
        <is>
          <t>9780325002491</t>
        </is>
      </c>
      <c r="BC814" t="inlineStr">
        <is>
          <t>32285004313606</t>
        </is>
      </c>
      <c r="BD814" t="inlineStr">
        <is>
          <t>893318028</t>
        </is>
      </c>
    </row>
    <row r="815">
      <c r="A815" t="inlineStr">
        <is>
          <t>No</t>
        </is>
      </c>
      <c r="B815" t="inlineStr">
        <is>
          <t>LB1576 .S725 1984</t>
        </is>
      </c>
      <c r="C815" t="inlineStr">
        <is>
          <t>0                      LB 1576000S  725         1984</t>
        </is>
      </c>
      <c r="D815" t="inlineStr">
        <is>
          <t>Speaking and writing, K-12 : classroom strategies and the new research / edited by Christopher J. Thaiss, Charles Suhor.</t>
        </is>
      </c>
      <c r="F815" t="inlineStr">
        <is>
          <t>No</t>
        </is>
      </c>
      <c r="G815" t="inlineStr">
        <is>
          <t>1</t>
        </is>
      </c>
      <c r="H815" t="inlineStr">
        <is>
          <t>No</t>
        </is>
      </c>
      <c r="I815" t="inlineStr">
        <is>
          <t>No</t>
        </is>
      </c>
      <c r="J815" t="inlineStr">
        <is>
          <t>0</t>
        </is>
      </c>
      <c r="L815" t="inlineStr">
        <is>
          <t>Urbana, Ill. : National Council of Teachers of English, c1984.</t>
        </is>
      </c>
      <c r="M815" t="inlineStr">
        <is>
          <t>1984</t>
        </is>
      </c>
      <c r="O815" t="inlineStr">
        <is>
          <t>eng</t>
        </is>
      </c>
      <c r="P815" t="inlineStr">
        <is>
          <t>ilu</t>
        </is>
      </c>
      <c r="R815" t="inlineStr">
        <is>
          <t xml:space="preserve">LB </t>
        </is>
      </c>
      <c r="S815" t="n">
        <v>1</v>
      </c>
      <c r="T815" t="n">
        <v>1</v>
      </c>
      <c r="U815" t="inlineStr">
        <is>
          <t>2003-03-23</t>
        </is>
      </c>
      <c r="V815" t="inlineStr">
        <is>
          <t>2003-03-23</t>
        </is>
      </c>
      <c r="W815" t="inlineStr">
        <is>
          <t>1990-07-10</t>
        </is>
      </c>
      <c r="X815" t="inlineStr">
        <is>
          <t>1990-07-10</t>
        </is>
      </c>
      <c r="Y815" t="n">
        <v>384</v>
      </c>
      <c r="Z815" t="n">
        <v>337</v>
      </c>
      <c r="AA815" t="n">
        <v>339</v>
      </c>
      <c r="AB815" t="n">
        <v>3</v>
      </c>
      <c r="AC815" t="n">
        <v>3</v>
      </c>
      <c r="AD815" t="n">
        <v>10</v>
      </c>
      <c r="AE815" t="n">
        <v>11</v>
      </c>
      <c r="AF815" t="n">
        <v>5</v>
      </c>
      <c r="AG815" t="n">
        <v>6</v>
      </c>
      <c r="AH815" t="n">
        <v>2</v>
      </c>
      <c r="AI815" t="n">
        <v>2</v>
      </c>
      <c r="AJ815" t="n">
        <v>4</v>
      </c>
      <c r="AK815" t="n">
        <v>5</v>
      </c>
      <c r="AL815" t="n">
        <v>2</v>
      </c>
      <c r="AM815" t="n">
        <v>2</v>
      </c>
      <c r="AN815" t="n">
        <v>0</v>
      </c>
      <c r="AO815" t="n">
        <v>0</v>
      </c>
      <c r="AP815" t="inlineStr">
        <is>
          <t>No</t>
        </is>
      </c>
      <c r="AQ815" t="inlineStr">
        <is>
          <t>No</t>
        </is>
      </c>
      <c r="AS815">
        <f>HYPERLINK("https://creighton-primo.hosted.exlibrisgroup.com/primo-explore/search?tab=default_tab&amp;search_scope=EVERYTHING&amp;vid=01CRU&amp;lang=en_US&amp;offset=0&amp;query=any,contains,991000472889702656","Catalog Record")</f>
        <v/>
      </c>
      <c r="AT815">
        <f>HYPERLINK("http://www.worldcat.org/oclc/10998725","WorldCat Record")</f>
        <v/>
      </c>
      <c r="AU815" t="inlineStr">
        <is>
          <t>3619896:eng</t>
        </is>
      </c>
      <c r="AV815" t="inlineStr">
        <is>
          <t>10998725</t>
        </is>
      </c>
      <c r="AW815" t="inlineStr">
        <is>
          <t>991000472889702656</t>
        </is>
      </c>
      <c r="AX815" t="inlineStr">
        <is>
          <t>991000472889702656</t>
        </is>
      </c>
      <c r="AY815" t="inlineStr">
        <is>
          <t>2261340620002656</t>
        </is>
      </c>
      <c r="AZ815" t="inlineStr">
        <is>
          <t>BOOK</t>
        </is>
      </c>
      <c r="BB815" t="inlineStr">
        <is>
          <t>9780814146248</t>
        </is>
      </c>
      <c r="BC815" t="inlineStr">
        <is>
          <t>32285000223353</t>
        </is>
      </c>
      <c r="BD815" t="inlineStr">
        <is>
          <t>893521696</t>
        </is>
      </c>
    </row>
    <row r="816">
      <c r="A816" t="inlineStr">
        <is>
          <t>No</t>
        </is>
      </c>
      <c r="B816" t="inlineStr">
        <is>
          <t>LB1576 .S796 2002</t>
        </is>
      </c>
      <c r="C816" t="inlineStr">
        <is>
          <t>0                      LB 1576000S  796         2002</t>
        </is>
      </c>
      <c r="D816" t="inlineStr">
        <is>
          <t>Best practice? : insights on literacy instruction from an elementary classroom / Margaret Taylor Stewart.</t>
        </is>
      </c>
      <c r="F816" t="inlineStr">
        <is>
          <t>No</t>
        </is>
      </c>
      <c r="G816" t="inlineStr">
        <is>
          <t>1</t>
        </is>
      </c>
      <c r="H816" t="inlineStr">
        <is>
          <t>No</t>
        </is>
      </c>
      <c r="I816" t="inlineStr">
        <is>
          <t>No</t>
        </is>
      </c>
      <c r="J816" t="inlineStr">
        <is>
          <t>0</t>
        </is>
      </c>
      <c r="K816" t="inlineStr">
        <is>
          <t>Stewart, Margaret Taylor.</t>
        </is>
      </c>
      <c r="L816" t="inlineStr">
        <is>
          <t>Newark, Del. : International Reading Association ; Chicago : National Reading Conference, c2002.</t>
        </is>
      </c>
      <c r="M816" t="inlineStr">
        <is>
          <t>2002</t>
        </is>
      </c>
      <c r="O816" t="inlineStr">
        <is>
          <t>eng</t>
        </is>
      </c>
      <c r="P816" t="inlineStr">
        <is>
          <t>deu</t>
        </is>
      </c>
      <c r="Q816" t="inlineStr">
        <is>
          <t>Literacy studies series</t>
        </is>
      </c>
      <c r="R816" t="inlineStr">
        <is>
          <t xml:space="preserve">LB </t>
        </is>
      </c>
      <c r="S816" t="n">
        <v>2</v>
      </c>
      <c r="T816" t="n">
        <v>2</v>
      </c>
      <c r="U816" t="inlineStr">
        <is>
          <t>2004-10-10</t>
        </is>
      </c>
      <c r="V816" t="inlineStr">
        <is>
          <t>2004-10-10</t>
        </is>
      </c>
      <c r="W816" t="inlineStr">
        <is>
          <t>2002-12-12</t>
        </is>
      </c>
      <c r="X816" t="inlineStr">
        <is>
          <t>2002-12-12</t>
        </is>
      </c>
      <c r="Y816" t="n">
        <v>177</v>
      </c>
      <c r="Z816" t="n">
        <v>151</v>
      </c>
      <c r="AA816" t="n">
        <v>151</v>
      </c>
      <c r="AB816" t="n">
        <v>1</v>
      </c>
      <c r="AC816" t="n">
        <v>1</v>
      </c>
      <c r="AD816" t="n">
        <v>3</v>
      </c>
      <c r="AE816" t="n">
        <v>3</v>
      </c>
      <c r="AF816" t="n">
        <v>0</v>
      </c>
      <c r="AG816" t="n">
        <v>0</v>
      </c>
      <c r="AH816" t="n">
        <v>0</v>
      </c>
      <c r="AI816" t="n">
        <v>0</v>
      </c>
      <c r="AJ816" t="n">
        <v>3</v>
      </c>
      <c r="AK816" t="n">
        <v>3</v>
      </c>
      <c r="AL816" t="n">
        <v>0</v>
      </c>
      <c r="AM816" t="n">
        <v>0</v>
      </c>
      <c r="AN816" t="n">
        <v>0</v>
      </c>
      <c r="AO816" t="n">
        <v>0</v>
      </c>
      <c r="AP816" t="inlineStr">
        <is>
          <t>No</t>
        </is>
      </c>
      <c r="AQ816" t="inlineStr">
        <is>
          <t>No</t>
        </is>
      </c>
      <c r="AS816">
        <f>HYPERLINK("https://creighton-primo.hosted.exlibrisgroup.com/primo-explore/search?tab=default_tab&amp;search_scope=EVERYTHING&amp;vid=01CRU&amp;lang=en_US&amp;offset=0&amp;query=any,contains,991003898519702656","Catalog Record")</f>
        <v/>
      </c>
      <c r="AT816">
        <f>HYPERLINK("http://www.worldcat.org/oclc/49249688","WorldCat Record")</f>
        <v/>
      </c>
      <c r="AU816" t="inlineStr">
        <is>
          <t>1032144:eng</t>
        </is>
      </c>
      <c r="AV816" t="inlineStr">
        <is>
          <t>49249688</t>
        </is>
      </c>
      <c r="AW816" t="inlineStr">
        <is>
          <t>991003898519702656</t>
        </is>
      </c>
      <c r="AX816" t="inlineStr">
        <is>
          <t>991003898519702656</t>
        </is>
      </c>
      <c r="AY816" t="inlineStr">
        <is>
          <t>2261183710002656</t>
        </is>
      </c>
      <c r="AZ816" t="inlineStr">
        <is>
          <t>BOOK</t>
        </is>
      </c>
      <c r="BB816" t="inlineStr">
        <is>
          <t>9780872073449</t>
        </is>
      </c>
      <c r="BC816" t="inlineStr">
        <is>
          <t>32285004690979</t>
        </is>
      </c>
      <c r="BD816" t="inlineStr">
        <is>
          <t>893810252</t>
        </is>
      </c>
    </row>
    <row r="817">
      <c r="A817" t="inlineStr">
        <is>
          <t>No</t>
        </is>
      </c>
      <c r="B817" t="inlineStr">
        <is>
          <t>LB1576 .T3585 1991</t>
        </is>
      </c>
      <c r="C817" t="inlineStr">
        <is>
          <t>0                      LB 1576000T  3585        1991</t>
        </is>
      </c>
      <c r="D817" t="inlineStr">
        <is>
          <t>Planning and assessing the curriculum in English language arts / Stephen Tchudi.</t>
        </is>
      </c>
      <c r="F817" t="inlineStr">
        <is>
          <t>No</t>
        </is>
      </c>
      <c r="G817" t="inlineStr">
        <is>
          <t>1</t>
        </is>
      </c>
      <c r="H817" t="inlineStr">
        <is>
          <t>No</t>
        </is>
      </c>
      <c r="I817" t="inlineStr">
        <is>
          <t>No</t>
        </is>
      </c>
      <c r="J817" t="inlineStr">
        <is>
          <t>0</t>
        </is>
      </c>
      <c r="K817" t="inlineStr">
        <is>
          <t>Tchudi, Stephen, 1942-</t>
        </is>
      </c>
      <c r="L817" t="inlineStr">
        <is>
          <t>Alexandria, Va. : Association for Supervision and Curriculum Development, c1991.</t>
        </is>
      </c>
      <c r="M817" t="inlineStr">
        <is>
          <t>1991</t>
        </is>
      </c>
      <c r="O817" t="inlineStr">
        <is>
          <t>eng</t>
        </is>
      </c>
      <c r="P817" t="inlineStr">
        <is>
          <t>vau</t>
        </is>
      </c>
      <c r="R817" t="inlineStr">
        <is>
          <t xml:space="preserve">LB </t>
        </is>
      </c>
      <c r="S817" t="n">
        <v>1</v>
      </c>
      <c r="T817" t="n">
        <v>1</v>
      </c>
      <c r="U817" t="inlineStr">
        <is>
          <t>1992-02-02</t>
        </is>
      </c>
      <c r="V817" t="inlineStr">
        <is>
          <t>1992-02-02</t>
        </is>
      </c>
      <c r="W817" t="inlineStr">
        <is>
          <t>1992-01-22</t>
        </is>
      </c>
      <c r="X817" t="inlineStr">
        <is>
          <t>1992-01-22</t>
        </is>
      </c>
      <c r="Y817" t="n">
        <v>581</v>
      </c>
      <c r="Z817" t="n">
        <v>530</v>
      </c>
      <c r="AA817" t="n">
        <v>537</v>
      </c>
      <c r="AB817" t="n">
        <v>4</v>
      </c>
      <c r="AC817" t="n">
        <v>4</v>
      </c>
      <c r="AD817" t="n">
        <v>19</v>
      </c>
      <c r="AE817" t="n">
        <v>19</v>
      </c>
      <c r="AF817" t="n">
        <v>11</v>
      </c>
      <c r="AG817" t="n">
        <v>11</v>
      </c>
      <c r="AH817" t="n">
        <v>3</v>
      </c>
      <c r="AI817" t="n">
        <v>3</v>
      </c>
      <c r="AJ817" t="n">
        <v>11</v>
      </c>
      <c r="AK817" t="n">
        <v>11</v>
      </c>
      <c r="AL817" t="n">
        <v>2</v>
      </c>
      <c r="AM817" t="n">
        <v>2</v>
      </c>
      <c r="AN817" t="n">
        <v>0</v>
      </c>
      <c r="AO817" t="n">
        <v>0</v>
      </c>
      <c r="AP817" t="inlineStr">
        <is>
          <t>No</t>
        </is>
      </c>
      <c r="AQ817" t="inlineStr">
        <is>
          <t>No</t>
        </is>
      </c>
      <c r="AS817">
        <f>HYPERLINK("https://creighton-primo.hosted.exlibrisgroup.com/primo-explore/search?tab=default_tab&amp;search_scope=EVERYTHING&amp;vid=01CRU&amp;lang=en_US&amp;offset=0&amp;query=any,contains,991001911629702656","Catalog Record")</f>
        <v/>
      </c>
      <c r="AT817">
        <f>HYPERLINK("http://www.worldcat.org/oclc/24142922","WorldCat Record")</f>
        <v/>
      </c>
      <c r="AU817" t="inlineStr">
        <is>
          <t>26112452:eng</t>
        </is>
      </c>
      <c r="AV817" t="inlineStr">
        <is>
          <t>24142922</t>
        </is>
      </c>
      <c r="AW817" t="inlineStr">
        <is>
          <t>991001911629702656</t>
        </is>
      </c>
      <c r="AX817" t="inlineStr">
        <is>
          <t>991001911629702656</t>
        </is>
      </c>
      <c r="AY817" t="inlineStr">
        <is>
          <t>2265950630002656</t>
        </is>
      </c>
      <c r="AZ817" t="inlineStr">
        <is>
          <t>BOOK</t>
        </is>
      </c>
      <c r="BB817" t="inlineStr">
        <is>
          <t>9780871201850</t>
        </is>
      </c>
      <c r="BC817" t="inlineStr">
        <is>
          <t>32285000909290</t>
        </is>
      </c>
      <c r="BD817" t="inlineStr">
        <is>
          <t>893879290</t>
        </is>
      </c>
    </row>
    <row r="818">
      <c r="A818" t="inlineStr">
        <is>
          <t>No</t>
        </is>
      </c>
      <c r="B818" t="inlineStr">
        <is>
          <t>LB1576 .T378 1999</t>
        </is>
      </c>
      <c r="C818" t="inlineStr">
        <is>
          <t>0                      LB 1576000T  378         1999</t>
        </is>
      </c>
      <c r="D818" t="inlineStr">
        <is>
          <t>Teaching language arts : learning through dialogue / edited by Judith Wells Lindfors, Jane S. Townsend.</t>
        </is>
      </c>
      <c r="F818" t="inlineStr">
        <is>
          <t>No</t>
        </is>
      </c>
      <c r="G818" t="inlineStr">
        <is>
          <t>1</t>
        </is>
      </c>
      <c r="H818" t="inlineStr">
        <is>
          <t>No</t>
        </is>
      </c>
      <c r="I818" t="inlineStr">
        <is>
          <t>No</t>
        </is>
      </c>
      <c r="J818" t="inlineStr">
        <is>
          <t>0</t>
        </is>
      </c>
      <c r="L818" t="inlineStr">
        <is>
          <t>Urbana, Ill. : National Council of Teachers of English, c1999.</t>
        </is>
      </c>
      <c r="M818" t="inlineStr">
        <is>
          <t>1999</t>
        </is>
      </c>
      <c r="O818" t="inlineStr">
        <is>
          <t>eng</t>
        </is>
      </c>
      <c r="P818" t="inlineStr">
        <is>
          <t>ilu</t>
        </is>
      </c>
      <c r="R818" t="inlineStr">
        <is>
          <t xml:space="preserve">LB </t>
        </is>
      </c>
      <c r="S818" t="n">
        <v>3</v>
      </c>
      <c r="T818" t="n">
        <v>3</v>
      </c>
      <c r="U818" t="inlineStr">
        <is>
          <t>2001-07-06</t>
        </is>
      </c>
      <c r="V818" t="inlineStr">
        <is>
          <t>2001-07-06</t>
        </is>
      </c>
      <c r="W818" t="inlineStr">
        <is>
          <t>2000-04-11</t>
        </is>
      </c>
      <c r="X818" t="inlineStr">
        <is>
          <t>2000-04-11</t>
        </is>
      </c>
      <c r="Y818" t="n">
        <v>295</v>
      </c>
      <c r="Z818" t="n">
        <v>271</v>
      </c>
      <c r="AA818" t="n">
        <v>278</v>
      </c>
      <c r="AB818" t="n">
        <v>2</v>
      </c>
      <c r="AC818" t="n">
        <v>2</v>
      </c>
      <c r="AD818" t="n">
        <v>8</v>
      </c>
      <c r="AE818" t="n">
        <v>8</v>
      </c>
      <c r="AF818" t="n">
        <v>3</v>
      </c>
      <c r="AG818" t="n">
        <v>3</v>
      </c>
      <c r="AH818" t="n">
        <v>1</v>
      </c>
      <c r="AI818" t="n">
        <v>1</v>
      </c>
      <c r="AJ818" t="n">
        <v>3</v>
      </c>
      <c r="AK818" t="n">
        <v>3</v>
      </c>
      <c r="AL818" t="n">
        <v>1</v>
      </c>
      <c r="AM818" t="n">
        <v>1</v>
      </c>
      <c r="AN818" t="n">
        <v>0</v>
      </c>
      <c r="AO818" t="n">
        <v>0</v>
      </c>
      <c r="AP818" t="inlineStr">
        <is>
          <t>No</t>
        </is>
      </c>
      <c r="AQ818" t="inlineStr">
        <is>
          <t>No</t>
        </is>
      </c>
      <c r="AS818">
        <f>HYPERLINK("https://creighton-primo.hosted.exlibrisgroup.com/primo-explore/search?tab=default_tab&amp;search_scope=EVERYTHING&amp;vid=01CRU&amp;lang=en_US&amp;offset=0&amp;query=any,contains,991003030509702656","Catalog Record")</f>
        <v/>
      </c>
      <c r="AT818">
        <f>HYPERLINK("http://www.worldcat.org/oclc/41497144","WorldCat Record")</f>
        <v/>
      </c>
      <c r="AU818" t="inlineStr">
        <is>
          <t>347623296:eng</t>
        </is>
      </c>
      <c r="AV818" t="inlineStr">
        <is>
          <t>41497144</t>
        </is>
      </c>
      <c r="AW818" t="inlineStr">
        <is>
          <t>991003030509702656</t>
        </is>
      </c>
      <c r="AX818" t="inlineStr">
        <is>
          <t>991003030509702656</t>
        </is>
      </c>
      <c r="AY818" t="inlineStr">
        <is>
          <t>2261881690002656</t>
        </is>
      </c>
      <c r="AZ818" t="inlineStr">
        <is>
          <t>BOOK</t>
        </is>
      </c>
      <c r="BB818" t="inlineStr">
        <is>
          <t>9780814150351</t>
        </is>
      </c>
      <c r="BC818" t="inlineStr">
        <is>
          <t>32285003676623</t>
        </is>
      </c>
      <c r="BD818" t="inlineStr">
        <is>
          <t>893258002</t>
        </is>
      </c>
    </row>
    <row r="819">
      <c r="A819" t="inlineStr">
        <is>
          <t>No</t>
        </is>
      </c>
      <c r="B819" t="inlineStr">
        <is>
          <t>LB1576 .T445 1989</t>
        </is>
      </c>
      <c r="C819" t="inlineStr">
        <is>
          <t>0                      LB 1576000T  445         1989</t>
        </is>
      </c>
      <c r="D819" t="inlineStr">
        <is>
          <t>Language arts : learning processes and teaching practices / Charles Temple, Jean Wallace Gillet.</t>
        </is>
      </c>
      <c r="F819" t="inlineStr">
        <is>
          <t>No</t>
        </is>
      </c>
      <c r="G819" t="inlineStr">
        <is>
          <t>1</t>
        </is>
      </c>
      <c r="H819" t="inlineStr">
        <is>
          <t>No</t>
        </is>
      </c>
      <c r="I819" t="inlineStr">
        <is>
          <t>No</t>
        </is>
      </c>
      <c r="J819" t="inlineStr">
        <is>
          <t>0</t>
        </is>
      </c>
      <c r="K819" t="inlineStr">
        <is>
          <t>Temple, Charles A., 1947-</t>
        </is>
      </c>
      <c r="L819" t="inlineStr">
        <is>
          <t>Glenview, Ill. : Scott, Foresman, c1989.</t>
        </is>
      </c>
      <c r="M819" t="inlineStr">
        <is>
          <t>1989</t>
        </is>
      </c>
      <c r="N819" t="inlineStr">
        <is>
          <t>2nd ed.</t>
        </is>
      </c>
      <c r="O819" t="inlineStr">
        <is>
          <t>eng</t>
        </is>
      </c>
      <c r="P819" t="inlineStr">
        <is>
          <t>ilu</t>
        </is>
      </c>
      <c r="R819" t="inlineStr">
        <is>
          <t xml:space="preserve">LB </t>
        </is>
      </c>
      <c r="S819" t="n">
        <v>1</v>
      </c>
      <c r="T819" t="n">
        <v>1</v>
      </c>
      <c r="U819" t="inlineStr">
        <is>
          <t>2003-03-26</t>
        </is>
      </c>
      <c r="V819" t="inlineStr">
        <is>
          <t>2003-03-26</t>
        </is>
      </c>
      <c r="W819" t="inlineStr">
        <is>
          <t>1995-10-30</t>
        </is>
      </c>
      <c r="X819" t="inlineStr">
        <is>
          <t>1995-10-30</t>
        </is>
      </c>
      <c r="Y819" t="n">
        <v>171</v>
      </c>
      <c r="Z819" t="n">
        <v>137</v>
      </c>
      <c r="AA819" t="n">
        <v>296</v>
      </c>
      <c r="AB819" t="n">
        <v>1</v>
      </c>
      <c r="AC819" t="n">
        <v>2</v>
      </c>
      <c r="AD819" t="n">
        <v>5</v>
      </c>
      <c r="AE819" t="n">
        <v>8</v>
      </c>
      <c r="AF819" t="n">
        <v>3</v>
      </c>
      <c r="AG819" t="n">
        <v>4</v>
      </c>
      <c r="AH819" t="n">
        <v>2</v>
      </c>
      <c r="AI819" t="n">
        <v>2</v>
      </c>
      <c r="AJ819" t="n">
        <v>2</v>
      </c>
      <c r="AK819" t="n">
        <v>3</v>
      </c>
      <c r="AL819" t="n">
        <v>0</v>
      </c>
      <c r="AM819" t="n">
        <v>1</v>
      </c>
      <c r="AN819" t="n">
        <v>0</v>
      </c>
      <c r="AO819" t="n">
        <v>0</v>
      </c>
      <c r="AP819" t="inlineStr">
        <is>
          <t>No</t>
        </is>
      </c>
      <c r="AQ819" t="inlineStr">
        <is>
          <t>Yes</t>
        </is>
      </c>
      <c r="AR819">
        <f>HYPERLINK("http://catalog.hathitrust.org/Record/101968618","HathiTrust Record")</f>
        <v/>
      </c>
      <c r="AS819">
        <f>HYPERLINK("https://creighton-primo.hosted.exlibrisgroup.com/primo-explore/search?tab=default_tab&amp;search_scope=EVERYTHING&amp;vid=01CRU&amp;lang=en_US&amp;offset=0&amp;query=any,contains,991001338669702656","Catalog Record")</f>
        <v/>
      </c>
      <c r="AT819">
        <f>HYPERLINK("http://www.worldcat.org/oclc/18378840","WorldCat Record")</f>
        <v/>
      </c>
      <c r="AU819" t="inlineStr">
        <is>
          <t>17729961:eng</t>
        </is>
      </c>
      <c r="AV819" t="inlineStr">
        <is>
          <t>18378840</t>
        </is>
      </c>
      <c r="AW819" t="inlineStr">
        <is>
          <t>991001338669702656</t>
        </is>
      </c>
      <c r="AX819" t="inlineStr">
        <is>
          <t>991001338669702656</t>
        </is>
      </c>
      <c r="AY819" t="inlineStr">
        <is>
          <t>2271864820002656</t>
        </is>
      </c>
      <c r="AZ819" t="inlineStr">
        <is>
          <t>BOOK</t>
        </is>
      </c>
      <c r="BB819" t="inlineStr">
        <is>
          <t>9780673397980</t>
        </is>
      </c>
      <c r="BC819" t="inlineStr">
        <is>
          <t>32285002069150</t>
        </is>
      </c>
      <c r="BD819" t="inlineStr">
        <is>
          <t>893231922</t>
        </is>
      </c>
    </row>
    <row r="820">
      <c r="A820" t="inlineStr">
        <is>
          <t>No</t>
        </is>
      </c>
      <c r="B820" t="inlineStr">
        <is>
          <t>LB1576 .T46 1991</t>
        </is>
      </c>
      <c r="C820" t="inlineStr">
        <is>
          <t>0                      LB 1576000T  46          1991</t>
        </is>
      </c>
      <c r="D820" t="inlineStr">
        <is>
          <t>Teaching the integrated language arts / Shane Templeton.</t>
        </is>
      </c>
      <c r="F820" t="inlineStr">
        <is>
          <t>No</t>
        </is>
      </c>
      <c r="G820" t="inlineStr">
        <is>
          <t>1</t>
        </is>
      </c>
      <c r="H820" t="inlineStr">
        <is>
          <t>No</t>
        </is>
      </c>
      <c r="I820" t="inlineStr">
        <is>
          <t>No</t>
        </is>
      </c>
      <c r="J820" t="inlineStr">
        <is>
          <t>0</t>
        </is>
      </c>
      <c r="K820" t="inlineStr">
        <is>
          <t>Templeton, Shane.</t>
        </is>
      </c>
      <c r="L820" t="inlineStr">
        <is>
          <t>Boston : Houghton Mifflin, c1991.</t>
        </is>
      </c>
      <c r="M820" t="inlineStr">
        <is>
          <t>1990</t>
        </is>
      </c>
      <c r="O820" t="inlineStr">
        <is>
          <t>eng</t>
        </is>
      </c>
      <c r="P820" t="inlineStr">
        <is>
          <t>mau</t>
        </is>
      </c>
      <c r="R820" t="inlineStr">
        <is>
          <t xml:space="preserve">LB </t>
        </is>
      </c>
      <c r="S820" t="n">
        <v>2</v>
      </c>
      <c r="T820" t="n">
        <v>2</v>
      </c>
      <c r="U820" t="inlineStr">
        <is>
          <t>2005-10-25</t>
        </is>
      </c>
      <c r="V820" t="inlineStr">
        <is>
          <t>2005-10-25</t>
        </is>
      </c>
      <c r="W820" t="inlineStr">
        <is>
          <t>1995-11-06</t>
        </is>
      </c>
      <c r="X820" t="inlineStr">
        <is>
          <t>1995-11-06</t>
        </is>
      </c>
      <c r="Y820" t="n">
        <v>191</v>
      </c>
      <c r="Z820" t="n">
        <v>161</v>
      </c>
      <c r="AA820" t="n">
        <v>251</v>
      </c>
      <c r="AB820" t="n">
        <v>1</v>
      </c>
      <c r="AC820" t="n">
        <v>2</v>
      </c>
      <c r="AD820" t="n">
        <v>4</v>
      </c>
      <c r="AE820" t="n">
        <v>8</v>
      </c>
      <c r="AF820" t="n">
        <v>1</v>
      </c>
      <c r="AG820" t="n">
        <v>3</v>
      </c>
      <c r="AH820" t="n">
        <v>0</v>
      </c>
      <c r="AI820" t="n">
        <v>1</v>
      </c>
      <c r="AJ820" t="n">
        <v>4</v>
      </c>
      <c r="AK820" t="n">
        <v>5</v>
      </c>
      <c r="AL820" t="n">
        <v>0</v>
      </c>
      <c r="AM820" t="n">
        <v>1</v>
      </c>
      <c r="AN820" t="n">
        <v>0</v>
      </c>
      <c r="AO820" t="n">
        <v>0</v>
      </c>
      <c r="AP820" t="inlineStr">
        <is>
          <t>No</t>
        </is>
      </c>
      <c r="AQ820" t="inlineStr">
        <is>
          <t>No</t>
        </is>
      </c>
      <c r="AS820">
        <f>HYPERLINK("https://creighton-primo.hosted.exlibrisgroup.com/primo-explore/search?tab=default_tab&amp;search_scope=EVERYTHING&amp;vid=01CRU&amp;lang=en_US&amp;offset=0&amp;query=any,contains,991001856989702656","Catalog Record")</f>
        <v/>
      </c>
      <c r="AT820">
        <f>HYPERLINK("http://www.worldcat.org/oclc/23287766","WorldCat Record")</f>
        <v/>
      </c>
      <c r="AU820" t="inlineStr">
        <is>
          <t>25426064:eng</t>
        </is>
      </c>
      <c r="AV820" t="inlineStr">
        <is>
          <t>23287766</t>
        </is>
      </c>
      <c r="AW820" t="inlineStr">
        <is>
          <t>991001856989702656</t>
        </is>
      </c>
      <c r="AX820" t="inlineStr">
        <is>
          <t>991001856989702656</t>
        </is>
      </c>
      <c r="AY820" t="inlineStr">
        <is>
          <t>2272102390002656</t>
        </is>
      </c>
      <c r="AZ820" t="inlineStr">
        <is>
          <t>BOOK</t>
        </is>
      </c>
      <c r="BB820" t="inlineStr">
        <is>
          <t>9780395481547</t>
        </is>
      </c>
      <c r="BC820" t="inlineStr">
        <is>
          <t>32285002101086</t>
        </is>
      </c>
      <c r="BD820" t="inlineStr">
        <is>
          <t>893346846</t>
        </is>
      </c>
    </row>
    <row r="821">
      <c r="A821" t="inlineStr">
        <is>
          <t>No</t>
        </is>
      </c>
      <c r="B821" t="inlineStr">
        <is>
          <t>LB1576 .T75 2000</t>
        </is>
      </c>
      <c r="C821" t="inlineStr">
        <is>
          <t>0                      LB 1576000T  75          2000</t>
        </is>
      </c>
      <c r="D821" t="inlineStr">
        <is>
          <t>Trends &amp; issues in elementary language arts.</t>
        </is>
      </c>
      <c r="F821" t="inlineStr">
        <is>
          <t>No</t>
        </is>
      </c>
      <c r="G821" t="inlineStr">
        <is>
          <t>1</t>
        </is>
      </c>
      <c r="H821" t="inlineStr">
        <is>
          <t>No</t>
        </is>
      </c>
      <c r="I821" t="inlineStr">
        <is>
          <t>No</t>
        </is>
      </c>
      <c r="J821" t="inlineStr">
        <is>
          <t>0</t>
        </is>
      </c>
      <c r="L821" t="inlineStr">
        <is>
          <t>Urbana, Ill. : National Council of Teachers of English, c2000.</t>
        </is>
      </c>
      <c r="M821" t="inlineStr">
        <is>
          <t>2000</t>
        </is>
      </c>
      <c r="N821" t="inlineStr">
        <is>
          <t>2000 ed.</t>
        </is>
      </c>
      <c r="O821" t="inlineStr">
        <is>
          <t>eng</t>
        </is>
      </c>
      <c r="P821" t="inlineStr">
        <is>
          <t>ilu</t>
        </is>
      </c>
      <c r="R821" t="inlineStr">
        <is>
          <t xml:space="preserve">LB </t>
        </is>
      </c>
      <c r="S821" t="n">
        <v>2</v>
      </c>
      <c r="T821" t="n">
        <v>2</v>
      </c>
      <c r="U821" t="inlineStr">
        <is>
          <t>2005-01-20</t>
        </is>
      </c>
      <c r="V821" t="inlineStr">
        <is>
          <t>2005-01-20</t>
        </is>
      </c>
      <c r="W821" t="inlineStr">
        <is>
          <t>2000-11-13</t>
        </is>
      </c>
      <c r="X821" t="inlineStr">
        <is>
          <t>2000-11-13</t>
        </is>
      </c>
      <c r="Y821" t="n">
        <v>286</v>
      </c>
      <c r="Z821" t="n">
        <v>256</v>
      </c>
      <c r="AA821" t="n">
        <v>399</v>
      </c>
      <c r="AB821" t="n">
        <v>7</v>
      </c>
      <c r="AC821" t="n">
        <v>8</v>
      </c>
      <c r="AD821" t="n">
        <v>15</v>
      </c>
      <c r="AE821" t="n">
        <v>18</v>
      </c>
      <c r="AF821" t="n">
        <v>5</v>
      </c>
      <c r="AG821" t="n">
        <v>7</v>
      </c>
      <c r="AH821" t="n">
        <v>2</v>
      </c>
      <c r="AI821" t="n">
        <v>2</v>
      </c>
      <c r="AJ821" t="n">
        <v>4</v>
      </c>
      <c r="AK821" t="n">
        <v>4</v>
      </c>
      <c r="AL821" t="n">
        <v>6</v>
      </c>
      <c r="AM821" t="n">
        <v>7</v>
      </c>
      <c r="AN821" t="n">
        <v>0</v>
      </c>
      <c r="AO821" t="n">
        <v>0</v>
      </c>
      <c r="AP821" t="inlineStr">
        <is>
          <t>No</t>
        </is>
      </c>
      <c r="AQ821" t="inlineStr">
        <is>
          <t>No</t>
        </is>
      </c>
      <c r="AS821">
        <f>HYPERLINK("https://creighton-primo.hosted.exlibrisgroup.com/primo-explore/search?tab=default_tab&amp;search_scope=EVERYTHING&amp;vid=01CRU&amp;lang=en_US&amp;offset=0&amp;query=any,contains,991003346439702656","Catalog Record")</f>
        <v/>
      </c>
      <c r="AT821">
        <f>HYPERLINK("http://www.worldcat.org/oclc/45182024","WorldCat Record")</f>
        <v/>
      </c>
      <c r="AU821" t="inlineStr">
        <is>
          <t>1006933756:eng</t>
        </is>
      </c>
      <c r="AV821" t="inlineStr">
        <is>
          <t>45182024</t>
        </is>
      </c>
      <c r="AW821" t="inlineStr">
        <is>
          <t>991003346439702656</t>
        </is>
      </c>
      <c r="AX821" t="inlineStr">
        <is>
          <t>991003346439702656</t>
        </is>
      </c>
      <c r="AY821" t="inlineStr">
        <is>
          <t>2255740890002656</t>
        </is>
      </c>
      <c r="AZ821" t="inlineStr">
        <is>
          <t>BOOK</t>
        </is>
      </c>
      <c r="BB821" t="inlineStr">
        <is>
          <t>9780814155134</t>
        </is>
      </c>
      <c r="BC821" t="inlineStr">
        <is>
          <t>32285004265673</t>
        </is>
      </c>
      <c r="BD821" t="inlineStr">
        <is>
          <t>893336404</t>
        </is>
      </c>
    </row>
    <row r="822">
      <c r="A822" t="inlineStr">
        <is>
          <t>No</t>
        </is>
      </c>
      <c r="B822" t="inlineStr">
        <is>
          <t>LB1576 .W4858 2006</t>
        </is>
      </c>
      <c r="C822" t="inlineStr">
        <is>
          <t>0                      LB 1576000W  4858        2006</t>
        </is>
      </c>
      <c r="D822" t="inlineStr">
        <is>
          <t>Code-switching : teaching standard English in urban classrooms / Rebecca S. Wheeler, Rachel Swords.</t>
        </is>
      </c>
      <c r="F822" t="inlineStr">
        <is>
          <t>No</t>
        </is>
      </c>
      <c r="G822" t="inlineStr">
        <is>
          <t>1</t>
        </is>
      </c>
      <c r="H822" t="inlineStr">
        <is>
          <t>No</t>
        </is>
      </c>
      <c r="I822" t="inlineStr">
        <is>
          <t>No</t>
        </is>
      </c>
      <c r="J822" t="inlineStr">
        <is>
          <t>0</t>
        </is>
      </c>
      <c r="K822" t="inlineStr">
        <is>
          <t>Wheeler, Rebecca S., 1952-</t>
        </is>
      </c>
      <c r="L822" t="inlineStr">
        <is>
          <t>Urbana, Ill. : National Council of Teachers of English, c2006.</t>
        </is>
      </c>
      <c r="M822" t="inlineStr">
        <is>
          <t>2006</t>
        </is>
      </c>
      <c r="O822" t="inlineStr">
        <is>
          <t>eng</t>
        </is>
      </c>
      <c r="P822" t="inlineStr">
        <is>
          <t>ilu</t>
        </is>
      </c>
      <c r="Q822" t="inlineStr">
        <is>
          <t>Theory &amp; research into practice</t>
        </is>
      </c>
      <c r="R822" t="inlineStr">
        <is>
          <t xml:space="preserve">LB </t>
        </is>
      </c>
      <c r="S822" t="n">
        <v>1</v>
      </c>
      <c r="T822" t="n">
        <v>1</v>
      </c>
      <c r="U822" t="inlineStr">
        <is>
          <t>2008-10-29</t>
        </is>
      </c>
      <c r="V822" t="inlineStr">
        <is>
          <t>2008-10-29</t>
        </is>
      </c>
      <c r="W822" t="inlineStr">
        <is>
          <t>2008-10-29</t>
        </is>
      </c>
      <c r="X822" t="inlineStr">
        <is>
          <t>2008-10-29</t>
        </is>
      </c>
      <c r="Y822" t="n">
        <v>274</v>
      </c>
      <c r="Z822" t="n">
        <v>249</v>
      </c>
      <c r="AA822" t="n">
        <v>249</v>
      </c>
      <c r="AB822" t="n">
        <v>3</v>
      </c>
      <c r="AC822" t="n">
        <v>3</v>
      </c>
      <c r="AD822" t="n">
        <v>10</v>
      </c>
      <c r="AE822" t="n">
        <v>10</v>
      </c>
      <c r="AF822" t="n">
        <v>4</v>
      </c>
      <c r="AG822" t="n">
        <v>4</v>
      </c>
      <c r="AH822" t="n">
        <v>1</v>
      </c>
      <c r="AI822" t="n">
        <v>1</v>
      </c>
      <c r="AJ822" t="n">
        <v>6</v>
      </c>
      <c r="AK822" t="n">
        <v>6</v>
      </c>
      <c r="AL822" t="n">
        <v>2</v>
      </c>
      <c r="AM822" t="n">
        <v>2</v>
      </c>
      <c r="AN822" t="n">
        <v>0</v>
      </c>
      <c r="AO822" t="n">
        <v>0</v>
      </c>
      <c r="AP822" t="inlineStr">
        <is>
          <t>No</t>
        </is>
      </c>
      <c r="AQ822" t="inlineStr">
        <is>
          <t>No</t>
        </is>
      </c>
      <c r="AS822">
        <f>HYPERLINK("https://creighton-primo.hosted.exlibrisgroup.com/primo-explore/search?tab=default_tab&amp;search_scope=EVERYTHING&amp;vid=01CRU&amp;lang=en_US&amp;offset=0&amp;query=any,contains,991005261979702656","Catalog Record")</f>
        <v/>
      </c>
      <c r="AT822">
        <f>HYPERLINK("http://www.worldcat.org/oclc/62172749","WorldCat Record")</f>
        <v/>
      </c>
      <c r="AU822" t="inlineStr">
        <is>
          <t>4520204940:eng</t>
        </is>
      </c>
      <c r="AV822" t="inlineStr">
        <is>
          <t>62172749</t>
        </is>
      </c>
      <c r="AW822" t="inlineStr">
        <is>
          <t>991005261979702656</t>
        </is>
      </c>
      <c r="AX822" t="inlineStr">
        <is>
          <t>991005261979702656</t>
        </is>
      </c>
      <c r="AY822" t="inlineStr">
        <is>
          <t>2258615720002656</t>
        </is>
      </c>
      <c r="AZ822" t="inlineStr">
        <is>
          <t>BOOK</t>
        </is>
      </c>
      <c r="BB822" t="inlineStr">
        <is>
          <t>9780814107027</t>
        </is>
      </c>
      <c r="BC822" t="inlineStr">
        <is>
          <t>32285005464523</t>
        </is>
      </c>
      <c r="BD822" t="inlineStr">
        <is>
          <t>893600900</t>
        </is>
      </c>
    </row>
    <row r="823">
      <c r="A823" t="inlineStr">
        <is>
          <t>No</t>
        </is>
      </c>
      <c r="B823" t="inlineStr">
        <is>
          <t>LB1576 .W486283 1996</t>
        </is>
      </c>
      <c r="C823" t="inlineStr">
        <is>
          <t>0                      LB 1576000W  486283      1996</t>
        </is>
      </c>
      <c r="D823" t="inlineStr">
        <is>
          <t>Sketching stories, stretching minds : responding visually to literature / Phyllis Whitin ; [foreword by Jerome C. Harste].</t>
        </is>
      </c>
      <c r="F823" t="inlineStr">
        <is>
          <t>No</t>
        </is>
      </c>
      <c r="G823" t="inlineStr">
        <is>
          <t>1</t>
        </is>
      </c>
      <c r="H823" t="inlineStr">
        <is>
          <t>No</t>
        </is>
      </c>
      <c r="I823" t="inlineStr">
        <is>
          <t>No</t>
        </is>
      </c>
      <c r="J823" t="inlineStr">
        <is>
          <t>0</t>
        </is>
      </c>
      <c r="K823" t="inlineStr">
        <is>
          <t>Whitin, Phyllis.</t>
        </is>
      </c>
      <c r="L823" t="inlineStr">
        <is>
          <t>Portsmouth, NH : Heinemann, c1996.</t>
        </is>
      </c>
      <c r="M823" t="inlineStr">
        <is>
          <t>1996</t>
        </is>
      </c>
      <c r="O823" t="inlineStr">
        <is>
          <t>eng</t>
        </is>
      </c>
      <c r="P823" t="inlineStr">
        <is>
          <t>nhu</t>
        </is>
      </c>
      <c r="R823" t="inlineStr">
        <is>
          <t xml:space="preserve">LB </t>
        </is>
      </c>
      <c r="S823" t="n">
        <v>1</v>
      </c>
      <c r="T823" t="n">
        <v>1</v>
      </c>
      <c r="U823" t="inlineStr">
        <is>
          <t>2006-11-28</t>
        </is>
      </c>
      <c r="V823" t="inlineStr">
        <is>
          <t>2006-11-28</t>
        </is>
      </c>
      <c r="W823" t="inlineStr">
        <is>
          <t>2006-11-28</t>
        </is>
      </c>
      <c r="X823" t="inlineStr">
        <is>
          <t>2006-11-28</t>
        </is>
      </c>
      <c r="Y823" t="n">
        <v>229</v>
      </c>
      <c r="Z823" t="n">
        <v>201</v>
      </c>
      <c r="AA823" t="n">
        <v>209</v>
      </c>
      <c r="AB823" t="n">
        <v>3</v>
      </c>
      <c r="AC823" t="n">
        <v>3</v>
      </c>
      <c r="AD823" t="n">
        <v>6</v>
      </c>
      <c r="AE823" t="n">
        <v>6</v>
      </c>
      <c r="AF823" t="n">
        <v>1</v>
      </c>
      <c r="AG823" t="n">
        <v>1</v>
      </c>
      <c r="AH823" t="n">
        <v>2</v>
      </c>
      <c r="AI823" t="n">
        <v>2</v>
      </c>
      <c r="AJ823" t="n">
        <v>2</v>
      </c>
      <c r="AK823" t="n">
        <v>2</v>
      </c>
      <c r="AL823" t="n">
        <v>2</v>
      </c>
      <c r="AM823" t="n">
        <v>2</v>
      </c>
      <c r="AN823" t="n">
        <v>0</v>
      </c>
      <c r="AO823" t="n">
        <v>0</v>
      </c>
      <c r="AP823" t="inlineStr">
        <is>
          <t>No</t>
        </is>
      </c>
      <c r="AQ823" t="inlineStr">
        <is>
          <t>Yes</t>
        </is>
      </c>
      <c r="AR823">
        <f>HYPERLINK("http://catalog.hathitrust.org/Record/003084394","HathiTrust Record")</f>
        <v/>
      </c>
      <c r="AS823">
        <f>HYPERLINK("https://creighton-primo.hosted.exlibrisgroup.com/primo-explore/search?tab=default_tab&amp;search_scope=EVERYTHING&amp;vid=01CRU&amp;lang=en_US&amp;offset=0&amp;query=any,contains,991004987609702656","Catalog Record")</f>
        <v/>
      </c>
      <c r="AT823">
        <f>HYPERLINK("http://www.worldcat.org/oclc/33244264","WorldCat Record")</f>
        <v/>
      </c>
      <c r="AU823" t="inlineStr">
        <is>
          <t>906122527:eng</t>
        </is>
      </c>
      <c r="AV823" t="inlineStr">
        <is>
          <t>33244264</t>
        </is>
      </c>
      <c r="AW823" t="inlineStr">
        <is>
          <t>991004987609702656</t>
        </is>
      </c>
      <c r="AX823" t="inlineStr">
        <is>
          <t>991004987609702656</t>
        </is>
      </c>
      <c r="AY823" t="inlineStr">
        <is>
          <t>2255737110002656</t>
        </is>
      </c>
      <c r="AZ823" t="inlineStr">
        <is>
          <t>BOOK</t>
        </is>
      </c>
      <c r="BB823" t="inlineStr">
        <is>
          <t>9780435088705</t>
        </is>
      </c>
      <c r="BC823" t="inlineStr">
        <is>
          <t>32285005262794</t>
        </is>
      </c>
      <c r="BD823" t="inlineStr">
        <is>
          <t>893520261</t>
        </is>
      </c>
    </row>
    <row r="824">
      <c r="A824" t="inlineStr">
        <is>
          <t>No</t>
        </is>
      </c>
      <c r="B824" t="inlineStr">
        <is>
          <t>LB1578 .D58</t>
        </is>
      </c>
      <c r="C824" t="inlineStr">
        <is>
          <t>0                      LB 1578000D  58</t>
        </is>
      </c>
      <c r="D824" t="inlineStr">
        <is>
          <t>Foreign languages and the elementary school child [by] Mildred R. Donoghue.</t>
        </is>
      </c>
      <c r="F824" t="inlineStr">
        <is>
          <t>No</t>
        </is>
      </c>
      <c r="G824" t="inlineStr">
        <is>
          <t>1</t>
        </is>
      </c>
      <c r="H824" t="inlineStr">
        <is>
          <t>No</t>
        </is>
      </c>
      <c r="I824" t="inlineStr">
        <is>
          <t>No</t>
        </is>
      </c>
      <c r="J824" t="inlineStr">
        <is>
          <t>0</t>
        </is>
      </c>
      <c r="K824" t="inlineStr">
        <is>
          <t>Donoghue, Mildred R.</t>
        </is>
      </c>
      <c r="L824" t="inlineStr">
        <is>
          <t>Dubuque, Iowa, W.C. Brown Co. [1968]</t>
        </is>
      </c>
      <c r="M824" t="inlineStr">
        <is>
          <t>1968</t>
        </is>
      </c>
      <c r="O824" t="inlineStr">
        <is>
          <t>eng</t>
        </is>
      </c>
      <c r="P824" t="inlineStr">
        <is>
          <t>iau</t>
        </is>
      </c>
      <c r="R824" t="inlineStr">
        <is>
          <t xml:space="preserve">LB </t>
        </is>
      </c>
      <c r="S824" t="n">
        <v>9</v>
      </c>
      <c r="T824" t="n">
        <v>9</v>
      </c>
      <c r="U824" t="inlineStr">
        <is>
          <t>2007-03-11</t>
        </is>
      </c>
      <c r="V824" t="inlineStr">
        <is>
          <t>2007-03-11</t>
        </is>
      </c>
      <c r="W824" t="inlineStr">
        <is>
          <t>1992-02-18</t>
        </is>
      </c>
      <c r="X824" t="inlineStr">
        <is>
          <t>1992-02-18</t>
        </is>
      </c>
      <c r="Y824" t="n">
        <v>342</v>
      </c>
      <c r="Z824" t="n">
        <v>309</v>
      </c>
      <c r="AA824" t="n">
        <v>313</v>
      </c>
      <c r="AB824" t="n">
        <v>5</v>
      </c>
      <c r="AC824" t="n">
        <v>5</v>
      </c>
      <c r="AD824" t="n">
        <v>19</v>
      </c>
      <c r="AE824" t="n">
        <v>19</v>
      </c>
      <c r="AF824" t="n">
        <v>6</v>
      </c>
      <c r="AG824" t="n">
        <v>6</v>
      </c>
      <c r="AH824" t="n">
        <v>3</v>
      </c>
      <c r="AI824" t="n">
        <v>3</v>
      </c>
      <c r="AJ824" t="n">
        <v>11</v>
      </c>
      <c r="AK824" t="n">
        <v>11</v>
      </c>
      <c r="AL824" t="n">
        <v>4</v>
      </c>
      <c r="AM824" t="n">
        <v>4</v>
      </c>
      <c r="AN824" t="n">
        <v>0</v>
      </c>
      <c r="AO824" t="n">
        <v>0</v>
      </c>
      <c r="AP824" t="inlineStr">
        <is>
          <t>No</t>
        </is>
      </c>
      <c r="AQ824" t="inlineStr">
        <is>
          <t>Yes</t>
        </is>
      </c>
      <c r="AR824">
        <f>HYPERLINK("http://catalog.hathitrust.org/Record/001282160","HathiTrust Record")</f>
        <v/>
      </c>
      <c r="AS824">
        <f>HYPERLINK("https://creighton-primo.hosted.exlibrisgroup.com/primo-explore/search?tab=default_tab&amp;search_scope=EVERYTHING&amp;vid=01CRU&amp;lang=en_US&amp;offset=0&amp;query=any,contains,991001100249702656","Catalog Record")</f>
        <v/>
      </c>
      <c r="AT824">
        <f>HYPERLINK("http://www.worldcat.org/oclc/183476","WorldCat Record")</f>
        <v/>
      </c>
      <c r="AU824" t="inlineStr">
        <is>
          <t>1374175066:eng</t>
        </is>
      </c>
      <c r="AV824" t="inlineStr">
        <is>
          <t>183476</t>
        </is>
      </c>
      <c r="AW824" t="inlineStr">
        <is>
          <t>991001100249702656</t>
        </is>
      </c>
      <c r="AX824" t="inlineStr">
        <is>
          <t>991001100249702656</t>
        </is>
      </c>
      <c r="AY824" t="inlineStr">
        <is>
          <t>2267548450002656</t>
        </is>
      </c>
      <c r="AZ824" t="inlineStr">
        <is>
          <t>BOOK</t>
        </is>
      </c>
      <c r="BC824" t="inlineStr">
        <is>
          <t>32285000947480</t>
        </is>
      </c>
      <c r="BD824" t="inlineStr">
        <is>
          <t>893315515</t>
        </is>
      </c>
    </row>
    <row r="825">
      <c r="A825" t="inlineStr">
        <is>
          <t>No</t>
        </is>
      </c>
      <c r="B825" t="inlineStr">
        <is>
          <t>LB1578 .F5</t>
        </is>
      </c>
      <c r="C825" t="inlineStr">
        <is>
          <t>0                      LB 1578000F  5</t>
        </is>
      </c>
      <c r="D825" t="inlineStr">
        <is>
          <t>Teaching children foreign languages / [by] Mary Finocchiaro.</t>
        </is>
      </c>
      <c r="F825" t="inlineStr">
        <is>
          <t>No</t>
        </is>
      </c>
      <c r="G825" t="inlineStr">
        <is>
          <t>1</t>
        </is>
      </c>
      <c r="H825" t="inlineStr">
        <is>
          <t>No</t>
        </is>
      </c>
      <c r="I825" t="inlineStr">
        <is>
          <t>No</t>
        </is>
      </c>
      <c r="J825" t="inlineStr">
        <is>
          <t>0</t>
        </is>
      </c>
      <c r="K825" t="inlineStr">
        <is>
          <t>Finocchiaro, Mary, 1913-1996.</t>
        </is>
      </c>
      <c r="L825" t="inlineStr">
        <is>
          <t>New York : McGraw-Hill, [1964]</t>
        </is>
      </c>
      <c r="M825" t="inlineStr">
        <is>
          <t>1964</t>
        </is>
      </c>
      <c r="O825" t="inlineStr">
        <is>
          <t>fre</t>
        </is>
      </c>
      <c r="P825" t="inlineStr">
        <is>
          <t>nyu</t>
        </is>
      </c>
      <c r="R825" t="inlineStr">
        <is>
          <t xml:space="preserve">LB </t>
        </is>
      </c>
      <c r="S825" t="n">
        <v>5</v>
      </c>
      <c r="T825" t="n">
        <v>5</v>
      </c>
      <c r="U825" t="inlineStr">
        <is>
          <t>2007-03-11</t>
        </is>
      </c>
      <c r="V825" t="inlineStr">
        <is>
          <t>2007-03-11</t>
        </is>
      </c>
      <c r="W825" t="inlineStr">
        <is>
          <t>1992-01-31</t>
        </is>
      </c>
      <c r="X825" t="inlineStr">
        <is>
          <t>1992-01-31</t>
        </is>
      </c>
      <c r="Y825" t="n">
        <v>610</v>
      </c>
      <c r="Z825" t="n">
        <v>464</v>
      </c>
      <c r="AA825" t="n">
        <v>465</v>
      </c>
      <c r="AB825" t="n">
        <v>5</v>
      </c>
      <c r="AC825" t="n">
        <v>5</v>
      </c>
      <c r="AD825" t="n">
        <v>26</v>
      </c>
      <c r="AE825" t="n">
        <v>26</v>
      </c>
      <c r="AF825" t="n">
        <v>9</v>
      </c>
      <c r="AG825" t="n">
        <v>9</v>
      </c>
      <c r="AH825" t="n">
        <v>6</v>
      </c>
      <c r="AI825" t="n">
        <v>6</v>
      </c>
      <c r="AJ825" t="n">
        <v>14</v>
      </c>
      <c r="AK825" t="n">
        <v>14</v>
      </c>
      <c r="AL825" t="n">
        <v>4</v>
      </c>
      <c r="AM825" t="n">
        <v>4</v>
      </c>
      <c r="AN825" t="n">
        <v>0</v>
      </c>
      <c r="AO825" t="n">
        <v>0</v>
      </c>
      <c r="AP825" t="inlineStr">
        <is>
          <t>No</t>
        </is>
      </c>
      <c r="AQ825" t="inlineStr">
        <is>
          <t>Yes</t>
        </is>
      </c>
      <c r="AR825">
        <f>HYPERLINK("http://catalog.hathitrust.org/Record/004430950","HathiTrust Record")</f>
        <v/>
      </c>
      <c r="AS825">
        <f>HYPERLINK("https://creighton-primo.hosted.exlibrisgroup.com/primo-explore/search?tab=default_tab&amp;search_scope=EVERYTHING&amp;vid=01CRU&amp;lang=en_US&amp;offset=0&amp;query=any,contains,991001110809702656","Catalog Record")</f>
        <v/>
      </c>
      <c r="AT825">
        <f>HYPERLINK("http://www.worldcat.org/oclc/183920","WorldCat Record")</f>
        <v/>
      </c>
      <c r="AU825" t="inlineStr">
        <is>
          <t>1330294:eng</t>
        </is>
      </c>
      <c r="AV825" t="inlineStr">
        <is>
          <t>183920</t>
        </is>
      </c>
      <c r="AW825" t="inlineStr">
        <is>
          <t>991001110809702656</t>
        </is>
      </c>
      <c r="AX825" t="inlineStr">
        <is>
          <t>991001110809702656</t>
        </is>
      </c>
      <c r="AY825" t="inlineStr">
        <is>
          <t>2267003770002656</t>
        </is>
      </c>
      <c r="AZ825" t="inlineStr">
        <is>
          <t>BOOK</t>
        </is>
      </c>
      <c r="BC825" t="inlineStr">
        <is>
          <t>32285000931526</t>
        </is>
      </c>
      <c r="BD825" t="inlineStr">
        <is>
          <t>893621083</t>
        </is>
      </c>
    </row>
    <row r="826">
      <c r="A826" t="inlineStr">
        <is>
          <t>No</t>
        </is>
      </c>
      <c r="B826" t="inlineStr">
        <is>
          <t>LB1580.U5 A7</t>
        </is>
      </c>
      <c r="C826" t="inlineStr">
        <is>
          <t>0                      LB 1580000U  5                  A  7</t>
        </is>
      </c>
      <c r="D826" t="inlineStr">
        <is>
          <t>Foreign languages in the elementary school : a struggle against mediocrity.</t>
        </is>
      </c>
      <c r="F826" t="inlineStr">
        <is>
          <t>No</t>
        </is>
      </c>
      <c r="G826" t="inlineStr">
        <is>
          <t>1</t>
        </is>
      </c>
      <c r="H826" t="inlineStr">
        <is>
          <t>No</t>
        </is>
      </c>
      <c r="I826" t="inlineStr">
        <is>
          <t>No</t>
        </is>
      </c>
      <c r="J826" t="inlineStr">
        <is>
          <t>0</t>
        </is>
      </c>
      <c r="K826" t="inlineStr">
        <is>
          <t>Andersson, Theodore, 1903-1994.</t>
        </is>
      </c>
      <c r="L826" t="inlineStr">
        <is>
          <t>Austin : University of Texas Press, [1969]</t>
        </is>
      </c>
      <c r="M826" t="inlineStr">
        <is>
          <t>1969</t>
        </is>
      </c>
      <c r="O826" t="inlineStr">
        <is>
          <t>eng</t>
        </is>
      </c>
      <c r="P826" t="inlineStr">
        <is>
          <t>txu</t>
        </is>
      </c>
      <c r="R826" t="inlineStr">
        <is>
          <t xml:space="preserve">LB </t>
        </is>
      </c>
      <c r="S826" t="n">
        <v>5</v>
      </c>
      <c r="T826" t="n">
        <v>5</v>
      </c>
      <c r="U826" t="inlineStr">
        <is>
          <t>2007-03-11</t>
        </is>
      </c>
      <c r="V826" t="inlineStr">
        <is>
          <t>2007-03-11</t>
        </is>
      </c>
      <c r="W826" t="inlineStr">
        <is>
          <t>1992-03-03</t>
        </is>
      </c>
      <c r="X826" t="inlineStr">
        <is>
          <t>1992-03-03</t>
        </is>
      </c>
      <c r="Y826" t="n">
        <v>559</v>
      </c>
      <c r="Z826" t="n">
        <v>483</v>
      </c>
      <c r="AA826" t="n">
        <v>489</v>
      </c>
      <c r="AB826" t="n">
        <v>5</v>
      </c>
      <c r="AC826" t="n">
        <v>5</v>
      </c>
      <c r="AD826" t="n">
        <v>26</v>
      </c>
      <c r="AE826" t="n">
        <v>26</v>
      </c>
      <c r="AF826" t="n">
        <v>8</v>
      </c>
      <c r="AG826" t="n">
        <v>8</v>
      </c>
      <c r="AH826" t="n">
        <v>6</v>
      </c>
      <c r="AI826" t="n">
        <v>6</v>
      </c>
      <c r="AJ826" t="n">
        <v>12</v>
      </c>
      <c r="AK826" t="n">
        <v>12</v>
      </c>
      <c r="AL826" t="n">
        <v>4</v>
      </c>
      <c r="AM826" t="n">
        <v>4</v>
      </c>
      <c r="AN826" t="n">
        <v>0</v>
      </c>
      <c r="AO826" t="n">
        <v>0</v>
      </c>
      <c r="AP826" t="inlineStr">
        <is>
          <t>No</t>
        </is>
      </c>
      <c r="AQ826" t="inlineStr">
        <is>
          <t>Yes</t>
        </is>
      </c>
      <c r="AR826">
        <f>HYPERLINK("http://catalog.hathitrust.org/Record/001282185","HathiTrust Record")</f>
        <v/>
      </c>
      <c r="AS826">
        <f>HYPERLINK("https://creighton-primo.hosted.exlibrisgroup.com/primo-explore/search?tab=default_tab&amp;search_scope=EVERYTHING&amp;vid=01CRU&amp;lang=en_US&amp;offset=0&amp;query=any,contains,991000011549702656","Catalog Record")</f>
        <v/>
      </c>
      <c r="AT826">
        <f>HYPERLINK("http://www.worldcat.org/oclc/14895","WorldCat Record")</f>
        <v/>
      </c>
      <c r="AU826" t="inlineStr">
        <is>
          <t>3855512298:eng</t>
        </is>
      </c>
      <c r="AV826" t="inlineStr">
        <is>
          <t>14895</t>
        </is>
      </c>
      <c r="AW826" t="inlineStr">
        <is>
          <t>991000011549702656</t>
        </is>
      </c>
      <c r="AX826" t="inlineStr">
        <is>
          <t>991000011549702656</t>
        </is>
      </c>
      <c r="AY826" t="inlineStr">
        <is>
          <t>2265975900002656</t>
        </is>
      </c>
      <c r="AZ826" t="inlineStr">
        <is>
          <t>BOOK</t>
        </is>
      </c>
      <c r="BB826" t="inlineStr">
        <is>
          <t>9780292784024</t>
        </is>
      </c>
      <c r="BC826" t="inlineStr">
        <is>
          <t>32285000990944</t>
        </is>
      </c>
      <c r="BD826" t="inlineStr">
        <is>
          <t>893607542</t>
        </is>
      </c>
    </row>
    <row r="827">
      <c r="A827" t="inlineStr">
        <is>
          <t>No</t>
        </is>
      </c>
      <c r="B827" t="inlineStr">
        <is>
          <t>LB1580.U5 F67 1990</t>
        </is>
      </c>
      <c r="C827" t="inlineStr">
        <is>
          <t>0                      LB 1580000U  5                  F  67          1990</t>
        </is>
      </c>
      <c r="D827" t="inlineStr">
        <is>
          <t>Foreign language education : issues and strategies / edited by Amado M. Padilla, Halford H. Fairchild, Concepción M. Valadez.</t>
        </is>
      </c>
      <c r="F827" t="inlineStr">
        <is>
          <t>No</t>
        </is>
      </c>
      <c r="G827" t="inlineStr">
        <is>
          <t>1</t>
        </is>
      </c>
      <c r="H827" t="inlineStr">
        <is>
          <t>No</t>
        </is>
      </c>
      <c r="I827" t="inlineStr">
        <is>
          <t>No</t>
        </is>
      </c>
      <c r="J827" t="inlineStr">
        <is>
          <t>0</t>
        </is>
      </c>
      <c r="L827" t="inlineStr">
        <is>
          <t>Newbury Park, Calif. : Sage Publications, c1990.</t>
        </is>
      </c>
      <c r="M827" t="inlineStr">
        <is>
          <t>1990</t>
        </is>
      </c>
      <c r="O827" t="inlineStr">
        <is>
          <t>eng</t>
        </is>
      </c>
      <c r="P827" t="inlineStr">
        <is>
          <t>cau</t>
        </is>
      </c>
      <c r="Q827" t="inlineStr">
        <is>
          <t>Sage focus editions ; 113</t>
        </is>
      </c>
      <c r="R827" t="inlineStr">
        <is>
          <t xml:space="preserve">LB </t>
        </is>
      </c>
      <c r="S827" t="n">
        <v>10</v>
      </c>
      <c r="T827" t="n">
        <v>10</v>
      </c>
      <c r="U827" t="inlineStr">
        <is>
          <t>2007-03-11</t>
        </is>
      </c>
      <c r="V827" t="inlineStr">
        <is>
          <t>2007-03-11</t>
        </is>
      </c>
      <c r="W827" t="inlineStr">
        <is>
          <t>1991-06-05</t>
        </is>
      </c>
      <c r="X827" t="inlineStr">
        <is>
          <t>1991-06-05</t>
        </is>
      </c>
      <c r="Y827" t="n">
        <v>549</v>
      </c>
      <c r="Z827" t="n">
        <v>468</v>
      </c>
      <c r="AA827" t="n">
        <v>471</v>
      </c>
      <c r="AB827" t="n">
        <v>5</v>
      </c>
      <c r="AC827" t="n">
        <v>5</v>
      </c>
      <c r="AD827" t="n">
        <v>25</v>
      </c>
      <c r="AE827" t="n">
        <v>25</v>
      </c>
      <c r="AF827" t="n">
        <v>10</v>
      </c>
      <c r="AG827" t="n">
        <v>10</v>
      </c>
      <c r="AH827" t="n">
        <v>3</v>
      </c>
      <c r="AI827" t="n">
        <v>3</v>
      </c>
      <c r="AJ827" t="n">
        <v>13</v>
      </c>
      <c r="AK827" t="n">
        <v>13</v>
      </c>
      <c r="AL827" t="n">
        <v>4</v>
      </c>
      <c r="AM827" t="n">
        <v>4</v>
      </c>
      <c r="AN827" t="n">
        <v>0</v>
      </c>
      <c r="AO827" t="n">
        <v>0</v>
      </c>
      <c r="AP827" t="inlineStr">
        <is>
          <t>No</t>
        </is>
      </c>
      <c r="AQ827" t="inlineStr">
        <is>
          <t>Yes</t>
        </is>
      </c>
      <c r="AR827">
        <f>HYPERLINK("http://catalog.hathitrust.org/Record/002171748","HathiTrust Record")</f>
        <v/>
      </c>
      <c r="AS827">
        <f>HYPERLINK("https://creighton-primo.hosted.exlibrisgroup.com/primo-explore/search?tab=default_tab&amp;search_scope=EVERYTHING&amp;vid=01CRU&amp;lang=en_US&amp;offset=0&amp;query=any,contains,991001578399702656","Catalog Record")</f>
        <v/>
      </c>
      <c r="AT827">
        <f>HYPERLINK("http://www.worldcat.org/oclc/20454043","WorldCat Record")</f>
        <v/>
      </c>
      <c r="AU827" t="inlineStr">
        <is>
          <t>906222638:eng</t>
        </is>
      </c>
      <c r="AV827" t="inlineStr">
        <is>
          <t>20454043</t>
        </is>
      </c>
      <c r="AW827" t="inlineStr">
        <is>
          <t>991001578399702656</t>
        </is>
      </c>
      <c r="AX827" t="inlineStr">
        <is>
          <t>991001578399702656</t>
        </is>
      </c>
      <c r="AY827" t="inlineStr">
        <is>
          <t>2255302140002656</t>
        </is>
      </c>
      <c r="AZ827" t="inlineStr">
        <is>
          <t>BOOK</t>
        </is>
      </c>
      <c r="BB827" t="inlineStr">
        <is>
          <t>9780803936416</t>
        </is>
      </c>
      <c r="BC827" t="inlineStr">
        <is>
          <t>32285000592831</t>
        </is>
      </c>
      <c r="BD827" t="inlineStr">
        <is>
          <t>893709363</t>
        </is>
      </c>
    </row>
    <row r="828">
      <c r="A828" t="inlineStr">
        <is>
          <t>No</t>
        </is>
      </c>
      <c r="B828" t="inlineStr">
        <is>
          <t>LB1582.U6 J67 1993</t>
        </is>
      </c>
      <c r="C828" t="inlineStr">
        <is>
          <t>0                      LB 1582000U  6                  J  67          1993</t>
        </is>
      </c>
      <c r="D828" t="inlineStr">
        <is>
          <t>History workshop : reconstructing the past with elementary students / Karen L. Jorgensen with James W. Venable ; [with a foreword by Yetta M. Goodman].</t>
        </is>
      </c>
      <c r="F828" t="inlineStr">
        <is>
          <t>No</t>
        </is>
      </c>
      <c r="G828" t="inlineStr">
        <is>
          <t>1</t>
        </is>
      </c>
      <c r="H828" t="inlineStr">
        <is>
          <t>No</t>
        </is>
      </c>
      <c r="I828" t="inlineStr">
        <is>
          <t>No</t>
        </is>
      </c>
      <c r="J828" t="inlineStr">
        <is>
          <t>0</t>
        </is>
      </c>
      <c r="K828" t="inlineStr">
        <is>
          <t>Jorgensen, Karen L.</t>
        </is>
      </c>
      <c r="L828" t="inlineStr">
        <is>
          <t>Portsmouth, NH : Heinemann, c1993.</t>
        </is>
      </c>
      <c r="M828" t="inlineStr">
        <is>
          <t>1993</t>
        </is>
      </c>
      <c r="O828" t="inlineStr">
        <is>
          <t>eng</t>
        </is>
      </c>
      <c r="P828" t="inlineStr">
        <is>
          <t>nhu</t>
        </is>
      </c>
      <c r="R828" t="inlineStr">
        <is>
          <t xml:space="preserve">LB </t>
        </is>
      </c>
      <c r="S828" t="n">
        <v>4</v>
      </c>
      <c r="T828" t="n">
        <v>4</v>
      </c>
      <c r="U828" t="inlineStr">
        <is>
          <t>2007-07-19</t>
        </is>
      </c>
      <c r="V828" t="inlineStr">
        <is>
          <t>2007-07-19</t>
        </is>
      </c>
      <c r="W828" t="inlineStr">
        <is>
          <t>2006-11-07</t>
        </is>
      </c>
      <c r="X828" t="inlineStr">
        <is>
          <t>2006-11-07</t>
        </is>
      </c>
      <c r="Y828" t="n">
        <v>298</v>
      </c>
      <c r="Z828" t="n">
        <v>275</v>
      </c>
      <c r="AA828" t="n">
        <v>278</v>
      </c>
      <c r="AB828" t="n">
        <v>5</v>
      </c>
      <c r="AC828" t="n">
        <v>5</v>
      </c>
      <c r="AD828" t="n">
        <v>14</v>
      </c>
      <c r="AE828" t="n">
        <v>14</v>
      </c>
      <c r="AF828" t="n">
        <v>7</v>
      </c>
      <c r="AG828" t="n">
        <v>7</v>
      </c>
      <c r="AH828" t="n">
        <v>1</v>
      </c>
      <c r="AI828" t="n">
        <v>1</v>
      </c>
      <c r="AJ828" t="n">
        <v>8</v>
      </c>
      <c r="AK828" t="n">
        <v>8</v>
      </c>
      <c r="AL828" t="n">
        <v>3</v>
      </c>
      <c r="AM828" t="n">
        <v>3</v>
      </c>
      <c r="AN828" t="n">
        <v>0</v>
      </c>
      <c r="AO828" t="n">
        <v>0</v>
      </c>
      <c r="AP828" t="inlineStr">
        <is>
          <t>No</t>
        </is>
      </c>
      <c r="AQ828" t="inlineStr">
        <is>
          <t>Yes</t>
        </is>
      </c>
      <c r="AR828">
        <f>HYPERLINK("http://catalog.hathitrust.org/Record/009925825","HathiTrust Record")</f>
        <v/>
      </c>
      <c r="AS828">
        <f>HYPERLINK("https://creighton-primo.hosted.exlibrisgroup.com/primo-explore/search?tab=default_tab&amp;search_scope=EVERYTHING&amp;vid=01CRU&amp;lang=en_US&amp;offset=0&amp;query=any,contains,991004971299702656","Catalog Record")</f>
        <v/>
      </c>
      <c r="AT828">
        <f>HYPERLINK("http://www.worldcat.org/oclc/27106430","WorldCat Record")</f>
        <v/>
      </c>
      <c r="AU828" t="inlineStr">
        <is>
          <t>919279116:eng</t>
        </is>
      </c>
      <c r="AV828" t="inlineStr">
        <is>
          <t>27106430</t>
        </is>
      </c>
      <c r="AW828" t="inlineStr">
        <is>
          <t>991004971299702656</t>
        </is>
      </c>
      <c r="AX828" t="inlineStr">
        <is>
          <t>991004971299702656</t>
        </is>
      </c>
      <c r="AY828" t="inlineStr">
        <is>
          <t>2260241960002656</t>
        </is>
      </c>
      <c r="AZ828" t="inlineStr">
        <is>
          <t>BOOK</t>
        </is>
      </c>
      <c r="BB828" t="inlineStr">
        <is>
          <t>9780435089009</t>
        </is>
      </c>
      <c r="BC828" t="inlineStr">
        <is>
          <t>32285005236715</t>
        </is>
      </c>
      <c r="BD828" t="inlineStr">
        <is>
          <t>893807678</t>
        </is>
      </c>
    </row>
    <row r="829">
      <c r="A829" t="inlineStr">
        <is>
          <t>No</t>
        </is>
      </c>
      <c r="B829" t="inlineStr">
        <is>
          <t>LB1583.8 .B67 1987</t>
        </is>
      </c>
      <c r="C829" t="inlineStr">
        <is>
          <t>0                      LB 1583800B  67          1987</t>
        </is>
      </c>
      <c r="D829" t="inlineStr">
        <is>
          <t>Fairy tales, fables, legends, and myths : using folk literature in your classroom / Bette Bosma.</t>
        </is>
      </c>
      <c r="F829" t="inlineStr">
        <is>
          <t>No</t>
        </is>
      </c>
      <c r="G829" t="inlineStr">
        <is>
          <t>1</t>
        </is>
      </c>
      <c r="H829" t="inlineStr">
        <is>
          <t>No</t>
        </is>
      </c>
      <c r="I829" t="inlineStr">
        <is>
          <t>Yes</t>
        </is>
      </c>
      <c r="J829" t="inlineStr">
        <is>
          <t>0</t>
        </is>
      </c>
      <c r="K829" t="inlineStr">
        <is>
          <t>Bosma, Bette, 1927-</t>
        </is>
      </c>
      <c r="L829" t="inlineStr">
        <is>
          <t>New York : Teachers College Press, c1987.</t>
        </is>
      </c>
      <c r="M829" t="inlineStr">
        <is>
          <t>1987</t>
        </is>
      </c>
      <c r="O829" t="inlineStr">
        <is>
          <t>eng</t>
        </is>
      </c>
      <c r="P829" t="inlineStr">
        <is>
          <t>nyu</t>
        </is>
      </c>
      <c r="R829" t="inlineStr">
        <is>
          <t xml:space="preserve">LB </t>
        </is>
      </c>
      <c r="S829" t="n">
        <v>6</v>
      </c>
      <c r="T829" t="n">
        <v>6</v>
      </c>
      <c r="U829" t="inlineStr">
        <is>
          <t>2003-03-26</t>
        </is>
      </c>
      <c r="V829" t="inlineStr">
        <is>
          <t>2003-03-26</t>
        </is>
      </c>
      <c r="W829" t="inlineStr">
        <is>
          <t>1993-01-28</t>
        </is>
      </c>
      <c r="X829" t="inlineStr">
        <is>
          <t>1993-01-28</t>
        </is>
      </c>
      <c r="Y829" t="n">
        <v>543</v>
      </c>
      <c r="Z829" t="n">
        <v>505</v>
      </c>
      <c r="AA829" t="n">
        <v>796</v>
      </c>
      <c r="AB829" t="n">
        <v>6</v>
      </c>
      <c r="AC829" t="n">
        <v>7</v>
      </c>
      <c r="AD829" t="n">
        <v>26</v>
      </c>
      <c r="AE829" t="n">
        <v>36</v>
      </c>
      <c r="AF829" t="n">
        <v>12</v>
      </c>
      <c r="AG829" t="n">
        <v>16</v>
      </c>
      <c r="AH829" t="n">
        <v>4</v>
      </c>
      <c r="AI829" t="n">
        <v>5</v>
      </c>
      <c r="AJ829" t="n">
        <v>12</v>
      </c>
      <c r="AK829" t="n">
        <v>19</v>
      </c>
      <c r="AL829" t="n">
        <v>5</v>
      </c>
      <c r="AM829" t="n">
        <v>6</v>
      </c>
      <c r="AN829" t="n">
        <v>0</v>
      </c>
      <c r="AO829" t="n">
        <v>0</v>
      </c>
      <c r="AP829" t="inlineStr">
        <is>
          <t>No</t>
        </is>
      </c>
      <c r="AQ829" t="inlineStr">
        <is>
          <t>No</t>
        </is>
      </c>
      <c r="AS829">
        <f>HYPERLINK("https://creighton-primo.hosted.exlibrisgroup.com/primo-explore/search?tab=default_tab&amp;search_scope=EVERYTHING&amp;vid=01CRU&amp;lang=en_US&amp;offset=0&amp;query=any,contains,991000913529702656","Catalog Record")</f>
        <v/>
      </c>
      <c r="AT829">
        <f>HYPERLINK("http://www.worldcat.org/oclc/14164726","WorldCat Record")</f>
        <v/>
      </c>
      <c r="AU829" t="inlineStr">
        <is>
          <t>836869259:eng</t>
        </is>
      </c>
      <c r="AV829" t="inlineStr">
        <is>
          <t>14164726</t>
        </is>
      </c>
      <c r="AW829" t="inlineStr">
        <is>
          <t>991000913529702656</t>
        </is>
      </c>
      <c r="AX829" t="inlineStr">
        <is>
          <t>991000913529702656</t>
        </is>
      </c>
      <c r="AY829" t="inlineStr">
        <is>
          <t>2270574730002656</t>
        </is>
      </c>
      <c r="AZ829" t="inlineStr">
        <is>
          <t>BOOK</t>
        </is>
      </c>
      <c r="BB829" t="inlineStr">
        <is>
          <t>9780807728277</t>
        </is>
      </c>
      <c r="BC829" t="inlineStr">
        <is>
          <t>32285001479673</t>
        </is>
      </c>
      <c r="BD829" t="inlineStr">
        <is>
          <t>893346084</t>
        </is>
      </c>
    </row>
    <row r="830">
      <c r="A830" t="inlineStr">
        <is>
          <t>No</t>
        </is>
      </c>
      <c r="B830" t="inlineStr">
        <is>
          <t>LB1584 .E863 1994</t>
        </is>
      </c>
      <c r="C830" t="inlineStr">
        <is>
          <t>0                      LB 1584000E  863         1994</t>
        </is>
      </c>
      <c r="D830" t="inlineStr">
        <is>
          <t>Expectations of excellence : curriculum standards for social studies / developed by National Council for the Social Studies.</t>
        </is>
      </c>
      <c r="F830" t="inlineStr">
        <is>
          <t>No</t>
        </is>
      </c>
      <c r="G830" t="inlineStr">
        <is>
          <t>1</t>
        </is>
      </c>
      <c r="H830" t="inlineStr">
        <is>
          <t>No</t>
        </is>
      </c>
      <c r="I830" t="inlineStr">
        <is>
          <t>No</t>
        </is>
      </c>
      <c r="J830" t="inlineStr">
        <is>
          <t>0</t>
        </is>
      </c>
      <c r="L830" t="inlineStr">
        <is>
          <t>Washington, D.C. : National Council for the Social Studies, c1994.</t>
        </is>
      </c>
      <c r="M830" t="inlineStr">
        <is>
          <t>1994</t>
        </is>
      </c>
      <c r="O830" t="inlineStr">
        <is>
          <t>eng</t>
        </is>
      </c>
      <c r="P830" t="inlineStr">
        <is>
          <t>dcu</t>
        </is>
      </c>
      <c r="Q830" t="inlineStr">
        <is>
          <t>Bulletin (National Council for the Social Studies) ; 89</t>
        </is>
      </c>
      <c r="R830" t="inlineStr">
        <is>
          <t xml:space="preserve">LB </t>
        </is>
      </c>
      <c r="S830" t="n">
        <v>7</v>
      </c>
      <c r="T830" t="n">
        <v>7</v>
      </c>
      <c r="U830" t="inlineStr">
        <is>
          <t>2007-07-19</t>
        </is>
      </c>
      <c r="V830" t="inlineStr">
        <is>
          <t>2007-07-19</t>
        </is>
      </c>
      <c r="W830" t="inlineStr">
        <is>
          <t>1997-02-13</t>
        </is>
      </c>
      <c r="X830" t="inlineStr">
        <is>
          <t>1997-02-13</t>
        </is>
      </c>
      <c r="Y830" t="n">
        <v>409</v>
      </c>
      <c r="Z830" t="n">
        <v>371</v>
      </c>
      <c r="AA830" t="n">
        <v>408</v>
      </c>
      <c r="AB830" t="n">
        <v>6</v>
      </c>
      <c r="AC830" t="n">
        <v>6</v>
      </c>
      <c r="AD830" t="n">
        <v>16</v>
      </c>
      <c r="AE830" t="n">
        <v>18</v>
      </c>
      <c r="AF830" t="n">
        <v>6</v>
      </c>
      <c r="AG830" t="n">
        <v>7</v>
      </c>
      <c r="AH830" t="n">
        <v>4</v>
      </c>
      <c r="AI830" t="n">
        <v>4</v>
      </c>
      <c r="AJ830" t="n">
        <v>5</v>
      </c>
      <c r="AK830" t="n">
        <v>7</v>
      </c>
      <c r="AL830" t="n">
        <v>3</v>
      </c>
      <c r="AM830" t="n">
        <v>3</v>
      </c>
      <c r="AN830" t="n">
        <v>0</v>
      </c>
      <c r="AO830" t="n">
        <v>0</v>
      </c>
      <c r="AP830" t="inlineStr">
        <is>
          <t>No</t>
        </is>
      </c>
      <c r="AQ830" t="inlineStr">
        <is>
          <t>Yes</t>
        </is>
      </c>
      <c r="AR830">
        <f>HYPERLINK("http://catalog.hathitrust.org/Record/003141635","HathiTrust Record")</f>
        <v/>
      </c>
      <c r="AS830">
        <f>HYPERLINK("https://creighton-primo.hosted.exlibrisgroup.com/primo-explore/search?tab=default_tab&amp;search_scope=EVERYTHING&amp;vid=01CRU&amp;lang=en_US&amp;offset=0&amp;query=any,contains,991002408949702656","Catalog Record")</f>
        <v/>
      </c>
      <c r="AT830">
        <f>HYPERLINK("http://www.worldcat.org/oclc/68776487","WorldCat Record")</f>
        <v/>
      </c>
      <c r="AU830" t="inlineStr">
        <is>
          <t>55870474:eng</t>
        </is>
      </c>
      <c r="AV830" t="inlineStr">
        <is>
          <t>68776487</t>
        </is>
      </c>
      <c r="AW830" t="inlineStr">
        <is>
          <t>991002408949702656</t>
        </is>
      </c>
      <c r="AX830" t="inlineStr">
        <is>
          <t>991002408949702656</t>
        </is>
      </c>
      <c r="AY830" t="inlineStr">
        <is>
          <t>2259867820002656</t>
        </is>
      </c>
      <c r="AZ830" t="inlineStr">
        <is>
          <t>BOOK</t>
        </is>
      </c>
      <c r="BB830" t="inlineStr">
        <is>
          <t>9780879860653</t>
        </is>
      </c>
      <c r="BC830" t="inlineStr">
        <is>
          <t>32285002430923</t>
        </is>
      </c>
      <c r="BD830" t="inlineStr">
        <is>
          <t>893685333</t>
        </is>
      </c>
    </row>
    <row r="831">
      <c r="A831" t="inlineStr">
        <is>
          <t>No</t>
        </is>
      </c>
      <c r="B831" t="inlineStr">
        <is>
          <t>LB1584 .H275 1991</t>
        </is>
      </c>
      <c r="C831" t="inlineStr">
        <is>
          <t>0                      LB 1584000H  275         1991</t>
        </is>
      </c>
      <c r="D831" t="inlineStr">
        <is>
          <t>Handbook of research on social studies teaching and learning / James P. Shaver, editor.</t>
        </is>
      </c>
      <c r="F831" t="inlineStr">
        <is>
          <t>No</t>
        </is>
      </c>
      <c r="G831" t="inlineStr">
        <is>
          <t>1</t>
        </is>
      </c>
      <c r="H831" t="inlineStr">
        <is>
          <t>No</t>
        </is>
      </c>
      <c r="I831" t="inlineStr">
        <is>
          <t>No</t>
        </is>
      </c>
      <c r="J831" t="inlineStr">
        <is>
          <t>0</t>
        </is>
      </c>
      <c r="L831" t="inlineStr">
        <is>
          <t>New York : Macmillan ; Toronto : Collier Macmillan ; New York : Maxwell Macmillan International, c1991.</t>
        </is>
      </c>
      <c r="M831" t="inlineStr">
        <is>
          <t>1991</t>
        </is>
      </c>
      <c r="O831" t="inlineStr">
        <is>
          <t>eng</t>
        </is>
      </c>
      <c r="P831" t="inlineStr">
        <is>
          <t>nyu</t>
        </is>
      </c>
      <c r="R831" t="inlineStr">
        <is>
          <t xml:space="preserve">LB </t>
        </is>
      </c>
      <c r="S831" t="n">
        <v>1</v>
      </c>
      <c r="T831" t="n">
        <v>1</v>
      </c>
      <c r="U831" t="inlineStr">
        <is>
          <t>2006-01-23</t>
        </is>
      </c>
      <c r="V831" t="inlineStr">
        <is>
          <t>2006-01-23</t>
        </is>
      </c>
      <c r="W831" t="inlineStr">
        <is>
          <t>1995-11-02</t>
        </is>
      </c>
      <c r="X831" t="inlineStr">
        <is>
          <t>1995-11-02</t>
        </is>
      </c>
      <c r="Y831" t="n">
        <v>727</v>
      </c>
      <c r="Z831" t="n">
        <v>637</v>
      </c>
      <c r="AA831" t="n">
        <v>641</v>
      </c>
      <c r="AB831" t="n">
        <v>8</v>
      </c>
      <c r="AC831" t="n">
        <v>8</v>
      </c>
      <c r="AD831" t="n">
        <v>37</v>
      </c>
      <c r="AE831" t="n">
        <v>37</v>
      </c>
      <c r="AF831" t="n">
        <v>13</v>
      </c>
      <c r="AG831" t="n">
        <v>13</v>
      </c>
      <c r="AH831" t="n">
        <v>6</v>
      </c>
      <c r="AI831" t="n">
        <v>6</v>
      </c>
      <c r="AJ831" t="n">
        <v>16</v>
      </c>
      <c r="AK831" t="n">
        <v>16</v>
      </c>
      <c r="AL831" t="n">
        <v>7</v>
      </c>
      <c r="AM831" t="n">
        <v>7</v>
      </c>
      <c r="AN831" t="n">
        <v>0</v>
      </c>
      <c r="AO831" t="n">
        <v>0</v>
      </c>
      <c r="AP831" t="inlineStr">
        <is>
          <t>No</t>
        </is>
      </c>
      <c r="AQ831" t="inlineStr">
        <is>
          <t>No</t>
        </is>
      </c>
      <c r="AS831">
        <f>HYPERLINK("https://creighton-primo.hosted.exlibrisgroup.com/primo-explore/search?tab=default_tab&amp;search_scope=EVERYTHING&amp;vid=01CRU&amp;lang=en_US&amp;offset=0&amp;query=any,contains,991001709719702656","Catalog Record")</f>
        <v/>
      </c>
      <c r="AT831">
        <f>HYPERLINK("http://www.worldcat.org/oclc/21594498","WorldCat Record")</f>
        <v/>
      </c>
      <c r="AU831" t="inlineStr">
        <is>
          <t>1808792036:eng</t>
        </is>
      </c>
      <c r="AV831" t="inlineStr">
        <is>
          <t>21594498</t>
        </is>
      </c>
      <c r="AW831" t="inlineStr">
        <is>
          <t>991001709719702656</t>
        </is>
      </c>
      <c r="AX831" t="inlineStr">
        <is>
          <t>991001709719702656</t>
        </is>
      </c>
      <c r="AY831" t="inlineStr">
        <is>
          <t>2257065150002656</t>
        </is>
      </c>
      <c r="AZ831" t="inlineStr">
        <is>
          <t>BOOK</t>
        </is>
      </c>
      <c r="BB831" t="inlineStr">
        <is>
          <t>9780028957906</t>
        </is>
      </c>
      <c r="BC831" t="inlineStr">
        <is>
          <t>32285002099900</t>
        </is>
      </c>
      <c r="BD831" t="inlineStr">
        <is>
          <t>893785332</t>
        </is>
      </c>
    </row>
    <row r="832">
      <c r="A832" t="inlineStr">
        <is>
          <t>No</t>
        </is>
      </c>
      <c r="B832" t="inlineStr">
        <is>
          <t>LB1584 .K74 1998</t>
        </is>
      </c>
      <c r="C832" t="inlineStr">
        <is>
          <t>0                      LB 1584000K  74          1998</t>
        </is>
      </c>
      <c r="D832" t="inlineStr">
        <is>
          <t>Children's literature in social studies : teaching to the standards / by DeAn M. Krey.</t>
        </is>
      </c>
      <c r="F832" t="inlineStr">
        <is>
          <t>No</t>
        </is>
      </c>
      <c r="G832" t="inlineStr">
        <is>
          <t>1</t>
        </is>
      </c>
      <c r="H832" t="inlineStr">
        <is>
          <t>No</t>
        </is>
      </c>
      <c r="I832" t="inlineStr">
        <is>
          <t>No</t>
        </is>
      </c>
      <c r="J832" t="inlineStr">
        <is>
          <t>0</t>
        </is>
      </c>
      <c r="K832" t="inlineStr">
        <is>
          <t>Krey, DeAn M.</t>
        </is>
      </c>
      <c r="L832" t="inlineStr">
        <is>
          <t>Washington, DC : National Council for the Social Studies, c1998.</t>
        </is>
      </c>
      <c r="M832" t="inlineStr">
        <is>
          <t>1998</t>
        </is>
      </c>
      <c r="O832" t="inlineStr">
        <is>
          <t>eng</t>
        </is>
      </c>
      <c r="P832" t="inlineStr">
        <is>
          <t>dcu</t>
        </is>
      </c>
      <c r="Q832" t="inlineStr">
        <is>
          <t>NCSS bulletin ; 95</t>
        </is>
      </c>
      <c r="R832" t="inlineStr">
        <is>
          <t xml:space="preserve">LB </t>
        </is>
      </c>
      <c r="S832" t="n">
        <v>3</v>
      </c>
      <c r="T832" t="n">
        <v>3</v>
      </c>
      <c r="U832" t="inlineStr">
        <is>
          <t>2008-10-30</t>
        </is>
      </c>
      <c r="V832" t="inlineStr">
        <is>
          <t>2008-10-30</t>
        </is>
      </c>
      <c r="W832" t="inlineStr">
        <is>
          <t>2007-01-17</t>
        </is>
      </c>
      <c r="X832" t="inlineStr">
        <is>
          <t>2007-01-17</t>
        </is>
      </c>
      <c r="Y832" t="n">
        <v>285</v>
      </c>
      <c r="Z832" t="n">
        <v>266</v>
      </c>
      <c r="AA832" t="n">
        <v>272</v>
      </c>
      <c r="AB832" t="n">
        <v>4</v>
      </c>
      <c r="AC832" t="n">
        <v>4</v>
      </c>
      <c r="AD832" t="n">
        <v>12</v>
      </c>
      <c r="AE832" t="n">
        <v>12</v>
      </c>
      <c r="AF832" t="n">
        <v>4</v>
      </c>
      <c r="AG832" t="n">
        <v>4</v>
      </c>
      <c r="AH832" t="n">
        <v>3</v>
      </c>
      <c r="AI832" t="n">
        <v>3</v>
      </c>
      <c r="AJ832" t="n">
        <v>5</v>
      </c>
      <c r="AK832" t="n">
        <v>5</v>
      </c>
      <c r="AL832" t="n">
        <v>2</v>
      </c>
      <c r="AM832" t="n">
        <v>2</v>
      </c>
      <c r="AN832" t="n">
        <v>0</v>
      </c>
      <c r="AO832" t="n">
        <v>0</v>
      </c>
      <c r="AP832" t="inlineStr">
        <is>
          <t>No</t>
        </is>
      </c>
      <c r="AQ832" t="inlineStr">
        <is>
          <t>Yes</t>
        </is>
      </c>
      <c r="AR832">
        <f>HYPERLINK("http://catalog.hathitrust.org/Record/003560646","HathiTrust Record")</f>
        <v/>
      </c>
      <c r="AS832">
        <f>HYPERLINK("https://creighton-primo.hosted.exlibrisgroup.com/primo-explore/search?tab=default_tab&amp;search_scope=EVERYTHING&amp;vid=01CRU&amp;lang=en_US&amp;offset=0&amp;query=any,contains,991005017189702656","Catalog Record")</f>
        <v/>
      </c>
      <c r="AT832">
        <f>HYPERLINK("http://www.worldcat.org/oclc/40426597","WorldCat Record")</f>
        <v/>
      </c>
      <c r="AU832" t="inlineStr">
        <is>
          <t>474084316:eng</t>
        </is>
      </c>
      <c r="AV832" t="inlineStr">
        <is>
          <t>40426597</t>
        </is>
      </c>
      <c r="AW832" t="inlineStr">
        <is>
          <t>991005017189702656</t>
        </is>
      </c>
      <c r="AX832" t="inlineStr">
        <is>
          <t>991005017189702656</t>
        </is>
      </c>
      <c r="AY832" t="inlineStr">
        <is>
          <t>2263612640002656</t>
        </is>
      </c>
      <c r="AZ832" t="inlineStr">
        <is>
          <t>BOOK</t>
        </is>
      </c>
      <c r="BB832" t="inlineStr">
        <is>
          <t>9780879860769</t>
        </is>
      </c>
      <c r="BC832" t="inlineStr">
        <is>
          <t>32285005271233</t>
        </is>
      </c>
      <c r="BD832" t="inlineStr">
        <is>
          <t>893430717</t>
        </is>
      </c>
    </row>
    <row r="833">
      <c r="A833" t="inlineStr">
        <is>
          <t>No</t>
        </is>
      </c>
      <c r="B833" t="inlineStr">
        <is>
          <t>LB1584 .P28 1991</t>
        </is>
      </c>
      <c r="C833" t="inlineStr">
        <is>
          <t>0                      LB 1584000P  28          1991</t>
        </is>
      </c>
      <c r="D833" t="inlineStr">
        <is>
          <t>Renewing the social studies curriculum / Walter C. Parker.</t>
        </is>
      </c>
      <c r="F833" t="inlineStr">
        <is>
          <t>No</t>
        </is>
      </c>
      <c r="G833" t="inlineStr">
        <is>
          <t>1</t>
        </is>
      </c>
      <c r="H833" t="inlineStr">
        <is>
          <t>No</t>
        </is>
      </c>
      <c r="I833" t="inlineStr">
        <is>
          <t>No</t>
        </is>
      </c>
      <c r="J833" t="inlineStr">
        <is>
          <t>0</t>
        </is>
      </c>
      <c r="K833" t="inlineStr">
        <is>
          <t>Parker, Walter.</t>
        </is>
      </c>
      <c r="L833" t="inlineStr">
        <is>
          <t>Alexandria, VA : Association for Supervision and Curriculum Development, 1991.</t>
        </is>
      </c>
      <c r="M833" t="inlineStr">
        <is>
          <t>1991</t>
        </is>
      </c>
      <c r="O833" t="inlineStr">
        <is>
          <t>eng</t>
        </is>
      </c>
      <c r="P833" t="inlineStr">
        <is>
          <t>vau</t>
        </is>
      </c>
      <c r="R833" t="inlineStr">
        <is>
          <t xml:space="preserve">LB </t>
        </is>
      </c>
      <c r="S833" t="n">
        <v>1</v>
      </c>
      <c r="T833" t="n">
        <v>1</v>
      </c>
      <c r="U833" t="inlineStr">
        <is>
          <t>2004-10-12</t>
        </is>
      </c>
      <c r="V833" t="inlineStr">
        <is>
          <t>2004-10-12</t>
        </is>
      </c>
      <c r="W833" t="inlineStr">
        <is>
          <t>1991-04-09</t>
        </is>
      </c>
      <c r="X833" t="inlineStr">
        <is>
          <t>1991-04-09</t>
        </is>
      </c>
      <c r="Y833" t="n">
        <v>616</v>
      </c>
      <c r="Z833" t="n">
        <v>556</v>
      </c>
      <c r="AA833" t="n">
        <v>574</v>
      </c>
      <c r="AB833" t="n">
        <v>8</v>
      </c>
      <c r="AC833" t="n">
        <v>8</v>
      </c>
      <c r="AD833" t="n">
        <v>25</v>
      </c>
      <c r="AE833" t="n">
        <v>27</v>
      </c>
      <c r="AF833" t="n">
        <v>12</v>
      </c>
      <c r="AG833" t="n">
        <v>13</v>
      </c>
      <c r="AH833" t="n">
        <v>4</v>
      </c>
      <c r="AI833" t="n">
        <v>5</v>
      </c>
      <c r="AJ833" t="n">
        <v>10</v>
      </c>
      <c r="AK833" t="n">
        <v>10</v>
      </c>
      <c r="AL833" t="n">
        <v>6</v>
      </c>
      <c r="AM833" t="n">
        <v>6</v>
      </c>
      <c r="AN833" t="n">
        <v>0</v>
      </c>
      <c r="AO833" t="n">
        <v>0</v>
      </c>
      <c r="AP833" t="inlineStr">
        <is>
          <t>No</t>
        </is>
      </c>
      <c r="AQ833" t="inlineStr">
        <is>
          <t>Yes</t>
        </is>
      </c>
      <c r="AR833">
        <f>HYPERLINK("http://catalog.hathitrust.org/Record/004541770","HathiTrust Record")</f>
        <v/>
      </c>
      <c r="AS833">
        <f>HYPERLINK("https://creighton-primo.hosted.exlibrisgroup.com/primo-explore/search?tab=default_tab&amp;search_scope=EVERYTHING&amp;vid=01CRU&amp;lang=en_US&amp;offset=0&amp;query=any,contains,991001838079702656","Catalog Record")</f>
        <v/>
      </c>
      <c r="AT833">
        <f>HYPERLINK("http://www.worldcat.org/oclc/23082090","WorldCat Record")</f>
        <v/>
      </c>
      <c r="AU833" t="inlineStr">
        <is>
          <t>24503460:eng</t>
        </is>
      </c>
      <c r="AV833" t="inlineStr">
        <is>
          <t>23082090</t>
        </is>
      </c>
      <c r="AW833" t="inlineStr">
        <is>
          <t>991001838079702656</t>
        </is>
      </c>
      <c r="AX833" t="inlineStr">
        <is>
          <t>991001838079702656</t>
        </is>
      </c>
      <c r="AY833" t="inlineStr">
        <is>
          <t>2256351050002656</t>
        </is>
      </c>
      <c r="AZ833" t="inlineStr">
        <is>
          <t>BOOK</t>
        </is>
      </c>
      <c r="BB833" t="inlineStr">
        <is>
          <t>9780871201775</t>
        </is>
      </c>
      <c r="BC833" t="inlineStr">
        <is>
          <t>32285000537265</t>
        </is>
      </c>
      <c r="BD833" t="inlineStr">
        <is>
          <t>893797862</t>
        </is>
      </c>
    </row>
    <row r="834">
      <c r="A834" t="inlineStr">
        <is>
          <t>No</t>
        </is>
      </c>
      <c r="B834" t="inlineStr">
        <is>
          <t>LB1584 .S38 1987</t>
        </is>
      </c>
      <c r="C834" t="inlineStr">
        <is>
          <t>0                      LB 1584000S  38          1987</t>
        </is>
      </c>
      <c r="D834" t="inlineStr">
        <is>
          <t>Teaching social studies in the elementary school : issues and practices / Mark C. Schug, R. Beery.</t>
        </is>
      </c>
      <c r="F834" t="inlineStr">
        <is>
          <t>No</t>
        </is>
      </c>
      <c r="G834" t="inlineStr">
        <is>
          <t>1</t>
        </is>
      </c>
      <c r="H834" t="inlineStr">
        <is>
          <t>No</t>
        </is>
      </c>
      <c r="I834" t="inlineStr">
        <is>
          <t>No</t>
        </is>
      </c>
      <c r="J834" t="inlineStr">
        <is>
          <t>0</t>
        </is>
      </c>
      <c r="K834" t="inlineStr">
        <is>
          <t>Schug, Mark C.</t>
        </is>
      </c>
      <c r="L834" t="inlineStr">
        <is>
          <t>Glenview, Ill. : Scott, Foresman, c1987.</t>
        </is>
      </c>
      <c r="M834" t="inlineStr">
        <is>
          <t>1987</t>
        </is>
      </c>
      <c r="O834" t="inlineStr">
        <is>
          <t>eng</t>
        </is>
      </c>
      <c r="P834" t="inlineStr">
        <is>
          <t>ilu</t>
        </is>
      </c>
      <c r="R834" t="inlineStr">
        <is>
          <t xml:space="preserve">LB </t>
        </is>
      </c>
      <c r="S834" t="n">
        <v>3</v>
      </c>
      <c r="T834" t="n">
        <v>3</v>
      </c>
      <c r="U834" t="inlineStr">
        <is>
          <t>1999-11-07</t>
        </is>
      </c>
      <c r="V834" t="inlineStr">
        <is>
          <t>1999-11-07</t>
        </is>
      </c>
      <c r="W834" t="inlineStr">
        <is>
          <t>1990-07-10</t>
        </is>
      </c>
      <c r="X834" t="inlineStr">
        <is>
          <t>1990-07-10</t>
        </is>
      </c>
      <c r="Y834" t="n">
        <v>183</v>
      </c>
      <c r="Z834" t="n">
        <v>166</v>
      </c>
      <c r="AA834" t="n">
        <v>192</v>
      </c>
      <c r="AB834" t="n">
        <v>2</v>
      </c>
      <c r="AC834" t="n">
        <v>2</v>
      </c>
      <c r="AD834" t="n">
        <v>5</v>
      </c>
      <c r="AE834" t="n">
        <v>5</v>
      </c>
      <c r="AF834" t="n">
        <v>4</v>
      </c>
      <c r="AG834" t="n">
        <v>4</v>
      </c>
      <c r="AH834" t="n">
        <v>0</v>
      </c>
      <c r="AI834" t="n">
        <v>0</v>
      </c>
      <c r="AJ834" t="n">
        <v>2</v>
      </c>
      <c r="AK834" t="n">
        <v>2</v>
      </c>
      <c r="AL834" t="n">
        <v>1</v>
      </c>
      <c r="AM834" t="n">
        <v>1</v>
      </c>
      <c r="AN834" t="n">
        <v>0</v>
      </c>
      <c r="AO834" t="n">
        <v>0</v>
      </c>
      <c r="AP834" t="inlineStr">
        <is>
          <t>No</t>
        </is>
      </c>
      <c r="AQ834" t="inlineStr">
        <is>
          <t>Yes</t>
        </is>
      </c>
      <c r="AR834">
        <f>HYPERLINK("http://catalog.hathitrust.org/Record/000821043","HathiTrust Record")</f>
        <v/>
      </c>
      <c r="AS834">
        <f>HYPERLINK("https://creighton-primo.hosted.exlibrisgroup.com/primo-explore/search?tab=default_tab&amp;search_scope=EVERYTHING&amp;vid=01CRU&amp;lang=en_US&amp;offset=0&amp;query=any,contains,991000938819702656","Catalog Record")</f>
        <v/>
      </c>
      <c r="AT834">
        <f>HYPERLINK("http://www.worldcat.org/oclc/14378743","WorldCat Record")</f>
        <v/>
      </c>
      <c r="AU834" t="inlineStr">
        <is>
          <t>894485048:eng</t>
        </is>
      </c>
      <c r="AV834" t="inlineStr">
        <is>
          <t>14378743</t>
        </is>
      </c>
      <c r="AW834" t="inlineStr">
        <is>
          <t>991000938819702656</t>
        </is>
      </c>
      <c r="AX834" t="inlineStr">
        <is>
          <t>991000938819702656</t>
        </is>
      </c>
      <c r="AY834" t="inlineStr">
        <is>
          <t>2261253530002656</t>
        </is>
      </c>
      <c r="AZ834" t="inlineStr">
        <is>
          <t>BOOK</t>
        </is>
      </c>
      <c r="BB834" t="inlineStr">
        <is>
          <t>9780673159786</t>
        </is>
      </c>
      <c r="BC834" t="inlineStr">
        <is>
          <t>32285000223403</t>
        </is>
      </c>
      <c r="BD834" t="inlineStr">
        <is>
          <t>893231554</t>
        </is>
      </c>
    </row>
    <row r="835">
      <c r="A835" t="inlineStr">
        <is>
          <t>No</t>
        </is>
      </c>
      <c r="B835" t="inlineStr">
        <is>
          <t>LB1584 .S4437 1995</t>
        </is>
      </c>
      <c r="C835" t="inlineStr">
        <is>
          <t>0                      LB 1584000S  4437        1995</t>
        </is>
      </c>
      <c r="D835" t="inlineStr">
        <is>
          <t>Arts &amp; humanities in the social studies / by Douglas Selwyn.</t>
        </is>
      </c>
      <c r="F835" t="inlineStr">
        <is>
          <t>No</t>
        </is>
      </c>
      <c r="G835" t="inlineStr">
        <is>
          <t>1</t>
        </is>
      </c>
      <c r="H835" t="inlineStr">
        <is>
          <t>No</t>
        </is>
      </c>
      <c r="I835" t="inlineStr">
        <is>
          <t>No</t>
        </is>
      </c>
      <c r="J835" t="inlineStr">
        <is>
          <t>0</t>
        </is>
      </c>
      <c r="K835" t="inlineStr">
        <is>
          <t>Selwyn, Douglas, 1949-</t>
        </is>
      </c>
      <c r="L835" t="inlineStr">
        <is>
          <t>Washington, DC : National Council for the Social Studies, 1995, c1993.</t>
        </is>
      </c>
      <c r="M835" t="inlineStr">
        <is>
          <t>1995</t>
        </is>
      </c>
      <c r="O835" t="inlineStr">
        <is>
          <t>eng</t>
        </is>
      </c>
      <c r="P835" t="inlineStr">
        <is>
          <t>dcu</t>
        </is>
      </c>
      <c r="Q835" t="inlineStr">
        <is>
          <t>Bulletin ; 90</t>
        </is>
      </c>
      <c r="R835" t="inlineStr">
        <is>
          <t xml:space="preserve">LB </t>
        </is>
      </c>
      <c r="S835" t="n">
        <v>2</v>
      </c>
      <c r="T835" t="n">
        <v>2</v>
      </c>
      <c r="U835" t="inlineStr">
        <is>
          <t>2007-03-04</t>
        </is>
      </c>
      <c r="V835" t="inlineStr">
        <is>
          <t>2007-03-04</t>
        </is>
      </c>
      <c r="W835" t="inlineStr">
        <is>
          <t>2007-01-17</t>
        </is>
      </c>
      <c r="X835" t="inlineStr">
        <is>
          <t>2007-01-17</t>
        </is>
      </c>
      <c r="Y835" t="n">
        <v>223</v>
      </c>
      <c r="Z835" t="n">
        <v>208</v>
      </c>
      <c r="AA835" t="n">
        <v>211</v>
      </c>
      <c r="AB835" t="n">
        <v>2</v>
      </c>
      <c r="AC835" t="n">
        <v>2</v>
      </c>
      <c r="AD835" t="n">
        <v>12</v>
      </c>
      <c r="AE835" t="n">
        <v>12</v>
      </c>
      <c r="AF835" t="n">
        <v>7</v>
      </c>
      <c r="AG835" t="n">
        <v>7</v>
      </c>
      <c r="AH835" t="n">
        <v>3</v>
      </c>
      <c r="AI835" t="n">
        <v>3</v>
      </c>
      <c r="AJ835" t="n">
        <v>3</v>
      </c>
      <c r="AK835" t="n">
        <v>3</v>
      </c>
      <c r="AL835" t="n">
        <v>1</v>
      </c>
      <c r="AM835" t="n">
        <v>1</v>
      </c>
      <c r="AN835" t="n">
        <v>0</v>
      </c>
      <c r="AO835" t="n">
        <v>0</v>
      </c>
      <c r="AP835" t="inlineStr">
        <is>
          <t>No</t>
        </is>
      </c>
      <c r="AQ835" t="inlineStr">
        <is>
          <t>Yes</t>
        </is>
      </c>
      <c r="AR835">
        <f>HYPERLINK("http://catalog.hathitrust.org/Record/003141673","HathiTrust Record")</f>
        <v/>
      </c>
      <c r="AS835">
        <f>HYPERLINK("https://creighton-primo.hosted.exlibrisgroup.com/primo-explore/search?tab=default_tab&amp;search_scope=EVERYTHING&amp;vid=01CRU&amp;lang=en_US&amp;offset=0&amp;query=any,contains,991005017239702656","Catalog Record")</f>
        <v/>
      </c>
      <c r="AT835">
        <f>HYPERLINK("http://www.worldcat.org/oclc/32269009","WorldCat Record")</f>
        <v/>
      </c>
      <c r="AU835" t="inlineStr">
        <is>
          <t>34128599:eng</t>
        </is>
      </c>
      <c r="AV835" t="inlineStr">
        <is>
          <t>32269009</t>
        </is>
      </c>
      <c r="AW835" t="inlineStr">
        <is>
          <t>991005017239702656</t>
        </is>
      </c>
      <c r="AX835" t="inlineStr">
        <is>
          <t>991005017239702656</t>
        </is>
      </c>
      <c r="AY835" t="inlineStr">
        <is>
          <t>2254990250002656</t>
        </is>
      </c>
      <c r="AZ835" t="inlineStr">
        <is>
          <t>BOOK</t>
        </is>
      </c>
      <c r="BB835" t="inlineStr">
        <is>
          <t>9780879860646</t>
        </is>
      </c>
      <c r="BC835" t="inlineStr">
        <is>
          <t>32285005271241</t>
        </is>
      </c>
      <c r="BD835" t="inlineStr">
        <is>
          <t>893443286</t>
        </is>
      </c>
    </row>
    <row r="836">
      <c r="A836" t="inlineStr">
        <is>
          <t>No</t>
        </is>
      </c>
      <c r="B836" t="inlineStr">
        <is>
          <t>LB1584 .S47 1982</t>
        </is>
      </c>
      <c r="C836" t="inlineStr">
        <is>
          <t>0                      LB 1584000S  47          1982</t>
        </is>
      </c>
      <c r="D836" t="inlineStr">
        <is>
          <t>Role playing in the curriculum / Fannie R. Shaftel, George Shaftel.</t>
        </is>
      </c>
      <c r="F836" t="inlineStr">
        <is>
          <t>No</t>
        </is>
      </c>
      <c r="G836" t="inlineStr">
        <is>
          <t>1</t>
        </is>
      </c>
      <c r="H836" t="inlineStr">
        <is>
          <t>No</t>
        </is>
      </c>
      <c r="I836" t="inlineStr">
        <is>
          <t>No</t>
        </is>
      </c>
      <c r="J836" t="inlineStr">
        <is>
          <t>0</t>
        </is>
      </c>
      <c r="K836" t="inlineStr">
        <is>
          <t>Shaftel, Fannie R.</t>
        </is>
      </c>
      <c r="L836" t="inlineStr">
        <is>
          <t>Englewood Cliffs, N.J. : Prentice-Hall, c1982.</t>
        </is>
      </c>
      <c r="M836" t="inlineStr">
        <is>
          <t>1982</t>
        </is>
      </c>
      <c r="N836" t="inlineStr">
        <is>
          <t>2nd ed.</t>
        </is>
      </c>
      <c r="O836" t="inlineStr">
        <is>
          <t>eng</t>
        </is>
      </c>
      <c r="P836" t="inlineStr">
        <is>
          <t>nju</t>
        </is>
      </c>
      <c r="R836" t="inlineStr">
        <is>
          <t xml:space="preserve">LB </t>
        </is>
      </c>
      <c r="S836" t="n">
        <v>3</v>
      </c>
      <c r="T836" t="n">
        <v>3</v>
      </c>
      <c r="U836" t="inlineStr">
        <is>
          <t>2006-09-01</t>
        </is>
      </c>
      <c r="V836" t="inlineStr">
        <is>
          <t>2006-09-01</t>
        </is>
      </c>
      <c r="W836" t="inlineStr">
        <is>
          <t>1992-03-13</t>
        </is>
      </c>
      <c r="X836" t="inlineStr">
        <is>
          <t>1992-03-13</t>
        </is>
      </c>
      <c r="Y836" t="n">
        <v>523</v>
      </c>
      <c r="Z836" t="n">
        <v>451</v>
      </c>
      <c r="AA836" t="n">
        <v>457</v>
      </c>
      <c r="AB836" t="n">
        <v>9</v>
      </c>
      <c r="AC836" t="n">
        <v>9</v>
      </c>
      <c r="AD836" t="n">
        <v>22</v>
      </c>
      <c r="AE836" t="n">
        <v>22</v>
      </c>
      <c r="AF836" t="n">
        <v>7</v>
      </c>
      <c r="AG836" t="n">
        <v>7</v>
      </c>
      <c r="AH836" t="n">
        <v>3</v>
      </c>
      <c r="AI836" t="n">
        <v>3</v>
      </c>
      <c r="AJ836" t="n">
        <v>9</v>
      </c>
      <c r="AK836" t="n">
        <v>9</v>
      </c>
      <c r="AL836" t="n">
        <v>8</v>
      </c>
      <c r="AM836" t="n">
        <v>8</v>
      </c>
      <c r="AN836" t="n">
        <v>0</v>
      </c>
      <c r="AO836" t="n">
        <v>0</v>
      </c>
      <c r="AP836" t="inlineStr">
        <is>
          <t>No</t>
        </is>
      </c>
      <c r="AQ836" t="inlineStr">
        <is>
          <t>Yes</t>
        </is>
      </c>
      <c r="AR836">
        <f>HYPERLINK("http://catalog.hathitrust.org/Record/000307564","HathiTrust Record")</f>
        <v/>
      </c>
      <c r="AS836">
        <f>HYPERLINK("https://creighton-primo.hosted.exlibrisgroup.com/primo-explore/search?tab=default_tab&amp;search_scope=EVERYTHING&amp;vid=01CRU&amp;lang=en_US&amp;offset=0&amp;query=any,contains,991005126689702656","Catalog Record")</f>
        <v/>
      </c>
      <c r="AT836">
        <f>HYPERLINK("http://www.worldcat.org/oclc/7553956","WorldCat Record")</f>
        <v/>
      </c>
      <c r="AU836" t="inlineStr">
        <is>
          <t>28564881:eng</t>
        </is>
      </c>
      <c r="AV836" t="inlineStr">
        <is>
          <t>7553956</t>
        </is>
      </c>
      <c r="AW836" t="inlineStr">
        <is>
          <t>991005126689702656</t>
        </is>
      </c>
      <c r="AX836" t="inlineStr">
        <is>
          <t>991005126689702656</t>
        </is>
      </c>
      <c r="AY836" t="inlineStr">
        <is>
          <t>2265169350002656</t>
        </is>
      </c>
      <c r="AZ836" t="inlineStr">
        <is>
          <t>BOOK</t>
        </is>
      </c>
      <c r="BB836" t="inlineStr">
        <is>
          <t>9780137824823</t>
        </is>
      </c>
      <c r="BC836" t="inlineStr">
        <is>
          <t>32285000999531</t>
        </is>
      </c>
      <c r="BD836" t="inlineStr">
        <is>
          <t>893719820</t>
        </is>
      </c>
    </row>
    <row r="837">
      <c r="A837" t="inlineStr">
        <is>
          <t>No</t>
        </is>
      </c>
      <c r="B837" t="inlineStr">
        <is>
          <t>LB1585 .C37 1985</t>
        </is>
      </c>
      <c r="C837" t="inlineStr">
        <is>
          <t>0                      LB 1585000C  37          1985</t>
        </is>
      </c>
      <c r="D837" t="inlineStr">
        <is>
          <t>Teaching science through discovery / Arthur A. Carin, Robert B. Sund.</t>
        </is>
      </c>
      <c r="F837" t="inlineStr">
        <is>
          <t>No</t>
        </is>
      </c>
      <c r="G837" t="inlineStr">
        <is>
          <t>1</t>
        </is>
      </c>
      <c r="H837" t="inlineStr">
        <is>
          <t>No</t>
        </is>
      </c>
      <c r="I837" t="inlineStr">
        <is>
          <t>No</t>
        </is>
      </c>
      <c r="J837" t="inlineStr">
        <is>
          <t>0</t>
        </is>
      </c>
      <c r="K837" t="inlineStr">
        <is>
          <t>Carin, Arthur A.</t>
        </is>
      </c>
      <c r="L837" t="inlineStr">
        <is>
          <t>Columbus : Merrill, c1985.</t>
        </is>
      </c>
      <c r="M837" t="inlineStr">
        <is>
          <t>1985</t>
        </is>
      </c>
      <c r="N837" t="inlineStr">
        <is>
          <t>5th ed.</t>
        </is>
      </c>
      <c r="O837" t="inlineStr">
        <is>
          <t>eng</t>
        </is>
      </c>
      <c r="P837" t="inlineStr">
        <is>
          <t>ohu</t>
        </is>
      </c>
      <c r="R837" t="inlineStr">
        <is>
          <t xml:space="preserve">LB </t>
        </is>
      </c>
      <c r="S837" t="n">
        <v>8</v>
      </c>
      <c r="T837" t="n">
        <v>8</v>
      </c>
      <c r="U837" t="inlineStr">
        <is>
          <t>1995-09-01</t>
        </is>
      </c>
      <c r="V837" t="inlineStr">
        <is>
          <t>1995-09-01</t>
        </is>
      </c>
      <c r="W837" t="inlineStr">
        <is>
          <t>1990-04-04</t>
        </is>
      </c>
      <c r="X837" t="inlineStr">
        <is>
          <t>1990-04-04</t>
        </is>
      </c>
      <c r="Y837" t="n">
        <v>190</v>
      </c>
      <c r="Z837" t="n">
        <v>146</v>
      </c>
      <c r="AA837" t="n">
        <v>777</v>
      </c>
      <c r="AB837" t="n">
        <v>1</v>
      </c>
      <c r="AC837" t="n">
        <v>8</v>
      </c>
      <c r="AD837" t="n">
        <v>2</v>
      </c>
      <c r="AE837" t="n">
        <v>32</v>
      </c>
      <c r="AF837" t="n">
        <v>0</v>
      </c>
      <c r="AG837" t="n">
        <v>10</v>
      </c>
      <c r="AH837" t="n">
        <v>1</v>
      </c>
      <c r="AI837" t="n">
        <v>7</v>
      </c>
      <c r="AJ837" t="n">
        <v>1</v>
      </c>
      <c r="AK837" t="n">
        <v>13</v>
      </c>
      <c r="AL837" t="n">
        <v>0</v>
      </c>
      <c r="AM837" t="n">
        <v>7</v>
      </c>
      <c r="AN837" t="n">
        <v>0</v>
      </c>
      <c r="AO837" t="n">
        <v>0</v>
      </c>
      <c r="AP837" t="inlineStr">
        <is>
          <t>No</t>
        </is>
      </c>
      <c r="AQ837" t="inlineStr">
        <is>
          <t>Yes</t>
        </is>
      </c>
      <c r="AR837">
        <f>HYPERLINK("http://catalog.hathitrust.org/Record/008326956","HathiTrust Record")</f>
        <v/>
      </c>
      <c r="AS837">
        <f>HYPERLINK("https://creighton-primo.hosted.exlibrisgroup.com/primo-explore/search?tab=default_tab&amp;search_scope=EVERYTHING&amp;vid=01CRU&amp;lang=en_US&amp;offset=0&amp;query=any,contains,991000569779702656","Catalog Record")</f>
        <v/>
      </c>
      <c r="AT837">
        <f>HYPERLINK("http://www.worldcat.org/oclc/11638127","WorldCat Record")</f>
        <v/>
      </c>
      <c r="AU837" t="inlineStr">
        <is>
          <t>1255875:eng</t>
        </is>
      </c>
      <c r="AV837" t="inlineStr">
        <is>
          <t>11638127</t>
        </is>
      </c>
      <c r="AW837" t="inlineStr">
        <is>
          <t>991000569779702656</t>
        </is>
      </c>
      <c r="AX837" t="inlineStr">
        <is>
          <t>991000569779702656</t>
        </is>
      </c>
      <c r="AY837" t="inlineStr">
        <is>
          <t>2258381930002656</t>
        </is>
      </c>
      <c r="AZ837" t="inlineStr">
        <is>
          <t>BOOK</t>
        </is>
      </c>
      <c r="BB837" t="inlineStr">
        <is>
          <t>9780675203876</t>
        </is>
      </c>
      <c r="BC837" t="inlineStr">
        <is>
          <t>32285000109594</t>
        </is>
      </c>
      <c r="BD837" t="inlineStr">
        <is>
          <t>893608048</t>
        </is>
      </c>
    </row>
    <row r="838">
      <c r="A838" t="inlineStr">
        <is>
          <t>No</t>
        </is>
      </c>
      <c r="B838" t="inlineStr">
        <is>
          <t>LB1585 .C38 1985</t>
        </is>
      </c>
      <c r="C838" t="inlineStr">
        <is>
          <t>0                      LB 1585000C  38          1985</t>
        </is>
      </c>
      <c r="D838" t="inlineStr">
        <is>
          <t>Teaching modern science / Arthur A. Carin, Robert B. Sund.</t>
        </is>
      </c>
      <c r="F838" t="inlineStr">
        <is>
          <t>No</t>
        </is>
      </c>
      <c r="G838" t="inlineStr">
        <is>
          <t>1</t>
        </is>
      </c>
      <c r="H838" t="inlineStr">
        <is>
          <t>No</t>
        </is>
      </c>
      <c r="I838" t="inlineStr">
        <is>
          <t>No</t>
        </is>
      </c>
      <c r="J838" t="inlineStr">
        <is>
          <t>0</t>
        </is>
      </c>
      <c r="K838" t="inlineStr">
        <is>
          <t>Carin, Arthur A.</t>
        </is>
      </c>
      <c r="L838" t="inlineStr">
        <is>
          <t>Columbus, Ohio : C. E. Merrill, c1985.</t>
        </is>
      </c>
      <c r="M838" t="inlineStr">
        <is>
          <t>1985</t>
        </is>
      </c>
      <c r="N838" t="inlineStr">
        <is>
          <t>4th ed.</t>
        </is>
      </c>
      <c r="O838" t="inlineStr">
        <is>
          <t>eng</t>
        </is>
      </c>
      <c r="P838" t="inlineStr">
        <is>
          <t>ohu</t>
        </is>
      </c>
      <c r="R838" t="inlineStr">
        <is>
          <t xml:space="preserve">LB </t>
        </is>
      </c>
      <c r="S838" t="n">
        <v>3</v>
      </c>
      <c r="T838" t="n">
        <v>3</v>
      </c>
      <c r="U838" t="inlineStr">
        <is>
          <t>1993-03-31</t>
        </is>
      </c>
      <c r="V838" t="inlineStr">
        <is>
          <t>1993-03-31</t>
        </is>
      </c>
      <c r="W838" t="inlineStr">
        <is>
          <t>1993-01-28</t>
        </is>
      </c>
      <c r="X838" t="inlineStr">
        <is>
          <t>1993-01-28</t>
        </is>
      </c>
      <c r="Y838" t="n">
        <v>135</v>
      </c>
      <c r="Z838" t="n">
        <v>99</v>
      </c>
      <c r="AA838" t="n">
        <v>421</v>
      </c>
      <c r="AB838" t="n">
        <v>1</v>
      </c>
      <c r="AC838" t="n">
        <v>4</v>
      </c>
      <c r="AD838" t="n">
        <v>3</v>
      </c>
      <c r="AE838" t="n">
        <v>11</v>
      </c>
      <c r="AF838" t="n">
        <v>0</v>
      </c>
      <c r="AG838" t="n">
        <v>4</v>
      </c>
      <c r="AH838" t="n">
        <v>1</v>
      </c>
      <c r="AI838" t="n">
        <v>1</v>
      </c>
      <c r="AJ838" t="n">
        <v>3</v>
      </c>
      <c r="AK838" t="n">
        <v>7</v>
      </c>
      <c r="AL838" t="n">
        <v>0</v>
      </c>
      <c r="AM838" t="n">
        <v>2</v>
      </c>
      <c r="AN838" t="n">
        <v>0</v>
      </c>
      <c r="AO838" t="n">
        <v>0</v>
      </c>
      <c r="AP838" t="inlineStr">
        <is>
          <t>No</t>
        </is>
      </c>
      <c r="AQ838" t="inlineStr">
        <is>
          <t>No</t>
        </is>
      </c>
      <c r="AS838">
        <f>HYPERLINK("https://creighton-primo.hosted.exlibrisgroup.com/primo-explore/search?tab=default_tab&amp;search_scope=EVERYTHING&amp;vid=01CRU&amp;lang=en_US&amp;offset=0&amp;query=any,contains,991000569799702656","Catalog Record")</f>
        <v/>
      </c>
      <c r="AT838">
        <f>HYPERLINK("http://www.worldcat.org/oclc/11638160","WorldCat Record")</f>
        <v/>
      </c>
      <c r="AU838" t="inlineStr">
        <is>
          <t>1254317:eng</t>
        </is>
      </c>
      <c r="AV838" t="inlineStr">
        <is>
          <t>11638160</t>
        </is>
      </c>
      <c r="AW838" t="inlineStr">
        <is>
          <t>991000569799702656</t>
        </is>
      </c>
      <c r="AX838" t="inlineStr">
        <is>
          <t>991000569799702656</t>
        </is>
      </c>
      <c r="AY838" t="inlineStr">
        <is>
          <t>2258405330002656</t>
        </is>
      </c>
      <c r="AZ838" t="inlineStr">
        <is>
          <t>BOOK</t>
        </is>
      </c>
      <c r="BB838" t="inlineStr">
        <is>
          <t>9780675202213</t>
        </is>
      </c>
      <c r="BC838" t="inlineStr">
        <is>
          <t>32285001479822</t>
        </is>
      </c>
      <c r="BD838" t="inlineStr">
        <is>
          <t>893601863</t>
        </is>
      </c>
    </row>
    <row r="839">
      <c r="A839" t="inlineStr">
        <is>
          <t>No</t>
        </is>
      </c>
      <c r="B839" t="inlineStr">
        <is>
          <t>LB1585 .H27 2006</t>
        </is>
      </c>
      <c r="C839" t="inlineStr">
        <is>
          <t>0                      LB 1585000H  27          2006</t>
        </is>
      </c>
      <c r="D839" t="inlineStr">
        <is>
          <t>8 essentials of inquiry-based science, K-8 / Elizabeth Hammerman ; foreword by Robert E. Yager.</t>
        </is>
      </c>
      <c r="F839" t="inlineStr">
        <is>
          <t>No</t>
        </is>
      </c>
      <c r="G839" t="inlineStr">
        <is>
          <t>1</t>
        </is>
      </c>
      <c r="H839" t="inlineStr">
        <is>
          <t>No</t>
        </is>
      </c>
      <c r="I839" t="inlineStr">
        <is>
          <t>No</t>
        </is>
      </c>
      <c r="J839" t="inlineStr">
        <is>
          <t>0</t>
        </is>
      </c>
      <c r="K839" t="inlineStr">
        <is>
          <t>Hammerman, Elizabeth L.</t>
        </is>
      </c>
      <c r="L839" t="inlineStr">
        <is>
          <t>Thousand Oaks, Calif. : Corwin Press, c2006.</t>
        </is>
      </c>
      <c r="M839" t="inlineStr">
        <is>
          <t>2006</t>
        </is>
      </c>
      <c r="O839" t="inlineStr">
        <is>
          <t>eng</t>
        </is>
      </c>
      <c r="P839" t="inlineStr">
        <is>
          <t>cau</t>
        </is>
      </c>
      <c r="R839" t="inlineStr">
        <is>
          <t xml:space="preserve">LB </t>
        </is>
      </c>
      <c r="S839" t="n">
        <v>2</v>
      </c>
      <c r="T839" t="n">
        <v>2</v>
      </c>
      <c r="U839" t="inlineStr">
        <is>
          <t>2008-11-26</t>
        </is>
      </c>
      <c r="V839" t="inlineStr">
        <is>
          <t>2008-11-26</t>
        </is>
      </c>
      <c r="W839" t="inlineStr">
        <is>
          <t>2006-02-28</t>
        </is>
      </c>
      <c r="X839" t="inlineStr">
        <is>
          <t>2006-02-28</t>
        </is>
      </c>
      <c r="Y839" t="n">
        <v>289</v>
      </c>
      <c r="Z839" t="n">
        <v>231</v>
      </c>
      <c r="AA839" t="n">
        <v>236</v>
      </c>
      <c r="AB839" t="n">
        <v>4</v>
      </c>
      <c r="AC839" t="n">
        <v>4</v>
      </c>
      <c r="AD839" t="n">
        <v>10</v>
      </c>
      <c r="AE839" t="n">
        <v>10</v>
      </c>
      <c r="AF839" t="n">
        <v>4</v>
      </c>
      <c r="AG839" t="n">
        <v>4</v>
      </c>
      <c r="AH839" t="n">
        <v>1</v>
      </c>
      <c r="AI839" t="n">
        <v>1</v>
      </c>
      <c r="AJ839" t="n">
        <v>5</v>
      </c>
      <c r="AK839" t="n">
        <v>5</v>
      </c>
      <c r="AL839" t="n">
        <v>3</v>
      </c>
      <c r="AM839" t="n">
        <v>3</v>
      </c>
      <c r="AN839" t="n">
        <v>0</v>
      </c>
      <c r="AO839" t="n">
        <v>0</v>
      </c>
      <c r="AP839" t="inlineStr">
        <is>
          <t>No</t>
        </is>
      </c>
      <c r="AQ839" t="inlineStr">
        <is>
          <t>No</t>
        </is>
      </c>
      <c r="AS839">
        <f>HYPERLINK("https://creighton-primo.hosted.exlibrisgroup.com/primo-explore/search?tab=default_tab&amp;search_scope=EVERYTHING&amp;vid=01CRU&amp;lang=en_US&amp;offset=0&amp;query=any,contains,991004752949702656","Catalog Record")</f>
        <v/>
      </c>
      <c r="AT839">
        <f>HYPERLINK("http://www.worldcat.org/oclc/58431817","WorldCat Record")</f>
        <v/>
      </c>
      <c r="AU839" t="inlineStr">
        <is>
          <t>1098097:eng</t>
        </is>
      </c>
      <c r="AV839" t="inlineStr">
        <is>
          <t>58431817</t>
        </is>
      </c>
      <c r="AW839" t="inlineStr">
        <is>
          <t>991004752949702656</t>
        </is>
      </c>
      <c r="AX839" t="inlineStr">
        <is>
          <t>991004752949702656</t>
        </is>
      </c>
      <c r="AY839" t="inlineStr">
        <is>
          <t>2258363060002656</t>
        </is>
      </c>
      <c r="AZ839" t="inlineStr">
        <is>
          <t>BOOK</t>
        </is>
      </c>
      <c r="BB839" t="inlineStr">
        <is>
          <t>9781412914987</t>
        </is>
      </c>
      <c r="BC839" t="inlineStr">
        <is>
          <t>32285005167845</t>
        </is>
      </c>
      <c r="BD839" t="inlineStr">
        <is>
          <t>893338096</t>
        </is>
      </c>
    </row>
    <row r="840">
      <c r="A840" t="inlineStr">
        <is>
          <t>No</t>
        </is>
      </c>
      <c r="B840" t="inlineStr">
        <is>
          <t>LB1585 .N44 2002</t>
        </is>
      </c>
      <c r="C840" t="inlineStr">
        <is>
          <t>0                      LB 1585000N  44          2002</t>
        </is>
      </c>
      <c r="D840" t="inlineStr">
        <is>
          <t>Talking sense in science : helping children understand through talk / Douglas P. Newton.</t>
        </is>
      </c>
      <c r="F840" t="inlineStr">
        <is>
          <t>No</t>
        </is>
      </c>
      <c r="G840" t="inlineStr">
        <is>
          <t>1</t>
        </is>
      </c>
      <c r="H840" t="inlineStr">
        <is>
          <t>No</t>
        </is>
      </c>
      <c r="I840" t="inlineStr">
        <is>
          <t>No</t>
        </is>
      </c>
      <c r="J840" t="inlineStr">
        <is>
          <t>0</t>
        </is>
      </c>
      <c r="K840" t="inlineStr">
        <is>
          <t>Newton, Douglas P.</t>
        </is>
      </c>
      <c r="L840" t="inlineStr">
        <is>
          <t>London ; New York : Routledge/Falmer, 2002.</t>
        </is>
      </c>
      <c r="M840" t="inlineStr">
        <is>
          <t>2002</t>
        </is>
      </c>
      <c r="O840" t="inlineStr">
        <is>
          <t>eng</t>
        </is>
      </c>
      <c r="P840" t="inlineStr">
        <is>
          <t>enk</t>
        </is>
      </c>
      <c r="R840" t="inlineStr">
        <is>
          <t xml:space="preserve">LB </t>
        </is>
      </c>
      <c r="S840" t="n">
        <v>1</v>
      </c>
      <c r="T840" t="n">
        <v>1</v>
      </c>
      <c r="U840" t="inlineStr">
        <is>
          <t>2003-06-11</t>
        </is>
      </c>
      <c r="V840" t="inlineStr">
        <is>
          <t>2003-06-11</t>
        </is>
      </c>
      <c r="W840" t="inlineStr">
        <is>
          <t>2003-06-11</t>
        </is>
      </c>
      <c r="X840" t="inlineStr">
        <is>
          <t>2003-06-11</t>
        </is>
      </c>
      <c r="Y840" t="n">
        <v>605</v>
      </c>
      <c r="Z840" t="n">
        <v>526</v>
      </c>
      <c r="AA840" t="n">
        <v>895</v>
      </c>
      <c r="AB840" t="n">
        <v>4</v>
      </c>
      <c r="AC840" t="n">
        <v>28</v>
      </c>
      <c r="AD840" t="n">
        <v>26</v>
      </c>
      <c r="AE840" t="n">
        <v>39</v>
      </c>
      <c r="AF840" t="n">
        <v>16</v>
      </c>
      <c r="AG840" t="n">
        <v>18</v>
      </c>
      <c r="AH840" t="n">
        <v>3</v>
      </c>
      <c r="AI840" t="n">
        <v>3</v>
      </c>
      <c r="AJ840" t="n">
        <v>12</v>
      </c>
      <c r="AK840" t="n">
        <v>12</v>
      </c>
      <c r="AL840" t="n">
        <v>2</v>
      </c>
      <c r="AM840" t="n">
        <v>13</v>
      </c>
      <c r="AN840" t="n">
        <v>0</v>
      </c>
      <c r="AO840" t="n">
        <v>0</v>
      </c>
      <c r="AP840" t="inlineStr">
        <is>
          <t>No</t>
        </is>
      </c>
      <c r="AQ840" t="inlineStr">
        <is>
          <t>No</t>
        </is>
      </c>
      <c r="AS840">
        <f>HYPERLINK("https://creighton-primo.hosted.exlibrisgroup.com/primo-explore/search?tab=default_tab&amp;search_scope=EVERYTHING&amp;vid=01CRU&amp;lang=en_US&amp;offset=0&amp;query=any,contains,991004053259702656","Catalog Record")</f>
        <v/>
      </c>
      <c r="AT840">
        <f>HYPERLINK("http://www.worldcat.org/oclc/46937538","WorldCat Record")</f>
        <v/>
      </c>
      <c r="AU840" t="inlineStr">
        <is>
          <t>800499437:eng</t>
        </is>
      </c>
      <c r="AV840" t="inlineStr">
        <is>
          <t>46937538</t>
        </is>
      </c>
      <c r="AW840" t="inlineStr">
        <is>
          <t>991004053259702656</t>
        </is>
      </c>
      <c r="AX840" t="inlineStr">
        <is>
          <t>991004053259702656</t>
        </is>
      </c>
      <c r="AY840" t="inlineStr">
        <is>
          <t>2266691820002656</t>
        </is>
      </c>
      <c r="AZ840" t="inlineStr">
        <is>
          <t>BOOK</t>
        </is>
      </c>
      <c r="BB840" t="inlineStr">
        <is>
          <t>9780415253512</t>
        </is>
      </c>
      <c r="BC840" t="inlineStr">
        <is>
          <t>32285004751854</t>
        </is>
      </c>
      <c r="BD840" t="inlineStr">
        <is>
          <t>893875623</t>
        </is>
      </c>
    </row>
    <row r="841">
      <c r="A841" t="inlineStr">
        <is>
          <t>No</t>
        </is>
      </c>
      <c r="B841" t="inlineStr">
        <is>
          <t>LB1585 .P75 2001</t>
        </is>
      </c>
      <c r="C841" t="inlineStr">
        <is>
          <t>0                      LB 1585000P  75          2001</t>
        </is>
      </c>
      <c r="D841" t="inlineStr">
        <is>
          <t>Primary science : taking the plunge / Wynne Harlen with chapters by Jos Elstgeest and Sheila Jelly.</t>
        </is>
      </c>
      <c r="F841" t="inlineStr">
        <is>
          <t>No</t>
        </is>
      </c>
      <c r="G841" t="inlineStr">
        <is>
          <t>1</t>
        </is>
      </c>
      <c r="H841" t="inlineStr">
        <is>
          <t>No</t>
        </is>
      </c>
      <c r="I841" t="inlineStr">
        <is>
          <t>No</t>
        </is>
      </c>
      <c r="J841" t="inlineStr">
        <is>
          <t>0</t>
        </is>
      </c>
      <c r="K841" t="inlineStr">
        <is>
          <t>Harlen, Wynne.</t>
        </is>
      </c>
      <c r="L841" t="inlineStr">
        <is>
          <t>Portsmouth, NH : Heinemann, c2001.</t>
        </is>
      </c>
      <c r="M841" t="inlineStr">
        <is>
          <t>2001</t>
        </is>
      </c>
      <c r="N841" t="inlineStr">
        <is>
          <t>2nd ed.</t>
        </is>
      </c>
      <c r="O841" t="inlineStr">
        <is>
          <t>eng</t>
        </is>
      </c>
      <c r="P841" t="inlineStr">
        <is>
          <t>nhu</t>
        </is>
      </c>
      <c r="R841" t="inlineStr">
        <is>
          <t xml:space="preserve">LB </t>
        </is>
      </c>
      <c r="S841" t="n">
        <v>1</v>
      </c>
      <c r="T841" t="n">
        <v>1</v>
      </c>
      <c r="U841" t="inlineStr">
        <is>
          <t>2002-10-01</t>
        </is>
      </c>
      <c r="V841" t="inlineStr">
        <is>
          <t>2002-10-01</t>
        </is>
      </c>
      <c r="W841" t="inlineStr">
        <is>
          <t>2002-10-01</t>
        </is>
      </c>
      <c r="X841" t="inlineStr">
        <is>
          <t>2002-10-01</t>
        </is>
      </c>
      <c r="Y841" t="n">
        <v>315</v>
      </c>
      <c r="Z841" t="n">
        <v>265</v>
      </c>
      <c r="AA841" t="n">
        <v>469</v>
      </c>
      <c r="AB841" t="n">
        <v>2</v>
      </c>
      <c r="AC841" t="n">
        <v>4</v>
      </c>
      <c r="AD841" t="n">
        <v>6</v>
      </c>
      <c r="AE841" t="n">
        <v>16</v>
      </c>
      <c r="AF841" t="n">
        <v>1</v>
      </c>
      <c r="AG841" t="n">
        <v>6</v>
      </c>
      <c r="AH841" t="n">
        <v>1</v>
      </c>
      <c r="AI841" t="n">
        <v>3</v>
      </c>
      <c r="AJ841" t="n">
        <v>5</v>
      </c>
      <c r="AK841" t="n">
        <v>8</v>
      </c>
      <c r="AL841" t="n">
        <v>1</v>
      </c>
      <c r="AM841" t="n">
        <v>3</v>
      </c>
      <c r="AN841" t="n">
        <v>0</v>
      </c>
      <c r="AO841" t="n">
        <v>0</v>
      </c>
      <c r="AP841" t="inlineStr">
        <is>
          <t>No</t>
        </is>
      </c>
      <c r="AQ841" t="inlineStr">
        <is>
          <t>Yes</t>
        </is>
      </c>
      <c r="AR841">
        <f>HYPERLINK("http://catalog.hathitrust.org/Record/004207361","HathiTrust Record")</f>
        <v/>
      </c>
      <c r="AS841">
        <f>HYPERLINK("https://creighton-primo.hosted.exlibrisgroup.com/primo-explore/search?tab=default_tab&amp;search_scope=EVERYTHING&amp;vid=01CRU&amp;lang=en_US&amp;offset=0&amp;query=any,contains,991003878959702656","Catalog Record")</f>
        <v/>
      </c>
      <c r="AT841">
        <f>HYPERLINK("http://www.worldcat.org/oclc/47225070","WorldCat Record")</f>
        <v/>
      </c>
      <c r="AU841" t="inlineStr">
        <is>
          <t>355876162:eng</t>
        </is>
      </c>
      <c r="AV841" t="inlineStr">
        <is>
          <t>47225070</t>
        </is>
      </c>
      <c r="AW841" t="inlineStr">
        <is>
          <t>991003878959702656</t>
        </is>
      </c>
      <c r="AX841" t="inlineStr">
        <is>
          <t>991003878959702656</t>
        </is>
      </c>
      <c r="AY841" t="inlineStr">
        <is>
          <t>2265621110002656</t>
        </is>
      </c>
      <c r="AZ841" t="inlineStr">
        <is>
          <t>BOOK</t>
        </is>
      </c>
      <c r="BB841" t="inlineStr">
        <is>
          <t>9780325003863</t>
        </is>
      </c>
      <c r="BC841" t="inlineStr">
        <is>
          <t>32285004650528</t>
        </is>
      </c>
      <c r="BD841" t="inlineStr">
        <is>
          <t>893617901</t>
        </is>
      </c>
    </row>
    <row r="842">
      <c r="A842" t="inlineStr">
        <is>
          <t>No</t>
        </is>
      </c>
      <c r="B842" t="inlineStr">
        <is>
          <t>LB1585 .S27 2001</t>
        </is>
      </c>
      <c r="C842" t="inlineStr">
        <is>
          <t>0                      LB 1585000S  27          2001</t>
        </is>
      </c>
      <c r="D842" t="inlineStr">
        <is>
          <t>Science to go : fact and fiction learning packs / Judy Sauerteig.</t>
        </is>
      </c>
      <c r="F842" t="inlineStr">
        <is>
          <t>No</t>
        </is>
      </c>
      <c r="G842" t="inlineStr">
        <is>
          <t>1</t>
        </is>
      </c>
      <c r="H842" t="inlineStr">
        <is>
          <t>No</t>
        </is>
      </c>
      <c r="I842" t="inlineStr">
        <is>
          <t>No</t>
        </is>
      </c>
      <c r="J842" t="inlineStr">
        <is>
          <t>0</t>
        </is>
      </c>
      <c r="K842" t="inlineStr">
        <is>
          <t>Sauerteig, Judy.</t>
        </is>
      </c>
      <c r="L842" t="inlineStr">
        <is>
          <t>Englewood, CO : Libraries Unlimited, 2001.</t>
        </is>
      </c>
      <c r="M842" t="inlineStr">
        <is>
          <t>2001</t>
        </is>
      </c>
      <c r="O842" t="inlineStr">
        <is>
          <t>eng</t>
        </is>
      </c>
      <c r="P842" t="inlineStr">
        <is>
          <t>cou</t>
        </is>
      </c>
      <c r="R842" t="inlineStr">
        <is>
          <t xml:space="preserve">LB </t>
        </is>
      </c>
      <c r="S842" t="n">
        <v>1</v>
      </c>
      <c r="T842" t="n">
        <v>1</v>
      </c>
      <c r="U842" t="inlineStr">
        <is>
          <t>2001-09-27</t>
        </is>
      </c>
      <c r="V842" t="inlineStr">
        <is>
          <t>2001-09-27</t>
        </is>
      </c>
      <c r="W842" t="inlineStr">
        <is>
          <t>2001-09-27</t>
        </is>
      </c>
      <c r="X842" t="inlineStr">
        <is>
          <t>2001-09-27</t>
        </is>
      </c>
      <c r="Y842" t="n">
        <v>144</v>
      </c>
      <c r="Z842" t="n">
        <v>131</v>
      </c>
      <c r="AA842" t="n">
        <v>826</v>
      </c>
      <c r="AB842" t="n">
        <v>2</v>
      </c>
      <c r="AC842" t="n">
        <v>27</v>
      </c>
      <c r="AD842" t="n">
        <v>4</v>
      </c>
      <c r="AE842" t="n">
        <v>28</v>
      </c>
      <c r="AF842" t="n">
        <v>1</v>
      </c>
      <c r="AG842" t="n">
        <v>9</v>
      </c>
      <c r="AH842" t="n">
        <v>0</v>
      </c>
      <c r="AI842" t="n">
        <v>3</v>
      </c>
      <c r="AJ842" t="n">
        <v>3</v>
      </c>
      <c r="AK842" t="n">
        <v>10</v>
      </c>
      <c r="AL842" t="n">
        <v>1</v>
      </c>
      <c r="AM842" t="n">
        <v>12</v>
      </c>
      <c r="AN842" t="n">
        <v>0</v>
      </c>
      <c r="AO842" t="n">
        <v>0</v>
      </c>
      <c r="AP842" t="inlineStr">
        <is>
          <t>No</t>
        </is>
      </c>
      <c r="AQ842" t="inlineStr">
        <is>
          <t>No</t>
        </is>
      </c>
      <c r="AS842">
        <f>HYPERLINK("https://creighton-primo.hosted.exlibrisgroup.com/primo-explore/search?tab=default_tab&amp;search_scope=EVERYTHING&amp;vid=01CRU&amp;lang=en_US&amp;offset=0&amp;query=any,contains,991003609289702656","Catalog Record")</f>
        <v/>
      </c>
      <c r="AT842">
        <f>HYPERLINK("http://www.worldcat.org/oclc/45208016","WorldCat Record")</f>
        <v/>
      </c>
      <c r="AU842" t="inlineStr">
        <is>
          <t>800362053:eng</t>
        </is>
      </c>
      <c r="AV842" t="inlineStr">
        <is>
          <t>45208016</t>
        </is>
      </c>
      <c r="AW842" t="inlineStr">
        <is>
          <t>991003609289702656</t>
        </is>
      </c>
      <c r="AX842" t="inlineStr">
        <is>
          <t>991003609289702656</t>
        </is>
      </c>
      <c r="AY842" t="inlineStr">
        <is>
          <t>2258488200002656</t>
        </is>
      </c>
      <c r="AZ842" t="inlineStr">
        <is>
          <t>BOOK</t>
        </is>
      </c>
      <c r="BB842" t="inlineStr">
        <is>
          <t>9781563088445</t>
        </is>
      </c>
      <c r="BC842" t="inlineStr">
        <is>
          <t>32285004393582</t>
        </is>
      </c>
      <c r="BD842" t="inlineStr">
        <is>
          <t>893441481</t>
        </is>
      </c>
    </row>
    <row r="843">
      <c r="A843" t="inlineStr">
        <is>
          <t>No</t>
        </is>
      </c>
      <c r="B843" t="inlineStr">
        <is>
          <t>LB1585 .T65 1994</t>
        </is>
      </c>
      <c r="C843" t="inlineStr">
        <is>
          <t>0                      LB 1585000T  65          1994</t>
        </is>
      </c>
      <c r="D843" t="inlineStr">
        <is>
          <t>The art and science connection : hands-on activities for intermediate students / Kimberley Tolley.</t>
        </is>
      </c>
      <c r="F843" t="inlineStr">
        <is>
          <t>No</t>
        </is>
      </c>
      <c r="G843" t="inlineStr">
        <is>
          <t>1</t>
        </is>
      </c>
      <c r="H843" t="inlineStr">
        <is>
          <t>No</t>
        </is>
      </c>
      <c r="I843" t="inlineStr">
        <is>
          <t>No</t>
        </is>
      </c>
      <c r="J843" t="inlineStr">
        <is>
          <t>0</t>
        </is>
      </c>
      <c r="K843" t="inlineStr">
        <is>
          <t>Tolley, Kimberley.</t>
        </is>
      </c>
      <c r="L843" t="inlineStr">
        <is>
          <t>Menlo Park, Calif. : Addison-Wesley, c1994.</t>
        </is>
      </c>
      <c r="M843" t="inlineStr">
        <is>
          <t>1994</t>
        </is>
      </c>
      <c r="O843" t="inlineStr">
        <is>
          <t>eng</t>
        </is>
      </c>
      <c r="P843" t="inlineStr">
        <is>
          <t>cau</t>
        </is>
      </c>
      <c r="R843" t="inlineStr">
        <is>
          <t xml:space="preserve">LB </t>
        </is>
      </c>
      <c r="S843" t="n">
        <v>9</v>
      </c>
      <c r="T843" t="n">
        <v>9</v>
      </c>
      <c r="U843" t="inlineStr">
        <is>
          <t>2000-01-19</t>
        </is>
      </c>
      <c r="V843" t="inlineStr">
        <is>
          <t>2000-01-19</t>
        </is>
      </c>
      <c r="W843" t="inlineStr">
        <is>
          <t>1994-05-19</t>
        </is>
      </c>
      <c r="X843" t="inlineStr">
        <is>
          <t>1994-05-19</t>
        </is>
      </c>
      <c r="Y843" t="n">
        <v>203</v>
      </c>
      <c r="Z843" t="n">
        <v>174</v>
      </c>
      <c r="AA843" t="n">
        <v>296</v>
      </c>
      <c r="AB843" t="n">
        <v>3</v>
      </c>
      <c r="AC843" t="n">
        <v>5</v>
      </c>
      <c r="AD843" t="n">
        <v>8</v>
      </c>
      <c r="AE843" t="n">
        <v>11</v>
      </c>
      <c r="AF843" t="n">
        <v>3</v>
      </c>
      <c r="AG843" t="n">
        <v>4</v>
      </c>
      <c r="AH843" t="n">
        <v>2</v>
      </c>
      <c r="AI843" t="n">
        <v>3</v>
      </c>
      <c r="AJ843" t="n">
        <v>3</v>
      </c>
      <c r="AK843" t="n">
        <v>3</v>
      </c>
      <c r="AL843" t="n">
        <v>2</v>
      </c>
      <c r="AM843" t="n">
        <v>4</v>
      </c>
      <c r="AN843" t="n">
        <v>0</v>
      </c>
      <c r="AO843" t="n">
        <v>0</v>
      </c>
      <c r="AP843" t="inlineStr">
        <is>
          <t>No</t>
        </is>
      </c>
      <c r="AQ843" t="inlineStr">
        <is>
          <t>Yes</t>
        </is>
      </c>
      <c r="AR843">
        <f>HYPERLINK("http://catalog.hathitrust.org/Record/101954852","HathiTrust Record")</f>
        <v/>
      </c>
      <c r="AS843">
        <f>HYPERLINK("https://creighton-primo.hosted.exlibrisgroup.com/primo-explore/search?tab=default_tab&amp;search_scope=EVERYTHING&amp;vid=01CRU&amp;lang=en_US&amp;offset=0&amp;query=any,contains,991002304699702656","Catalog Record")</f>
        <v/>
      </c>
      <c r="AT843">
        <f>HYPERLINK("http://www.worldcat.org/oclc/29886586","WorldCat Record")</f>
        <v/>
      </c>
      <c r="AU843" t="inlineStr">
        <is>
          <t>958448215:eng</t>
        </is>
      </c>
      <c r="AV843" t="inlineStr">
        <is>
          <t>29886586</t>
        </is>
      </c>
      <c r="AW843" t="inlineStr">
        <is>
          <t>991002304699702656</t>
        </is>
      </c>
      <c r="AX843" t="inlineStr">
        <is>
          <t>991002304699702656</t>
        </is>
      </c>
      <c r="AY843" t="inlineStr">
        <is>
          <t>2269361650002656</t>
        </is>
      </c>
      <c r="AZ843" t="inlineStr">
        <is>
          <t>BOOK</t>
        </is>
      </c>
      <c r="BB843" t="inlineStr">
        <is>
          <t>9780201455458</t>
        </is>
      </c>
      <c r="BC843" t="inlineStr">
        <is>
          <t>32285001897759</t>
        </is>
      </c>
      <c r="BD843" t="inlineStr">
        <is>
          <t>893352247</t>
        </is>
      </c>
    </row>
    <row r="844">
      <c r="A844" t="inlineStr">
        <is>
          <t>No</t>
        </is>
      </c>
      <c r="B844" t="inlineStr">
        <is>
          <t>LB1585 .V46 1985</t>
        </is>
      </c>
      <c r="C844" t="inlineStr">
        <is>
          <t>0                      LB 1585000V  46          1985</t>
        </is>
      </c>
      <c r="D844" t="inlineStr">
        <is>
          <t>Science for the elementary school / Edward Victor.</t>
        </is>
      </c>
      <c r="F844" t="inlineStr">
        <is>
          <t>No</t>
        </is>
      </c>
      <c r="G844" t="inlineStr">
        <is>
          <t>1</t>
        </is>
      </c>
      <c r="H844" t="inlineStr">
        <is>
          <t>No</t>
        </is>
      </c>
      <c r="I844" t="inlineStr">
        <is>
          <t>No</t>
        </is>
      </c>
      <c r="J844" t="inlineStr">
        <is>
          <t>0</t>
        </is>
      </c>
      <c r="K844" t="inlineStr">
        <is>
          <t>Victor, Edward, 1914-2009.</t>
        </is>
      </c>
      <c r="L844" t="inlineStr">
        <is>
          <t>New York : Macmillan ; London : Collier MacMillan, [1984], c1985.</t>
        </is>
      </c>
      <c r="M844" t="inlineStr">
        <is>
          <t>1984</t>
        </is>
      </c>
      <c r="N844" t="inlineStr">
        <is>
          <t>5th ed.</t>
        </is>
      </c>
      <c r="O844" t="inlineStr">
        <is>
          <t>eng</t>
        </is>
      </c>
      <c r="P844" t="inlineStr">
        <is>
          <t>nyu</t>
        </is>
      </c>
      <c r="R844" t="inlineStr">
        <is>
          <t xml:space="preserve">LB </t>
        </is>
      </c>
      <c r="S844" t="n">
        <v>4</v>
      </c>
      <c r="T844" t="n">
        <v>4</v>
      </c>
      <c r="U844" t="inlineStr">
        <is>
          <t>1996-10-18</t>
        </is>
      </c>
      <c r="V844" t="inlineStr">
        <is>
          <t>1996-10-18</t>
        </is>
      </c>
      <c r="W844" t="inlineStr">
        <is>
          <t>1990-03-19</t>
        </is>
      </c>
      <c r="X844" t="inlineStr">
        <is>
          <t>1990-03-19</t>
        </is>
      </c>
      <c r="Y844" t="n">
        <v>154</v>
      </c>
      <c r="Z844" t="n">
        <v>134</v>
      </c>
      <c r="AA844" t="n">
        <v>755</v>
      </c>
      <c r="AB844" t="n">
        <v>3</v>
      </c>
      <c r="AC844" t="n">
        <v>7</v>
      </c>
      <c r="AD844" t="n">
        <v>4</v>
      </c>
      <c r="AE844" t="n">
        <v>25</v>
      </c>
      <c r="AF844" t="n">
        <v>1</v>
      </c>
      <c r="AG844" t="n">
        <v>7</v>
      </c>
      <c r="AH844" t="n">
        <v>0</v>
      </c>
      <c r="AI844" t="n">
        <v>4</v>
      </c>
      <c r="AJ844" t="n">
        <v>2</v>
      </c>
      <c r="AK844" t="n">
        <v>11</v>
      </c>
      <c r="AL844" t="n">
        <v>2</v>
      </c>
      <c r="AM844" t="n">
        <v>6</v>
      </c>
      <c r="AN844" t="n">
        <v>0</v>
      </c>
      <c r="AO844" t="n">
        <v>0</v>
      </c>
      <c r="AP844" t="inlineStr">
        <is>
          <t>No</t>
        </is>
      </c>
      <c r="AQ844" t="inlineStr">
        <is>
          <t>No</t>
        </is>
      </c>
      <c r="AS844">
        <f>HYPERLINK("https://creighton-primo.hosted.exlibrisgroup.com/primo-explore/search?tab=default_tab&amp;search_scope=EVERYTHING&amp;vid=01CRU&amp;lang=en_US&amp;offset=0&amp;query=any,contains,991000345199702656","Catalog Record")</f>
        <v/>
      </c>
      <c r="AT844">
        <f>HYPERLINK("http://www.worldcat.org/oclc/10277503","WorldCat Record")</f>
        <v/>
      </c>
      <c r="AU844" t="inlineStr">
        <is>
          <t>1146344:eng</t>
        </is>
      </c>
      <c r="AV844" t="inlineStr">
        <is>
          <t>10277503</t>
        </is>
      </c>
      <c r="AW844" t="inlineStr">
        <is>
          <t>991000345199702656</t>
        </is>
      </c>
      <c r="AX844" t="inlineStr">
        <is>
          <t>991000345199702656</t>
        </is>
      </c>
      <c r="AY844" t="inlineStr">
        <is>
          <t>2269158810002656</t>
        </is>
      </c>
      <c r="AZ844" t="inlineStr">
        <is>
          <t>BOOK</t>
        </is>
      </c>
      <c r="BB844" t="inlineStr">
        <is>
          <t>9780024228604</t>
        </is>
      </c>
      <c r="BC844" t="inlineStr">
        <is>
          <t>32285000088087</t>
        </is>
      </c>
      <c r="BD844" t="inlineStr">
        <is>
          <t>893425604</t>
        </is>
      </c>
    </row>
    <row r="845">
      <c r="A845" t="inlineStr">
        <is>
          <t>No</t>
        </is>
      </c>
      <c r="B845" t="inlineStr">
        <is>
          <t>LB1585.3 .C74 1998</t>
        </is>
      </c>
      <c r="C845" t="inlineStr">
        <is>
          <t>0                      LB 1585300C  74          1998</t>
        </is>
      </c>
      <c r="D845" t="inlineStr">
        <is>
          <t>Creating scientific communities in the elementary classroom / Maureen Reddy ... [et al.].</t>
        </is>
      </c>
      <c r="F845" t="inlineStr">
        <is>
          <t>No</t>
        </is>
      </c>
      <c r="G845" t="inlineStr">
        <is>
          <t>1</t>
        </is>
      </c>
      <c r="H845" t="inlineStr">
        <is>
          <t>No</t>
        </is>
      </c>
      <c r="I845" t="inlineStr">
        <is>
          <t>No</t>
        </is>
      </c>
      <c r="J845" t="inlineStr">
        <is>
          <t>0</t>
        </is>
      </c>
      <c r="L845" t="inlineStr">
        <is>
          <t>Portsmouth, NH : Heinemann, c1998.</t>
        </is>
      </c>
      <c r="M845" t="inlineStr">
        <is>
          <t>1998</t>
        </is>
      </c>
      <c r="O845" t="inlineStr">
        <is>
          <t>eng</t>
        </is>
      </c>
      <c r="P845" t="inlineStr">
        <is>
          <t>nhu</t>
        </is>
      </c>
      <c r="R845" t="inlineStr">
        <is>
          <t xml:space="preserve">LB </t>
        </is>
      </c>
      <c r="S845" t="n">
        <v>2</v>
      </c>
      <c r="T845" t="n">
        <v>2</v>
      </c>
      <c r="U845" t="inlineStr">
        <is>
          <t>1998-10-02</t>
        </is>
      </c>
      <c r="V845" t="inlineStr">
        <is>
          <t>1998-10-02</t>
        </is>
      </c>
      <c r="W845" t="inlineStr">
        <is>
          <t>1998-08-31</t>
        </is>
      </c>
      <c r="X845" t="inlineStr">
        <is>
          <t>1998-08-31</t>
        </is>
      </c>
      <c r="Y845" t="n">
        <v>279</v>
      </c>
      <c r="Z845" t="n">
        <v>258</v>
      </c>
      <c r="AA845" t="n">
        <v>263</v>
      </c>
      <c r="AB845" t="n">
        <v>4</v>
      </c>
      <c r="AC845" t="n">
        <v>4</v>
      </c>
      <c r="AD845" t="n">
        <v>16</v>
      </c>
      <c r="AE845" t="n">
        <v>16</v>
      </c>
      <c r="AF845" t="n">
        <v>5</v>
      </c>
      <c r="AG845" t="n">
        <v>5</v>
      </c>
      <c r="AH845" t="n">
        <v>4</v>
      </c>
      <c r="AI845" t="n">
        <v>4</v>
      </c>
      <c r="AJ845" t="n">
        <v>9</v>
      </c>
      <c r="AK845" t="n">
        <v>9</v>
      </c>
      <c r="AL845" t="n">
        <v>3</v>
      </c>
      <c r="AM845" t="n">
        <v>3</v>
      </c>
      <c r="AN845" t="n">
        <v>0</v>
      </c>
      <c r="AO845" t="n">
        <v>0</v>
      </c>
      <c r="AP845" t="inlineStr">
        <is>
          <t>No</t>
        </is>
      </c>
      <c r="AQ845" t="inlineStr">
        <is>
          <t>No</t>
        </is>
      </c>
      <c r="AS845">
        <f>HYPERLINK("https://creighton-primo.hosted.exlibrisgroup.com/primo-explore/search?tab=default_tab&amp;search_scope=EVERYTHING&amp;vid=01CRU&amp;lang=en_US&amp;offset=0&amp;query=any,contains,991002881589702656","Catalog Record")</f>
        <v/>
      </c>
      <c r="AT845">
        <f>HYPERLINK("http://www.worldcat.org/oclc/37976326","WorldCat Record")</f>
        <v/>
      </c>
      <c r="AU845" t="inlineStr">
        <is>
          <t>612823:eng</t>
        </is>
      </c>
      <c r="AV845" t="inlineStr">
        <is>
          <t>37976326</t>
        </is>
      </c>
      <c r="AW845" t="inlineStr">
        <is>
          <t>991002881589702656</t>
        </is>
      </c>
      <c r="AX845" t="inlineStr">
        <is>
          <t>991002881589702656</t>
        </is>
      </c>
      <c r="AY845" t="inlineStr">
        <is>
          <t>2261637430002656</t>
        </is>
      </c>
      <c r="AZ845" t="inlineStr">
        <is>
          <t>BOOK</t>
        </is>
      </c>
      <c r="BB845" t="inlineStr">
        <is>
          <t>9780325000084</t>
        </is>
      </c>
      <c r="BC845" t="inlineStr">
        <is>
          <t>32285003463642</t>
        </is>
      </c>
      <c r="BD845" t="inlineStr">
        <is>
          <t>893227397</t>
        </is>
      </c>
    </row>
    <row r="846">
      <c r="A846" t="inlineStr">
        <is>
          <t>No</t>
        </is>
      </c>
      <c r="B846" t="inlineStr">
        <is>
          <t>LB1585.3 .H38 1990</t>
        </is>
      </c>
      <c r="C846" t="inlineStr">
        <is>
          <t>0                      LB 1585300H  38          1990</t>
        </is>
      </c>
      <c r="D846" t="inlineStr">
        <is>
          <t>Science experiences : cooperative learning and the teaching of science / Jack Hassard.</t>
        </is>
      </c>
      <c r="F846" t="inlineStr">
        <is>
          <t>No</t>
        </is>
      </c>
      <c r="G846" t="inlineStr">
        <is>
          <t>1</t>
        </is>
      </c>
      <c r="H846" t="inlineStr">
        <is>
          <t>No</t>
        </is>
      </c>
      <c r="I846" t="inlineStr">
        <is>
          <t>No</t>
        </is>
      </c>
      <c r="J846" t="inlineStr">
        <is>
          <t>0</t>
        </is>
      </c>
      <c r="K846" t="inlineStr">
        <is>
          <t>Hassard, Jack.</t>
        </is>
      </c>
      <c r="L846" t="inlineStr">
        <is>
          <t>Menlo Park, Calif. : Addison-Wesley Pub. Co., c1990.</t>
        </is>
      </c>
      <c r="M846" t="inlineStr">
        <is>
          <t>1990</t>
        </is>
      </c>
      <c r="O846" t="inlineStr">
        <is>
          <t>eng</t>
        </is>
      </c>
      <c r="P846" t="inlineStr">
        <is>
          <t>cau</t>
        </is>
      </c>
      <c r="R846" t="inlineStr">
        <is>
          <t xml:space="preserve">LB </t>
        </is>
      </c>
      <c r="S846" t="n">
        <v>3</v>
      </c>
      <c r="T846" t="n">
        <v>3</v>
      </c>
      <c r="U846" t="inlineStr">
        <is>
          <t>2002-10-03</t>
        </is>
      </c>
      <c r="V846" t="inlineStr">
        <is>
          <t>2002-10-03</t>
        </is>
      </c>
      <c r="W846" t="inlineStr">
        <is>
          <t>1994-09-16</t>
        </is>
      </c>
      <c r="X846" t="inlineStr">
        <is>
          <t>1994-09-16</t>
        </is>
      </c>
      <c r="Y846" t="n">
        <v>282</v>
      </c>
      <c r="Z846" t="n">
        <v>243</v>
      </c>
      <c r="AA846" t="n">
        <v>249</v>
      </c>
      <c r="AB846" t="n">
        <v>3</v>
      </c>
      <c r="AC846" t="n">
        <v>3</v>
      </c>
      <c r="AD846" t="n">
        <v>7</v>
      </c>
      <c r="AE846" t="n">
        <v>7</v>
      </c>
      <c r="AF846" t="n">
        <v>2</v>
      </c>
      <c r="AG846" t="n">
        <v>2</v>
      </c>
      <c r="AH846" t="n">
        <v>0</v>
      </c>
      <c r="AI846" t="n">
        <v>0</v>
      </c>
      <c r="AJ846" t="n">
        <v>4</v>
      </c>
      <c r="AK846" t="n">
        <v>4</v>
      </c>
      <c r="AL846" t="n">
        <v>2</v>
      </c>
      <c r="AM846" t="n">
        <v>2</v>
      </c>
      <c r="AN846" t="n">
        <v>0</v>
      </c>
      <c r="AO846" t="n">
        <v>0</v>
      </c>
      <c r="AP846" t="inlineStr">
        <is>
          <t>No</t>
        </is>
      </c>
      <c r="AQ846" t="inlineStr">
        <is>
          <t>No</t>
        </is>
      </c>
      <c r="AS846">
        <f>HYPERLINK("https://creighton-primo.hosted.exlibrisgroup.com/primo-explore/search?tab=default_tab&amp;search_scope=EVERYTHING&amp;vid=01CRU&amp;lang=en_US&amp;offset=0&amp;query=any,contains,991001619869702656","Catalog Record")</f>
        <v/>
      </c>
      <c r="AT846">
        <f>HYPERLINK("http://www.worldcat.org/oclc/20809995","WorldCat Record")</f>
        <v/>
      </c>
      <c r="AU846" t="inlineStr">
        <is>
          <t>22152535:eng</t>
        </is>
      </c>
      <c r="AV846" t="inlineStr">
        <is>
          <t>20809995</t>
        </is>
      </c>
      <c r="AW846" t="inlineStr">
        <is>
          <t>991001619869702656</t>
        </is>
      </c>
      <c r="AX846" t="inlineStr">
        <is>
          <t>991001619869702656</t>
        </is>
      </c>
      <c r="AY846" t="inlineStr">
        <is>
          <t>2269877340002656</t>
        </is>
      </c>
      <c r="AZ846" t="inlineStr">
        <is>
          <t>BOOK</t>
        </is>
      </c>
      <c r="BB846" t="inlineStr">
        <is>
          <t>9780201231342</t>
        </is>
      </c>
      <c r="BC846" t="inlineStr">
        <is>
          <t>32285001945780</t>
        </is>
      </c>
      <c r="BD846" t="inlineStr">
        <is>
          <t>893340549</t>
        </is>
      </c>
    </row>
    <row r="847">
      <c r="A847" t="inlineStr">
        <is>
          <t>No</t>
        </is>
      </c>
      <c r="B847" t="inlineStr">
        <is>
          <t>LB1585.3 .L58 2007</t>
        </is>
      </c>
      <c r="C847" t="inlineStr">
        <is>
          <t>0                      LB 1585300L  58          2007</t>
        </is>
      </c>
      <c r="D847" t="inlineStr">
        <is>
          <t>Inquire within : implementing inquiry-based science standards in grades 3-8 / Douglas Llewellyn.</t>
        </is>
      </c>
      <c r="F847" t="inlineStr">
        <is>
          <t>No</t>
        </is>
      </c>
      <c r="G847" t="inlineStr">
        <is>
          <t>1</t>
        </is>
      </c>
      <c r="H847" t="inlineStr">
        <is>
          <t>No</t>
        </is>
      </c>
      <c r="I847" t="inlineStr">
        <is>
          <t>No</t>
        </is>
      </c>
      <c r="J847" t="inlineStr">
        <is>
          <t>0</t>
        </is>
      </c>
      <c r="K847" t="inlineStr">
        <is>
          <t>Llewellyn, Douglas.</t>
        </is>
      </c>
      <c r="L847" t="inlineStr">
        <is>
          <t>Thousand Oaks, CA : Corwin Press, c2007.</t>
        </is>
      </c>
      <c r="M847" t="inlineStr">
        <is>
          <t>2007</t>
        </is>
      </c>
      <c r="N847" t="inlineStr">
        <is>
          <t>2nd ed.</t>
        </is>
      </c>
      <c r="O847" t="inlineStr">
        <is>
          <t>eng</t>
        </is>
      </c>
      <c r="P847" t="inlineStr">
        <is>
          <t>cau</t>
        </is>
      </c>
      <c r="R847" t="inlineStr">
        <is>
          <t xml:space="preserve">LB </t>
        </is>
      </c>
      <c r="S847" t="n">
        <v>1</v>
      </c>
      <c r="T847" t="n">
        <v>1</v>
      </c>
      <c r="U847" t="inlineStr">
        <is>
          <t>2007-09-11</t>
        </is>
      </c>
      <c r="V847" t="inlineStr">
        <is>
          <t>2007-09-11</t>
        </is>
      </c>
      <c r="W847" t="inlineStr">
        <is>
          <t>2007-09-11</t>
        </is>
      </c>
      <c r="X847" t="inlineStr">
        <is>
          <t>2007-09-11</t>
        </is>
      </c>
      <c r="Y847" t="n">
        <v>215</v>
      </c>
      <c r="Z847" t="n">
        <v>170</v>
      </c>
      <c r="AA847" t="n">
        <v>541</v>
      </c>
      <c r="AB847" t="n">
        <v>1</v>
      </c>
      <c r="AC847" t="n">
        <v>4</v>
      </c>
      <c r="AD847" t="n">
        <v>7</v>
      </c>
      <c r="AE847" t="n">
        <v>29</v>
      </c>
      <c r="AF847" t="n">
        <v>4</v>
      </c>
      <c r="AG847" t="n">
        <v>11</v>
      </c>
      <c r="AH847" t="n">
        <v>1</v>
      </c>
      <c r="AI847" t="n">
        <v>7</v>
      </c>
      <c r="AJ847" t="n">
        <v>4</v>
      </c>
      <c r="AK847" t="n">
        <v>15</v>
      </c>
      <c r="AL847" t="n">
        <v>0</v>
      </c>
      <c r="AM847" t="n">
        <v>3</v>
      </c>
      <c r="AN847" t="n">
        <v>0</v>
      </c>
      <c r="AO847" t="n">
        <v>0</v>
      </c>
      <c r="AP847" t="inlineStr">
        <is>
          <t>No</t>
        </is>
      </c>
      <c r="AQ847" t="inlineStr">
        <is>
          <t>No</t>
        </is>
      </c>
      <c r="AS847">
        <f>HYPERLINK("https://creighton-primo.hosted.exlibrisgroup.com/primo-explore/search?tab=default_tab&amp;search_scope=EVERYTHING&amp;vid=01CRU&amp;lang=en_US&amp;offset=0&amp;query=any,contains,991005109519702656","Catalog Record")</f>
        <v/>
      </c>
      <c r="AT847">
        <f>HYPERLINK("http://www.worldcat.org/oclc/70265537","WorldCat Record")</f>
        <v/>
      </c>
      <c r="AU847" t="inlineStr">
        <is>
          <t>1372591633:eng</t>
        </is>
      </c>
      <c r="AV847" t="inlineStr">
        <is>
          <t>70265537</t>
        </is>
      </c>
      <c r="AW847" t="inlineStr">
        <is>
          <t>991005109519702656</t>
        </is>
      </c>
      <c r="AX847" t="inlineStr">
        <is>
          <t>991005109519702656</t>
        </is>
      </c>
      <c r="AY847" t="inlineStr">
        <is>
          <t>2260524830002656</t>
        </is>
      </c>
      <c r="AZ847" t="inlineStr">
        <is>
          <t>BOOK</t>
        </is>
      </c>
      <c r="BB847" t="inlineStr">
        <is>
          <t>9781412937559</t>
        </is>
      </c>
      <c r="BC847" t="inlineStr">
        <is>
          <t>32285005324776</t>
        </is>
      </c>
      <c r="BD847" t="inlineStr">
        <is>
          <t>893613140</t>
        </is>
      </c>
    </row>
    <row r="848">
      <c r="A848" t="inlineStr">
        <is>
          <t>No</t>
        </is>
      </c>
      <c r="B848" t="inlineStr">
        <is>
          <t>LB1585.3 .S53 1994</t>
        </is>
      </c>
      <c r="C848" t="inlineStr">
        <is>
          <t>0                      LB 1585300S  53          1994</t>
        </is>
      </c>
      <c r="D848" t="inlineStr">
        <is>
          <t>What children bring to light : a constructivist perspective on children's learning in science / Bonnie L. Shapiro.</t>
        </is>
      </c>
      <c r="F848" t="inlineStr">
        <is>
          <t>No</t>
        </is>
      </c>
      <c r="G848" t="inlineStr">
        <is>
          <t>1</t>
        </is>
      </c>
      <c r="H848" t="inlineStr">
        <is>
          <t>No</t>
        </is>
      </c>
      <c r="I848" t="inlineStr">
        <is>
          <t>No</t>
        </is>
      </c>
      <c r="J848" t="inlineStr">
        <is>
          <t>0</t>
        </is>
      </c>
      <c r="K848" t="inlineStr">
        <is>
          <t>Shapiro, Bonnie L.</t>
        </is>
      </c>
      <c r="L848" t="inlineStr">
        <is>
          <t>New York : Teachers College Press, c1994.</t>
        </is>
      </c>
      <c r="M848" t="inlineStr">
        <is>
          <t>1994</t>
        </is>
      </c>
      <c r="O848" t="inlineStr">
        <is>
          <t>eng</t>
        </is>
      </c>
      <c r="P848" t="inlineStr">
        <is>
          <t>nyu</t>
        </is>
      </c>
      <c r="Q848" t="inlineStr">
        <is>
          <t>Ways of knowing in science series</t>
        </is>
      </c>
      <c r="R848" t="inlineStr">
        <is>
          <t xml:space="preserve">LB </t>
        </is>
      </c>
      <c r="S848" t="n">
        <v>7</v>
      </c>
      <c r="T848" t="n">
        <v>7</v>
      </c>
      <c r="U848" t="inlineStr">
        <is>
          <t>1999-09-13</t>
        </is>
      </c>
      <c r="V848" t="inlineStr">
        <is>
          <t>1999-09-13</t>
        </is>
      </c>
      <c r="W848" t="inlineStr">
        <is>
          <t>1996-03-15</t>
        </is>
      </c>
      <c r="X848" t="inlineStr">
        <is>
          <t>1996-03-15</t>
        </is>
      </c>
      <c r="Y848" t="n">
        <v>597</v>
      </c>
      <c r="Z848" t="n">
        <v>518</v>
      </c>
      <c r="AA848" t="n">
        <v>518</v>
      </c>
      <c r="AB848" t="n">
        <v>3</v>
      </c>
      <c r="AC848" t="n">
        <v>3</v>
      </c>
      <c r="AD848" t="n">
        <v>24</v>
      </c>
      <c r="AE848" t="n">
        <v>24</v>
      </c>
      <c r="AF848" t="n">
        <v>10</v>
      </c>
      <c r="AG848" t="n">
        <v>10</v>
      </c>
      <c r="AH848" t="n">
        <v>5</v>
      </c>
      <c r="AI848" t="n">
        <v>5</v>
      </c>
      <c r="AJ848" t="n">
        <v>14</v>
      </c>
      <c r="AK848" t="n">
        <v>14</v>
      </c>
      <c r="AL848" t="n">
        <v>2</v>
      </c>
      <c r="AM848" t="n">
        <v>2</v>
      </c>
      <c r="AN848" t="n">
        <v>0</v>
      </c>
      <c r="AO848" t="n">
        <v>0</v>
      </c>
      <c r="AP848" t="inlineStr">
        <is>
          <t>No</t>
        </is>
      </c>
      <c r="AQ848" t="inlineStr">
        <is>
          <t>No</t>
        </is>
      </c>
      <c r="AS848">
        <f>HYPERLINK("https://creighton-primo.hosted.exlibrisgroup.com/primo-explore/search?tab=default_tab&amp;search_scope=EVERYTHING&amp;vid=01CRU&amp;lang=en_US&amp;offset=0&amp;query=any,contains,991002342979702656","Catalog Record")</f>
        <v/>
      </c>
      <c r="AT848">
        <f>HYPERLINK("http://www.worldcat.org/oclc/30510737","WorldCat Record")</f>
        <v/>
      </c>
      <c r="AU848" t="inlineStr">
        <is>
          <t>836891327:eng</t>
        </is>
      </c>
      <c r="AV848" t="inlineStr">
        <is>
          <t>30510737</t>
        </is>
      </c>
      <c r="AW848" t="inlineStr">
        <is>
          <t>991002342979702656</t>
        </is>
      </c>
      <c r="AX848" t="inlineStr">
        <is>
          <t>991002342979702656</t>
        </is>
      </c>
      <c r="AY848" t="inlineStr">
        <is>
          <t>2255124750002656</t>
        </is>
      </c>
      <c r="AZ848" t="inlineStr">
        <is>
          <t>BOOK</t>
        </is>
      </c>
      <c r="BB848" t="inlineStr">
        <is>
          <t>9780807733752</t>
        </is>
      </c>
      <c r="BC848" t="inlineStr">
        <is>
          <t>32285002143088</t>
        </is>
      </c>
      <c r="BD848" t="inlineStr">
        <is>
          <t>893597332</t>
        </is>
      </c>
    </row>
    <row r="849">
      <c r="A849" t="inlineStr">
        <is>
          <t>No</t>
        </is>
      </c>
      <c r="B849" t="inlineStr">
        <is>
          <t>LB1590 .A47 1987</t>
        </is>
      </c>
      <c r="C849" t="inlineStr">
        <is>
          <t>0                      LB 1590000A  47          1987</t>
        </is>
      </c>
      <c r="D849" t="inlineStr">
        <is>
          <t>Handwriting : theory, research, and practice / Jean Alston and Jane Taylor.</t>
        </is>
      </c>
      <c r="F849" t="inlineStr">
        <is>
          <t>No</t>
        </is>
      </c>
      <c r="G849" t="inlineStr">
        <is>
          <t>1</t>
        </is>
      </c>
      <c r="H849" t="inlineStr">
        <is>
          <t>No</t>
        </is>
      </c>
      <c r="I849" t="inlineStr">
        <is>
          <t>No</t>
        </is>
      </c>
      <c r="J849" t="inlineStr">
        <is>
          <t>0</t>
        </is>
      </c>
      <c r="K849" t="inlineStr">
        <is>
          <t>Alston, Jean.</t>
        </is>
      </c>
      <c r="L849" t="inlineStr">
        <is>
          <t>London : Croom Helm ; New York : Nichols Pub. Co., 1987.</t>
        </is>
      </c>
      <c r="M849" t="inlineStr">
        <is>
          <t>1987</t>
        </is>
      </c>
      <c r="O849" t="inlineStr">
        <is>
          <t>eng</t>
        </is>
      </c>
      <c r="P849" t="inlineStr">
        <is>
          <t>enk</t>
        </is>
      </c>
      <c r="R849" t="inlineStr">
        <is>
          <t xml:space="preserve">LB </t>
        </is>
      </c>
      <c r="S849" t="n">
        <v>7</v>
      </c>
      <c r="T849" t="n">
        <v>7</v>
      </c>
      <c r="U849" t="inlineStr">
        <is>
          <t>2005-02-21</t>
        </is>
      </c>
      <c r="V849" t="inlineStr">
        <is>
          <t>2005-02-21</t>
        </is>
      </c>
      <c r="W849" t="inlineStr">
        <is>
          <t>1993-01-28</t>
        </is>
      </c>
      <c r="X849" t="inlineStr">
        <is>
          <t>1993-01-28</t>
        </is>
      </c>
      <c r="Y849" t="n">
        <v>329</v>
      </c>
      <c r="Z849" t="n">
        <v>197</v>
      </c>
      <c r="AA849" t="n">
        <v>198</v>
      </c>
      <c r="AB849" t="n">
        <v>4</v>
      </c>
      <c r="AC849" t="n">
        <v>4</v>
      </c>
      <c r="AD849" t="n">
        <v>12</v>
      </c>
      <c r="AE849" t="n">
        <v>12</v>
      </c>
      <c r="AF849" t="n">
        <v>6</v>
      </c>
      <c r="AG849" t="n">
        <v>6</v>
      </c>
      <c r="AH849" t="n">
        <v>1</v>
      </c>
      <c r="AI849" t="n">
        <v>1</v>
      </c>
      <c r="AJ849" t="n">
        <v>7</v>
      </c>
      <c r="AK849" t="n">
        <v>7</v>
      </c>
      <c r="AL849" t="n">
        <v>3</v>
      </c>
      <c r="AM849" t="n">
        <v>3</v>
      </c>
      <c r="AN849" t="n">
        <v>0</v>
      </c>
      <c r="AO849" t="n">
        <v>0</v>
      </c>
      <c r="AP849" t="inlineStr">
        <is>
          <t>No</t>
        </is>
      </c>
      <c r="AQ849" t="inlineStr">
        <is>
          <t>No</t>
        </is>
      </c>
      <c r="AS849">
        <f>HYPERLINK("https://creighton-primo.hosted.exlibrisgroup.com/primo-explore/search?tab=default_tab&amp;search_scope=EVERYTHING&amp;vid=01CRU&amp;lang=en_US&amp;offset=0&amp;query=any,contains,991001069399702656","Catalog Record")</f>
        <v/>
      </c>
      <c r="AT849">
        <f>HYPERLINK("http://www.worldcat.org/oclc/15857421","WorldCat Record")</f>
        <v/>
      </c>
      <c r="AU849" t="inlineStr">
        <is>
          <t>836627766:eng</t>
        </is>
      </c>
      <c r="AV849" t="inlineStr">
        <is>
          <t>15857421</t>
        </is>
      </c>
      <c r="AW849" t="inlineStr">
        <is>
          <t>991001069399702656</t>
        </is>
      </c>
      <c r="AX849" t="inlineStr">
        <is>
          <t>991001069399702656</t>
        </is>
      </c>
      <c r="AY849" t="inlineStr">
        <is>
          <t>2266133580002656</t>
        </is>
      </c>
      <c r="AZ849" t="inlineStr">
        <is>
          <t>BOOK</t>
        </is>
      </c>
      <c r="BB849" t="inlineStr">
        <is>
          <t>9780893972875</t>
        </is>
      </c>
      <c r="BC849" t="inlineStr">
        <is>
          <t>32285001479921</t>
        </is>
      </c>
      <c r="BD849" t="inlineStr">
        <is>
          <t>893602294</t>
        </is>
      </c>
    </row>
    <row r="850">
      <c r="A850" t="inlineStr">
        <is>
          <t>No</t>
        </is>
      </c>
      <c r="B850" t="inlineStr">
        <is>
          <t>LB1590 .B8 1968</t>
        </is>
      </c>
      <c r="C850" t="inlineStr">
        <is>
          <t>0                      LB 1590000B  8           1968</t>
        </is>
      </c>
      <c r="D850" t="inlineStr">
        <is>
          <t>Improving handwriting instruction in elementary schools / [by] Paul C. Burns.</t>
        </is>
      </c>
      <c r="F850" t="inlineStr">
        <is>
          <t>No</t>
        </is>
      </c>
      <c r="G850" t="inlineStr">
        <is>
          <t>1</t>
        </is>
      </c>
      <c r="H850" t="inlineStr">
        <is>
          <t>No</t>
        </is>
      </c>
      <c r="I850" t="inlineStr">
        <is>
          <t>No</t>
        </is>
      </c>
      <c r="J850" t="inlineStr">
        <is>
          <t>0</t>
        </is>
      </c>
      <c r="K850" t="inlineStr">
        <is>
          <t>Burns, Paul Clay, 1923-1983.</t>
        </is>
      </c>
      <c r="L850" t="inlineStr">
        <is>
          <t>Minneapolis : Burgess Pub. Co., [1968]</t>
        </is>
      </c>
      <c r="M850" t="inlineStr">
        <is>
          <t>1968</t>
        </is>
      </c>
      <c r="N850" t="inlineStr">
        <is>
          <t>2d ed.</t>
        </is>
      </c>
      <c r="O850" t="inlineStr">
        <is>
          <t>eng</t>
        </is>
      </c>
      <c r="P850" t="inlineStr">
        <is>
          <t>mnu</t>
        </is>
      </c>
      <c r="R850" t="inlineStr">
        <is>
          <t xml:space="preserve">LB </t>
        </is>
      </c>
      <c r="S850" t="n">
        <v>5</v>
      </c>
      <c r="T850" t="n">
        <v>5</v>
      </c>
      <c r="U850" t="inlineStr">
        <is>
          <t>2005-02-21</t>
        </is>
      </c>
      <c r="V850" t="inlineStr">
        <is>
          <t>2005-02-21</t>
        </is>
      </c>
      <c r="W850" t="inlineStr">
        <is>
          <t>1994-12-12</t>
        </is>
      </c>
      <c r="X850" t="inlineStr">
        <is>
          <t>1994-12-12</t>
        </is>
      </c>
      <c r="Y850" t="n">
        <v>259</v>
      </c>
      <c r="Z850" t="n">
        <v>248</v>
      </c>
      <c r="AA850" t="n">
        <v>355</v>
      </c>
      <c r="AB850" t="n">
        <v>3</v>
      </c>
      <c r="AC850" t="n">
        <v>6</v>
      </c>
      <c r="AD850" t="n">
        <v>15</v>
      </c>
      <c r="AE850" t="n">
        <v>20</v>
      </c>
      <c r="AF850" t="n">
        <v>7</v>
      </c>
      <c r="AG850" t="n">
        <v>9</v>
      </c>
      <c r="AH850" t="n">
        <v>4</v>
      </c>
      <c r="AI850" t="n">
        <v>4</v>
      </c>
      <c r="AJ850" t="n">
        <v>6</v>
      </c>
      <c r="AK850" t="n">
        <v>7</v>
      </c>
      <c r="AL850" t="n">
        <v>2</v>
      </c>
      <c r="AM850" t="n">
        <v>5</v>
      </c>
      <c r="AN850" t="n">
        <v>0</v>
      </c>
      <c r="AO850" t="n">
        <v>0</v>
      </c>
      <c r="AP850" t="inlineStr">
        <is>
          <t>No</t>
        </is>
      </c>
      <c r="AQ850" t="inlineStr">
        <is>
          <t>Yes</t>
        </is>
      </c>
      <c r="AR850">
        <f>HYPERLINK("http://catalog.hathitrust.org/Record/001281460","HathiTrust Record")</f>
        <v/>
      </c>
      <c r="AS850">
        <f>HYPERLINK("https://creighton-primo.hosted.exlibrisgroup.com/primo-explore/search?tab=default_tab&amp;search_scope=EVERYTHING&amp;vid=01CRU&amp;lang=en_US&amp;offset=0&amp;query=any,contains,991002791329702656","Catalog Record")</f>
        <v/>
      </c>
      <c r="AT850">
        <f>HYPERLINK("http://www.worldcat.org/oclc/443460","WorldCat Record")</f>
        <v/>
      </c>
      <c r="AU850" t="inlineStr">
        <is>
          <t>1325965:eng</t>
        </is>
      </c>
      <c r="AV850" t="inlineStr">
        <is>
          <t>443460</t>
        </is>
      </c>
      <c r="AW850" t="inlineStr">
        <is>
          <t>991002791329702656</t>
        </is>
      </c>
      <c r="AX850" t="inlineStr">
        <is>
          <t>991002791329702656</t>
        </is>
      </c>
      <c r="AY850" t="inlineStr">
        <is>
          <t>2264293650002656</t>
        </is>
      </c>
      <c r="AZ850" t="inlineStr">
        <is>
          <t>BOOK</t>
        </is>
      </c>
      <c r="BC850" t="inlineStr">
        <is>
          <t>32285001981736</t>
        </is>
      </c>
      <c r="BD850" t="inlineStr">
        <is>
          <t>893616582</t>
        </is>
      </c>
    </row>
    <row r="851">
      <c r="A851" t="inlineStr">
        <is>
          <t>No</t>
        </is>
      </c>
      <c r="B851" t="inlineStr">
        <is>
          <t>LB1590.3 .A77 2000</t>
        </is>
      </c>
      <c r="C851" t="inlineStr">
        <is>
          <t>0                      LB 1590300A  77          2000</t>
        </is>
      </c>
      <c r="D851" t="inlineStr">
        <is>
          <t>Assessing &amp; reporting on habits of mind / edited by Arthur L. Costa and Bena Kallick ; foreword by David Perkins.</t>
        </is>
      </c>
      <c r="F851" t="inlineStr">
        <is>
          <t>No</t>
        </is>
      </c>
      <c r="G851" t="inlineStr">
        <is>
          <t>1</t>
        </is>
      </c>
      <c r="H851" t="inlineStr">
        <is>
          <t>No</t>
        </is>
      </c>
      <c r="I851" t="inlineStr">
        <is>
          <t>No</t>
        </is>
      </c>
      <c r="J851" t="inlineStr">
        <is>
          <t>0</t>
        </is>
      </c>
      <c r="L851" t="inlineStr">
        <is>
          <t>Alexandria, Va. : Association for Supervision and Curriculum Development, c2000.</t>
        </is>
      </c>
      <c r="M851" t="inlineStr">
        <is>
          <t>2000</t>
        </is>
      </c>
      <c r="O851" t="inlineStr">
        <is>
          <t>eng</t>
        </is>
      </c>
      <c r="P851" t="inlineStr">
        <is>
          <t>vau</t>
        </is>
      </c>
      <c r="Q851" t="inlineStr">
        <is>
          <t>Habits of mind ; bk. 3</t>
        </is>
      </c>
      <c r="R851" t="inlineStr">
        <is>
          <t xml:space="preserve">LB </t>
        </is>
      </c>
      <c r="S851" t="n">
        <v>2</v>
      </c>
      <c r="T851" t="n">
        <v>2</v>
      </c>
      <c r="U851" t="inlineStr">
        <is>
          <t>2001-11-02</t>
        </is>
      </c>
      <c r="V851" t="inlineStr">
        <is>
          <t>2001-11-02</t>
        </is>
      </c>
      <c r="W851" t="inlineStr">
        <is>
          <t>2001-02-21</t>
        </is>
      </c>
      <c r="X851" t="inlineStr">
        <is>
          <t>2001-02-21</t>
        </is>
      </c>
      <c r="Y851" t="n">
        <v>525</v>
      </c>
      <c r="Z851" t="n">
        <v>443</v>
      </c>
      <c r="AA851" t="n">
        <v>444</v>
      </c>
      <c r="AB851" t="n">
        <v>4</v>
      </c>
      <c r="AC851" t="n">
        <v>4</v>
      </c>
      <c r="AD851" t="n">
        <v>18</v>
      </c>
      <c r="AE851" t="n">
        <v>18</v>
      </c>
      <c r="AF851" t="n">
        <v>10</v>
      </c>
      <c r="AG851" t="n">
        <v>10</v>
      </c>
      <c r="AH851" t="n">
        <v>2</v>
      </c>
      <c r="AI851" t="n">
        <v>2</v>
      </c>
      <c r="AJ851" t="n">
        <v>9</v>
      </c>
      <c r="AK851" t="n">
        <v>9</v>
      </c>
      <c r="AL851" t="n">
        <v>2</v>
      </c>
      <c r="AM851" t="n">
        <v>2</v>
      </c>
      <c r="AN851" t="n">
        <v>0</v>
      </c>
      <c r="AO851" t="n">
        <v>0</v>
      </c>
      <c r="AP851" t="inlineStr">
        <is>
          <t>No</t>
        </is>
      </c>
      <c r="AQ851" t="inlineStr">
        <is>
          <t>Yes</t>
        </is>
      </c>
      <c r="AR851">
        <f>HYPERLINK("http://catalog.hathitrust.org/Record/004125406","HathiTrust Record")</f>
        <v/>
      </c>
      <c r="AS851">
        <f>HYPERLINK("https://creighton-primo.hosted.exlibrisgroup.com/primo-explore/search?tab=default_tab&amp;search_scope=EVERYTHING&amp;vid=01CRU&amp;lang=en_US&amp;offset=0&amp;query=any,contains,991003468309702656","Catalog Record")</f>
        <v/>
      </c>
      <c r="AT851">
        <f>HYPERLINK("http://www.worldcat.org/oclc/44509075","WorldCat Record")</f>
        <v/>
      </c>
      <c r="AU851" t="inlineStr">
        <is>
          <t>2288048246:eng</t>
        </is>
      </c>
      <c r="AV851" t="inlineStr">
        <is>
          <t>44509075</t>
        </is>
      </c>
      <c r="AW851" t="inlineStr">
        <is>
          <t>991003468309702656</t>
        </is>
      </c>
      <c r="AX851" t="inlineStr">
        <is>
          <t>991003468309702656</t>
        </is>
      </c>
      <c r="AY851" t="inlineStr">
        <is>
          <t>2255815770002656</t>
        </is>
      </c>
      <c r="AZ851" t="inlineStr">
        <is>
          <t>BOOK</t>
        </is>
      </c>
      <c r="BB851" t="inlineStr">
        <is>
          <t>9780871203700</t>
        </is>
      </c>
      <c r="BC851" t="inlineStr">
        <is>
          <t>32285004296025</t>
        </is>
      </c>
      <c r="BD851" t="inlineStr">
        <is>
          <t>893592541</t>
        </is>
      </c>
    </row>
    <row r="852">
      <c r="A852" t="inlineStr">
        <is>
          <t>No</t>
        </is>
      </c>
      <c r="B852" t="inlineStr">
        <is>
          <t>LB1590.3 .F67 1992</t>
        </is>
      </c>
      <c r="C852" t="inlineStr">
        <is>
          <t>0                      LB 1590300F  67          1992</t>
        </is>
      </c>
      <c r="D852" t="inlineStr">
        <is>
          <t>Teaching thinking and problem solving in math / by Char Forsten.</t>
        </is>
      </c>
      <c r="F852" t="inlineStr">
        <is>
          <t>No</t>
        </is>
      </c>
      <c r="G852" t="inlineStr">
        <is>
          <t>1</t>
        </is>
      </c>
      <c r="H852" t="inlineStr">
        <is>
          <t>No</t>
        </is>
      </c>
      <c r="I852" t="inlineStr">
        <is>
          <t>No</t>
        </is>
      </c>
      <c r="J852" t="inlineStr">
        <is>
          <t>0</t>
        </is>
      </c>
      <c r="K852" t="inlineStr">
        <is>
          <t>Forsten, Char, 1948-</t>
        </is>
      </c>
      <c r="L852" t="inlineStr">
        <is>
          <t>New York : Scholastic Professional Books, c1992.</t>
        </is>
      </c>
      <c r="M852" t="inlineStr">
        <is>
          <t>1992</t>
        </is>
      </c>
      <c r="O852" t="inlineStr">
        <is>
          <t>eng</t>
        </is>
      </c>
      <c r="P852" t="inlineStr">
        <is>
          <t>nyu</t>
        </is>
      </c>
      <c r="Q852" t="inlineStr">
        <is>
          <t>Teaching strategies</t>
        </is>
      </c>
      <c r="R852" t="inlineStr">
        <is>
          <t xml:space="preserve">LB </t>
        </is>
      </c>
      <c r="S852" t="n">
        <v>1</v>
      </c>
      <c r="T852" t="n">
        <v>1</v>
      </c>
      <c r="U852" t="inlineStr">
        <is>
          <t>2006-11-07</t>
        </is>
      </c>
      <c r="V852" t="inlineStr">
        <is>
          <t>2006-11-07</t>
        </is>
      </c>
      <c r="W852" t="inlineStr">
        <is>
          <t>2006-11-07</t>
        </is>
      </c>
      <c r="X852" t="inlineStr">
        <is>
          <t>2006-11-07</t>
        </is>
      </c>
      <c r="Y852" t="n">
        <v>92</v>
      </c>
      <c r="Z852" t="n">
        <v>83</v>
      </c>
      <c r="AA852" t="n">
        <v>83</v>
      </c>
      <c r="AB852" t="n">
        <v>1</v>
      </c>
      <c r="AC852" t="n">
        <v>1</v>
      </c>
      <c r="AD852" t="n">
        <v>1</v>
      </c>
      <c r="AE852" t="n">
        <v>1</v>
      </c>
      <c r="AF852" t="n">
        <v>0</v>
      </c>
      <c r="AG852" t="n">
        <v>0</v>
      </c>
      <c r="AH852" t="n">
        <v>1</v>
      </c>
      <c r="AI852" t="n">
        <v>1</v>
      </c>
      <c r="AJ852" t="n">
        <v>0</v>
      </c>
      <c r="AK852" t="n">
        <v>0</v>
      </c>
      <c r="AL852" t="n">
        <v>0</v>
      </c>
      <c r="AM852" t="n">
        <v>0</v>
      </c>
      <c r="AN852" t="n">
        <v>0</v>
      </c>
      <c r="AO852" t="n">
        <v>0</v>
      </c>
      <c r="AP852" t="inlineStr">
        <is>
          <t>No</t>
        </is>
      </c>
      <c r="AQ852" t="inlineStr">
        <is>
          <t>No</t>
        </is>
      </c>
      <c r="AS852">
        <f>HYPERLINK("https://creighton-primo.hosted.exlibrisgroup.com/primo-explore/search?tab=default_tab&amp;search_scope=EVERYTHING&amp;vid=01CRU&amp;lang=en_US&amp;offset=0&amp;query=any,contains,991004971069702656","Catalog Record")</f>
        <v/>
      </c>
      <c r="AT852">
        <f>HYPERLINK("http://www.worldcat.org/oclc/28440194","WorldCat Record")</f>
        <v/>
      </c>
      <c r="AU852" t="inlineStr">
        <is>
          <t>31176916:eng</t>
        </is>
      </c>
      <c r="AV852" t="inlineStr">
        <is>
          <t>28440194</t>
        </is>
      </c>
      <c r="AW852" t="inlineStr">
        <is>
          <t>991004971069702656</t>
        </is>
      </c>
      <c r="AX852" t="inlineStr">
        <is>
          <t>991004971069702656</t>
        </is>
      </c>
      <c r="AY852" t="inlineStr">
        <is>
          <t>2258110020002656</t>
        </is>
      </c>
      <c r="AZ852" t="inlineStr">
        <is>
          <t>BOOK</t>
        </is>
      </c>
      <c r="BB852" t="inlineStr">
        <is>
          <t>9780590491716</t>
        </is>
      </c>
      <c r="BC852" t="inlineStr">
        <is>
          <t>32285005236699</t>
        </is>
      </c>
      <c r="BD852" t="inlineStr">
        <is>
          <t>893795456</t>
        </is>
      </c>
    </row>
    <row r="853">
      <c r="A853" t="inlineStr">
        <is>
          <t>No</t>
        </is>
      </c>
      <c r="B853" t="inlineStr">
        <is>
          <t>LB1590.3 .H49 2000</t>
        </is>
      </c>
      <c r="C853" t="inlineStr">
        <is>
          <t>0                      LB 1590300H  49          2000</t>
        </is>
      </c>
      <c r="D853" t="inlineStr">
        <is>
          <t>A powerful peace : the integrative thinking classroom / Warren Heydenberk and Roberta Heydenberk.</t>
        </is>
      </c>
      <c r="F853" t="inlineStr">
        <is>
          <t>No</t>
        </is>
      </c>
      <c r="G853" t="inlineStr">
        <is>
          <t>1</t>
        </is>
      </c>
      <c r="H853" t="inlineStr">
        <is>
          <t>No</t>
        </is>
      </c>
      <c r="I853" t="inlineStr">
        <is>
          <t>No</t>
        </is>
      </c>
      <c r="J853" t="inlineStr">
        <is>
          <t>0</t>
        </is>
      </c>
      <c r="K853" t="inlineStr">
        <is>
          <t>Heydenberk, Warren.</t>
        </is>
      </c>
      <c r="L853" t="inlineStr">
        <is>
          <t>Boston : Allyn and Bacon, c2000.</t>
        </is>
      </c>
      <c r="M853" t="inlineStr">
        <is>
          <t>2000</t>
        </is>
      </c>
      <c r="O853" t="inlineStr">
        <is>
          <t>eng</t>
        </is>
      </c>
      <c r="P853" t="inlineStr">
        <is>
          <t>mau</t>
        </is>
      </c>
      <c r="R853" t="inlineStr">
        <is>
          <t xml:space="preserve">LB </t>
        </is>
      </c>
      <c r="S853" t="n">
        <v>1</v>
      </c>
      <c r="T853" t="n">
        <v>1</v>
      </c>
      <c r="U853" t="inlineStr">
        <is>
          <t>2005-12-01</t>
        </is>
      </c>
      <c r="V853" t="inlineStr">
        <is>
          <t>2005-12-01</t>
        </is>
      </c>
      <c r="W853" t="inlineStr">
        <is>
          <t>2005-12-01</t>
        </is>
      </c>
      <c r="X853" t="inlineStr">
        <is>
          <t>2005-12-01</t>
        </is>
      </c>
      <c r="Y853" t="n">
        <v>284</v>
      </c>
      <c r="Z853" t="n">
        <v>262</v>
      </c>
      <c r="AA853" t="n">
        <v>267</v>
      </c>
      <c r="AB853" t="n">
        <v>4</v>
      </c>
      <c r="AC853" t="n">
        <v>4</v>
      </c>
      <c r="AD853" t="n">
        <v>12</v>
      </c>
      <c r="AE853" t="n">
        <v>12</v>
      </c>
      <c r="AF853" t="n">
        <v>5</v>
      </c>
      <c r="AG853" t="n">
        <v>5</v>
      </c>
      <c r="AH853" t="n">
        <v>1</v>
      </c>
      <c r="AI853" t="n">
        <v>1</v>
      </c>
      <c r="AJ853" t="n">
        <v>6</v>
      </c>
      <c r="AK853" t="n">
        <v>6</v>
      </c>
      <c r="AL853" t="n">
        <v>3</v>
      </c>
      <c r="AM853" t="n">
        <v>3</v>
      </c>
      <c r="AN853" t="n">
        <v>0</v>
      </c>
      <c r="AO853" t="n">
        <v>0</v>
      </c>
      <c r="AP853" t="inlineStr">
        <is>
          <t>No</t>
        </is>
      </c>
      <c r="AQ853" t="inlineStr">
        <is>
          <t>No</t>
        </is>
      </c>
      <c r="AS853">
        <f>HYPERLINK("https://creighton-primo.hosted.exlibrisgroup.com/primo-explore/search?tab=default_tab&amp;search_scope=EVERYTHING&amp;vid=01CRU&amp;lang=en_US&amp;offset=0&amp;query=any,contains,991004696959702656","Catalog Record")</f>
        <v/>
      </c>
      <c r="AT853">
        <f>HYPERLINK("http://www.worldcat.org/oclc/42692187","WorldCat Record")</f>
        <v/>
      </c>
      <c r="AU853" t="inlineStr">
        <is>
          <t>2225699206:eng</t>
        </is>
      </c>
      <c r="AV853" t="inlineStr">
        <is>
          <t>42692187</t>
        </is>
      </c>
      <c r="AW853" t="inlineStr">
        <is>
          <t>991004696959702656</t>
        </is>
      </c>
      <c r="AX853" t="inlineStr">
        <is>
          <t>991004696959702656</t>
        </is>
      </c>
      <c r="AY853" t="inlineStr">
        <is>
          <t>2257865910002656</t>
        </is>
      </c>
      <c r="AZ853" t="inlineStr">
        <is>
          <t>BOOK</t>
        </is>
      </c>
      <c r="BB853" t="inlineStr">
        <is>
          <t>9780205293605</t>
        </is>
      </c>
      <c r="BC853" t="inlineStr">
        <is>
          <t>32285005150411</t>
        </is>
      </c>
      <c r="BD853" t="inlineStr">
        <is>
          <t>893536162</t>
        </is>
      </c>
    </row>
    <row r="854">
      <c r="A854" t="inlineStr">
        <is>
          <t>No</t>
        </is>
      </c>
      <c r="B854" t="inlineStr">
        <is>
          <t>LB1590.3 .P654 2007</t>
        </is>
      </c>
      <c r="C854" t="inlineStr">
        <is>
          <t>0                      LB 1590300P  654         2007</t>
        </is>
      </c>
      <c r="D854" t="inlineStr">
        <is>
          <t>Teaching thinking skills with picture books, grades K-3 / Nancy Polette ; illustrated by Paul Dillon.</t>
        </is>
      </c>
      <c r="F854" t="inlineStr">
        <is>
          <t>No</t>
        </is>
      </c>
      <c r="G854" t="inlineStr">
        <is>
          <t>1</t>
        </is>
      </c>
      <c r="H854" t="inlineStr">
        <is>
          <t>No</t>
        </is>
      </c>
      <c r="I854" t="inlineStr">
        <is>
          <t>No</t>
        </is>
      </c>
      <c r="J854" t="inlineStr">
        <is>
          <t>0</t>
        </is>
      </c>
      <c r="K854" t="inlineStr">
        <is>
          <t>Polette, Nancy.</t>
        </is>
      </c>
      <c r="L854" t="inlineStr">
        <is>
          <t>Westport, Conn. : Teacher Ideas Press, 2007.</t>
        </is>
      </c>
      <c r="M854" t="inlineStr">
        <is>
          <t>2007</t>
        </is>
      </c>
      <c r="O854" t="inlineStr">
        <is>
          <t>eng</t>
        </is>
      </c>
      <c r="P854" t="inlineStr">
        <is>
          <t>ctu</t>
        </is>
      </c>
      <c r="R854" t="inlineStr">
        <is>
          <t xml:space="preserve">LB </t>
        </is>
      </c>
      <c r="S854" t="n">
        <v>1</v>
      </c>
      <c r="T854" t="n">
        <v>1</v>
      </c>
      <c r="U854" t="inlineStr">
        <is>
          <t>2007-10-24</t>
        </is>
      </c>
      <c r="V854" t="inlineStr">
        <is>
          <t>2007-10-24</t>
        </is>
      </c>
      <c r="W854" t="inlineStr">
        <is>
          <t>2007-10-24</t>
        </is>
      </c>
      <c r="X854" t="inlineStr">
        <is>
          <t>2007-10-24</t>
        </is>
      </c>
      <c r="Y854" t="n">
        <v>224</v>
      </c>
      <c r="Z854" t="n">
        <v>190</v>
      </c>
      <c r="AA854" t="n">
        <v>606</v>
      </c>
      <c r="AB854" t="n">
        <v>1</v>
      </c>
      <c r="AC854" t="n">
        <v>3</v>
      </c>
      <c r="AD854" t="n">
        <v>8</v>
      </c>
      <c r="AE854" t="n">
        <v>13</v>
      </c>
      <c r="AF854" t="n">
        <v>3</v>
      </c>
      <c r="AG854" t="n">
        <v>5</v>
      </c>
      <c r="AH854" t="n">
        <v>3</v>
      </c>
      <c r="AI854" t="n">
        <v>3</v>
      </c>
      <c r="AJ854" t="n">
        <v>5</v>
      </c>
      <c r="AK854" t="n">
        <v>6</v>
      </c>
      <c r="AL854" t="n">
        <v>0</v>
      </c>
      <c r="AM854" t="n">
        <v>2</v>
      </c>
      <c r="AN854" t="n">
        <v>0</v>
      </c>
      <c r="AO854" t="n">
        <v>0</v>
      </c>
      <c r="AP854" t="inlineStr">
        <is>
          <t>No</t>
        </is>
      </c>
      <c r="AQ854" t="inlineStr">
        <is>
          <t>No</t>
        </is>
      </c>
      <c r="AS854">
        <f>HYPERLINK("https://creighton-primo.hosted.exlibrisgroup.com/primo-explore/search?tab=default_tab&amp;search_scope=EVERYTHING&amp;vid=01CRU&amp;lang=en_US&amp;offset=0&amp;query=any,contains,991005129659702656","Catalog Record")</f>
        <v/>
      </c>
      <c r="AT854">
        <f>HYPERLINK("http://www.worldcat.org/oclc/137324902","WorldCat Record")</f>
        <v/>
      </c>
      <c r="AU854" t="inlineStr">
        <is>
          <t>103063548:eng</t>
        </is>
      </c>
      <c r="AV854" t="inlineStr">
        <is>
          <t>137324902</t>
        </is>
      </c>
      <c r="AW854" t="inlineStr">
        <is>
          <t>991005129659702656</t>
        </is>
      </c>
      <c r="AX854" t="inlineStr">
        <is>
          <t>991005129659702656</t>
        </is>
      </c>
      <c r="AY854" t="inlineStr">
        <is>
          <t>2255960040002656</t>
        </is>
      </c>
      <c r="AZ854" t="inlineStr">
        <is>
          <t>BOOK</t>
        </is>
      </c>
      <c r="BB854" t="inlineStr">
        <is>
          <t>9781591585923</t>
        </is>
      </c>
      <c r="BC854" t="inlineStr">
        <is>
          <t>32285005360903</t>
        </is>
      </c>
      <c r="BD854" t="inlineStr">
        <is>
          <t>893446583</t>
        </is>
      </c>
    </row>
    <row r="855">
      <c r="A855" t="inlineStr">
        <is>
          <t>No</t>
        </is>
      </c>
      <c r="B855" t="inlineStr">
        <is>
          <t>LB1590.3 .R84 1988</t>
        </is>
      </c>
      <c r="C855" t="inlineStr">
        <is>
          <t>0                      LB 1590300R  84          1988</t>
        </is>
      </c>
      <c r="D855" t="inlineStr">
        <is>
          <t>Teaching thinking across the curriculum / Vincent Ryan Ruggiero.</t>
        </is>
      </c>
      <c r="F855" t="inlineStr">
        <is>
          <t>No</t>
        </is>
      </c>
      <c r="G855" t="inlineStr">
        <is>
          <t>1</t>
        </is>
      </c>
      <c r="H855" t="inlineStr">
        <is>
          <t>No</t>
        </is>
      </c>
      <c r="I855" t="inlineStr">
        <is>
          <t>No</t>
        </is>
      </c>
      <c r="J855" t="inlineStr">
        <is>
          <t>0</t>
        </is>
      </c>
      <c r="K855" t="inlineStr">
        <is>
          <t>Ruggiero, Vincent Ryan.</t>
        </is>
      </c>
      <c r="L855" t="inlineStr">
        <is>
          <t>New York : Harper &amp; Row, c1988.</t>
        </is>
      </c>
      <c r="M855" t="inlineStr">
        <is>
          <t>1988</t>
        </is>
      </c>
      <c r="O855" t="inlineStr">
        <is>
          <t>eng</t>
        </is>
      </c>
      <c r="P855" t="inlineStr">
        <is>
          <t>nyu</t>
        </is>
      </c>
      <c r="R855" t="inlineStr">
        <is>
          <t xml:space="preserve">LB </t>
        </is>
      </c>
      <c r="S855" t="n">
        <v>2</v>
      </c>
      <c r="T855" t="n">
        <v>2</v>
      </c>
      <c r="U855" t="inlineStr">
        <is>
          <t>1996-11-10</t>
        </is>
      </c>
      <c r="V855" t="inlineStr">
        <is>
          <t>1996-11-10</t>
        </is>
      </c>
      <c r="W855" t="inlineStr">
        <is>
          <t>1990-04-17</t>
        </is>
      </c>
      <c r="X855" t="inlineStr">
        <is>
          <t>1990-04-17</t>
        </is>
      </c>
      <c r="Y855" t="n">
        <v>559</v>
      </c>
      <c r="Z855" t="n">
        <v>468</v>
      </c>
      <c r="AA855" t="n">
        <v>474</v>
      </c>
      <c r="AB855" t="n">
        <v>4</v>
      </c>
      <c r="AC855" t="n">
        <v>5</v>
      </c>
      <c r="AD855" t="n">
        <v>13</v>
      </c>
      <c r="AE855" t="n">
        <v>14</v>
      </c>
      <c r="AF855" t="n">
        <v>5</v>
      </c>
      <c r="AG855" t="n">
        <v>5</v>
      </c>
      <c r="AH855" t="n">
        <v>3</v>
      </c>
      <c r="AI855" t="n">
        <v>3</v>
      </c>
      <c r="AJ855" t="n">
        <v>5</v>
      </c>
      <c r="AK855" t="n">
        <v>5</v>
      </c>
      <c r="AL855" t="n">
        <v>3</v>
      </c>
      <c r="AM855" t="n">
        <v>4</v>
      </c>
      <c r="AN855" t="n">
        <v>0</v>
      </c>
      <c r="AO855" t="n">
        <v>0</v>
      </c>
      <c r="AP855" t="inlineStr">
        <is>
          <t>No</t>
        </is>
      </c>
      <c r="AQ855" t="inlineStr">
        <is>
          <t>No</t>
        </is>
      </c>
      <c r="AS855">
        <f>HYPERLINK("https://creighton-primo.hosted.exlibrisgroup.com/primo-explore/search?tab=default_tab&amp;search_scope=EVERYTHING&amp;vid=01CRU&amp;lang=en_US&amp;offset=0&amp;query=any,contains,991001102589702656","Catalog Record")</f>
        <v/>
      </c>
      <c r="AT855">
        <f>HYPERLINK("http://www.worldcat.org/oclc/16355136","WorldCat Record")</f>
        <v/>
      </c>
      <c r="AU855" t="inlineStr">
        <is>
          <t>11932455:eng</t>
        </is>
      </c>
      <c r="AV855" t="inlineStr">
        <is>
          <t>16355136</t>
        </is>
      </c>
      <c r="AW855" t="inlineStr">
        <is>
          <t>991001102589702656</t>
        </is>
      </c>
      <c r="AX855" t="inlineStr">
        <is>
          <t>991001102589702656</t>
        </is>
      </c>
      <c r="AY855" t="inlineStr">
        <is>
          <t>2255827060002656</t>
        </is>
      </c>
      <c r="AZ855" t="inlineStr">
        <is>
          <t>BOOK</t>
        </is>
      </c>
      <c r="BB855" t="inlineStr">
        <is>
          <t>9780060456672</t>
        </is>
      </c>
      <c r="BC855" t="inlineStr">
        <is>
          <t>32285000102698</t>
        </is>
      </c>
      <c r="BD855" t="inlineStr">
        <is>
          <t>893602322</t>
        </is>
      </c>
    </row>
    <row r="856">
      <c r="A856" t="inlineStr">
        <is>
          <t>No</t>
        </is>
      </c>
      <c r="B856" t="inlineStr">
        <is>
          <t>LB1590.3 .S78 1988</t>
        </is>
      </c>
      <c r="C856" t="inlineStr">
        <is>
          <t>0                      LB 1590300S  78          1988</t>
        </is>
      </c>
      <c r="D856" t="inlineStr">
        <is>
          <t>Measuring thinking skills in the classroom / Richard J. Stiggins, Evelyn Rubel, Edys Quellmalz.</t>
        </is>
      </c>
      <c r="F856" t="inlineStr">
        <is>
          <t>No</t>
        </is>
      </c>
      <c r="G856" t="inlineStr">
        <is>
          <t>1</t>
        </is>
      </c>
      <c r="H856" t="inlineStr">
        <is>
          <t>No</t>
        </is>
      </c>
      <c r="I856" t="inlineStr">
        <is>
          <t>No</t>
        </is>
      </c>
      <c r="J856" t="inlineStr">
        <is>
          <t>0</t>
        </is>
      </c>
      <c r="K856" t="inlineStr">
        <is>
          <t>Stiggins, Richard J.</t>
        </is>
      </c>
      <c r="L856" t="inlineStr">
        <is>
          <t>Washington, D.C. : NEA Professional Library, 1988, c1986.</t>
        </is>
      </c>
      <c r="M856" t="inlineStr">
        <is>
          <t>1988</t>
        </is>
      </c>
      <c r="N856" t="inlineStr">
        <is>
          <t>Rev. ed.</t>
        </is>
      </c>
      <c r="O856" t="inlineStr">
        <is>
          <t>eng</t>
        </is>
      </c>
      <c r="P856" t="inlineStr">
        <is>
          <t>dcu</t>
        </is>
      </c>
      <c r="R856" t="inlineStr">
        <is>
          <t xml:space="preserve">LB </t>
        </is>
      </c>
      <c r="S856" t="n">
        <v>2</v>
      </c>
      <c r="T856" t="n">
        <v>2</v>
      </c>
      <c r="U856" t="inlineStr">
        <is>
          <t>2004-09-02</t>
        </is>
      </c>
      <c r="V856" t="inlineStr">
        <is>
          <t>2004-09-02</t>
        </is>
      </c>
      <c r="W856" t="inlineStr">
        <is>
          <t>1992-01-21</t>
        </is>
      </c>
      <c r="X856" t="inlineStr">
        <is>
          <t>1992-01-21</t>
        </is>
      </c>
      <c r="Y856" t="n">
        <v>407</v>
      </c>
      <c r="Z856" t="n">
        <v>386</v>
      </c>
      <c r="AA856" t="n">
        <v>553</v>
      </c>
      <c r="AB856" t="n">
        <v>5</v>
      </c>
      <c r="AC856" t="n">
        <v>6</v>
      </c>
      <c r="AD856" t="n">
        <v>18</v>
      </c>
      <c r="AE856" t="n">
        <v>22</v>
      </c>
      <c r="AF856" t="n">
        <v>7</v>
      </c>
      <c r="AG856" t="n">
        <v>8</v>
      </c>
      <c r="AH856" t="n">
        <v>5</v>
      </c>
      <c r="AI856" t="n">
        <v>6</v>
      </c>
      <c r="AJ856" t="n">
        <v>8</v>
      </c>
      <c r="AK856" t="n">
        <v>10</v>
      </c>
      <c r="AL856" t="n">
        <v>4</v>
      </c>
      <c r="AM856" t="n">
        <v>5</v>
      </c>
      <c r="AN856" t="n">
        <v>0</v>
      </c>
      <c r="AO856" t="n">
        <v>0</v>
      </c>
      <c r="AP856" t="inlineStr">
        <is>
          <t>No</t>
        </is>
      </c>
      <c r="AQ856" t="inlineStr">
        <is>
          <t>No</t>
        </is>
      </c>
      <c r="AS856">
        <f>HYPERLINK("https://creighton-primo.hosted.exlibrisgroup.com/primo-explore/search?tab=default_tab&amp;search_scope=EVERYTHING&amp;vid=01CRU&amp;lang=en_US&amp;offset=0&amp;query=any,contains,991001217959702656","Catalog Record")</f>
        <v/>
      </c>
      <c r="AT856">
        <f>HYPERLINK("http://www.worldcat.org/oclc/17440617","WorldCat Record")</f>
        <v/>
      </c>
      <c r="AU856" t="inlineStr">
        <is>
          <t>1075692:eng</t>
        </is>
      </c>
      <c r="AV856" t="inlineStr">
        <is>
          <t>17440617</t>
        </is>
      </c>
      <c r="AW856" t="inlineStr">
        <is>
          <t>991001217959702656</t>
        </is>
      </c>
      <c r="AX856" t="inlineStr">
        <is>
          <t>991001217959702656</t>
        </is>
      </c>
      <c r="AY856" t="inlineStr">
        <is>
          <t>2256313960002656</t>
        </is>
      </c>
      <c r="AZ856" t="inlineStr">
        <is>
          <t>BOOK</t>
        </is>
      </c>
      <c r="BB856" t="inlineStr">
        <is>
          <t>9780810602113</t>
        </is>
      </c>
      <c r="BC856" t="inlineStr">
        <is>
          <t>32285000917111</t>
        </is>
      </c>
      <c r="BD856" t="inlineStr">
        <is>
          <t>893432695</t>
        </is>
      </c>
    </row>
    <row r="857">
      <c r="A857" t="inlineStr">
        <is>
          <t>No</t>
        </is>
      </c>
      <c r="B857" t="inlineStr">
        <is>
          <t>LB1590.3 .T43 1986</t>
        </is>
      </c>
      <c r="C857" t="inlineStr">
        <is>
          <t>0                      LB 1590300T  43          1986</t>
        </is>
      </c>
      <c r="D857" t="inlineStr">
        <is>
          <t>Teaching for thinking : theory, strategies, and activities for the classroom / Louis E. Raths ... [et al.].</t>
        </is>
      </c>
      <c r="F857" t="inlineStr">
        <is>
          <t>No</t>
        </is>
      </c>
      <c r="G857" t="inlineStr">
        <is>
          <t>1</t>
        </is>
      </c>
      <c r="H857" t="inlineStr">
        <is>
          <t>No</t>
        </is>
      </c>
      <c r="I857" t="inlineStr">
        <is>
          <t>No</t>
        </is>
      </c>
      <c r="J857" t="inlineStr">
        <is>
          <t>0</t>
        </is>
      </c>
      <c r="L857" t="inlineStr">
        <is>
          <t>New York : Teachers College, Columbia University, c1986.</t>
        </is>
      </c>
      <c r="M857" t="inlineStr">
        <is>
          <t>1986</t>
        </is>
      </c>
      <c r="N857" t="inlineStr">
        <is>
          <t>2nd ed., New ed.</t>
        </is>
      </c>
      <c r="O857" t="inlineStr">
        <is>
          <t>eng</t>
        </is>
      </c>
      <c r="P857" t="inlineStr">
        <is>
          <t>nyu</t>
        </is>
      </c>
      <c r="R857" t="inlineStr">
        <is>
          <t xml:space="preserve">LB </t>
        </is>
      </c>
      <c r="S857" t="n">
        <v>5</v>
      </c>
      <c r="T857" t="n">
        <v>5</v>
      </c>
      <c r="U857" t="inlineStr">
        <is>
          <t>2003-06-16</t>
        </is>
      </c>
      <c r="V857" t="inlineStr">
        <is>
          <t>2003-06-16</t>
        </is>
      </c>
      <c r="W857" t="inlineStr">
        <is>
          <t>1992-01-21</t>
        </is>
      </c>
      <c r="X857" t="inlineStr">
        <is>
          <t>1992-01-21</t>
        </is>
      </c>
      <c r="Y857" t="n">
        <v>689</v>
      </c>
      <c r="Z857" t="n">
        <v>604</v>
      </c>
      <c r="AA857" t="n">
        <v>637</v>
      </c>
      <c r="AB857" t="n">
        <v>7</v>
      </c>
      <c r="AC857" t="n">
        <v>7</v>
      </c>
      <c r="AD857" t="n">
        <v>30</v>
      </c>
      <c r="AE857" t="n">
        <v>31</v>
      </c>
      <c r="AF857" t="n">
        <v>12</v>
      </c>
      <c r="AG857" t="n">
        <v>13</v>
      </c>
      <c r="AH857" t="n">
        <v>5</v>
      </c>
      <c r="AI857" t="n">
        <v>6</v>
      </c>
      <c r="AJ857" t="n">
        <v>15</v>
      </c>
      <c r="AK857" t="n">
        <v>15</v>
      </c>
      <c r="AL857" t="n">
        <v>5</v>
      </c>
      <c r="AM857" t="n">
        <v>5</v>
      </c>
      <c r="AN857" t="n">
        <v>0</v>
      </c>
      <c r="AO857" t="n">
        <v>0</v>
      </c>
      <c r="AP857" t="inlineStr">
        <is>
          <t>No</t>
        </is>
      </c>
      <c r="AQ857" t="inlineStr">
        <is>
          <t>No</t>
        </is>
      </c>
      <c r="AS857">
        <f>HYPERLINK("https://creighton-primo.hosted.exlibrisgroup.com/primo-explore/search?tab=default_tab&amp;search_scope=EVERYTHING&amp;vid=01CRU&amp;lang=en_US&amp;offset=0&amp;query=any,contains,991000830909702656","Catalog Record")</f>
        <v/>
      </c>
      <c r="AT857">
        <f>HYPERLINK("http://www.worldcat.org/oclc/13455306","WorldCat Record")</f>
        <v/>
      </c>
      <c r="AU857" t="inlineStr">
        <is>
          <t>3943347129:eng</t>
        </is>
      </c>
      <c r="AV857" t="inlineStr">
        <is>
          <t>13455306</t>
        </is>
      </c>
      <c r="AW857" t="inlineStr">
        <is>
          <t>991000830909702656</t>
        </is>
      </c>
      <c r="AX857" t="inlineStr">
        <is>
          <t>991000830909702656</t>
        </is>
      </c>
      <c r="AY857" t="inlineStr">
        <is>
          <t>2263592550002656</t>
        </is>
      </c>
      <c r="AZ857" t="inlineStr">
        <is>
          <t>BOOK</t>
        </is>
      </c>
      <c r="BB857" t="inlineStr">
        <is>
          <t>9780807728147</t>
        </is>
      </c>
      <c r="BC857" t="inlineStr">
        <is>
          <t>32285000917103</t>
        </is>
      </c>
      <c r="BD857" t="inlineStr">
        <is>
          <t>893426083</t>
        </is>
      </c>
    </row>
    <row r="858">
      <c r="A858" t="inlineStr">
        <is>
          <t>No</t>
        </is>
      </c>
      <c r="B858" t="inlineStr">
        <is>
          <t>LB1591 .P76 2009</t>
        </is>
      </c>
      <c r="C858" t="inlineStr">
        <is>
          <t>0                      LB 1591000P  76          2009</t>
        </is>
      </c>
      <c r="D858" t="inlineStr">
        <is>
          <t>A road map to education : the CRE-ACT way / Dorothy Prokes.</t>
        </is>
      </c>
      <c r="F858" t="inlineStr">
        <is>
          <t>No</t>
        </is>
      </c>
      <c r="G858" t="inlineStr">
        <is>
          <t>1</t>
        </is>
      </c>
      <c r="H858" t="inlineStr">
        <is>
          <t>No</t>
        </is>
      </c>
      <c r="I858" t="inlineStr">
        <is>
          <t>No</t>
        </is>
      </c>
      <c r="J858" t="inlineStr">
        <is>
          <t>0</t>
        </is>
      </c>
      <c r="K858" t="inlineStr">
        <is>
          <t>Prokes, Dorothy.</t>
        </is>
      </c>
      <c r="L858" t="inlineStr">
        <is>
          <t>Lanham, Md. : University Press of America, c2009.</t>
        </is>
      </c>
      <c r="M858" t="inlineStr">
        <is>
          <t>2009</t>
        </is>
      </c>
      <c r="O858" t="inlineStr">
        <is>
          <t>eng</t>
        </is>
      </c>
      <c r="P858" t="inlineStr">
        <is>
          <t>mdu</t>
        </is>
      </c>
      <c r="R858" t="inlineStr">
        <is>
          <t xml:space="preserve">LB </t>
        </is>
      </c>
      <c r="S858" t="n">
        <v>1</v>
      </c>
      <c r="T858" t="n">
        <v>1</v>
      </c>
      <c r="U858" t="inlineStr">
        <is>
          <t>2009-06-25</t>
        </is>
      </c>
      <c r="V858" t="inlineStr">
        <is>
          <t>2009-06-25</t>
        </is>
      </c>
      <c r="W858" t="inlineStr">
        <is>
          <t>2009-06-25</t>
        </is>
      </c>
      <c r="X858" t="inlineStr">
        <is>
          <t>2009-06-25</t>
        </is>
      </c>
      <c r="Y858" t="n">
        <v>165</v>
      </c>
      <c r="Z858" t="n">
        <v>151</v>
      </c>
      <c r="AA858" t="n">
        <v>184</v>
      </c>
      <c r="AB858" t="n">
        <v>4</v>
      </c>
      <c r="AC858" t="n">
        <v>4</v>
      </c>
      <c r="AD858" t="n">
        <v>10</v>
      </c>
      <c r="AE858" t="n">
        <v>12</v>
      </c>
      <c r="AF858" t="n">
        <v>5</v>
      </c>
      <c r="AG858" t="n">
        <v>6</v>
      </c>
      <c r="AH858" t="n">
        <v>1</v>
      </c>
      <c r="AI858" t="n">
        <v>2</v>
      </c>
      <c r="AJ858" t="n">
        <v>4</v>
      </c>
      <c r="AK858" t="n">
        <v>4</v>
      </c>
      <c r="AL858" t="n">
        <v>3</v>
      </c>
      <c r="AM858" t="n">
        <v>3</v>
      </c>
      <c r="AN858" t="n">
        <v>0</v>
      </c>
      <c r="AO858" t="n">
        <v>0</v>
      </c>
      <c r="AP858" t="inlineStr">
        <is>
          <t>No</t>
        </is>
      </c>
      <c r="AQ858" t="inlineStr">
        <is>
          <t>No</t>
        </is>
      </c>
      <c r="AS858">
        <f>HYPERLINK("https://creighton-primo.hosted.exlibrisgroup.com/primo-explore/search?tab=default_tab&amp;search_scope=EVERYTHING&amp;vid=01CRU&amp;lang=en_US&amp;offset=0&amp;query=any,contains,991005324639702656","Catalog Record")</f>
        <v/>
      </c>
      <c r="AT858">
        <f>HYPERLINK("http://www.worldcat.org/oclc/256529767","WorldCat Record")</f>
        <v/>
      </c>
      <c r="AU858" t="inlineStr">
        <is>
          <t>809506850:eng</t>
        </is>
      </c>
      <c r="AV858" t="inlineStr">
        <is>
          <t>256529767</t>
        </is>
      </c>
      <c r="AW858" t="inlineStr">
        <is>
          <t>991005324639702656</t>
        </is>
      </c>
      <c r="AX858" t="inlineStr">
        <is>
          <t>991005324639702656</t>
        </is>
      </c>
      <c r="AY858" t="inlineStr">
        <is>
          <t>2261371420002656</t>
        </is>
      </c>
      <c r="AZ858" t="inlineStr">
        <is>
          <t>BOOK</t>
        </is>
      </c>
      <c r="BB858" t="inlineStr">
        <is>
          <t>9780761843818</t>
        </is>
      </c>
      <c r="BC858" t="inlineStr">
        <is>
          <t>32285005536809</t>
        </is>
      </c>
      <c r="BD858" t="inlineStr">
        <is>
          <t>893802125</t>
        </is>
      </c>
    </row>
    <row r="859">
      <c r="A859" t="inlineStr">
        <is>
          <t>No</t>
        </is>
      </c>
      <c r="B859" t="inlineStr">
        <is>
          <t>LB1591.5.U57 F68 1996</t>
        </is>
      </c>
      <c r="C859" t="inlineStr">
        <is>
          <t>0                      LB 1591500U  57                 F  68          1996</t>
        </is>
      </c>
      <c r="D859" t="inlineStr">
        <is>
          <t>Strong arts, strong schools : the promising potential and shortsighted disregard of the arts in American schooling / Charles Fowler.</t>
        </is>
      </c>
      <c r="F859" t="inlineStr">
        <is>
          <t>No</t>
        </is>
      </c>
      <c r="G859" t="inlineStr">
        <is>
          <t>1</t>
        </is>
      </c>
      <c r="H859" t="inlineStr">
        <is>
          <t>No</t>
        </is>
      </c>
      <c r="I859" t="inlineStr">
        <is>
          <t>No</t>
        </is>
      </c>
      <c r="J859" t="inlineStr">
        <is>
          <t>0</t>
        </is>
      </c>
      <c r="K859" t="inlineStr">
        <is>
          <t>Fowler, Charles, 1931-1995.</t>
        </is>
      </c>
      <c r="L859" t="inlineStr">
        <is>
          <t>New York : Oxford University Press, 1996.</t>
        </is>
      </c>
      <c r="M859" t="inlineStr">
        <is>
          <t>1996</t>
        </is>
      </c>
      <c r="O859" t="inlineStr">
        <is>
          <t>eng</t>
        </is>
      </c>
      <c r="P859" t="inlineStr">
        <is>
          <t>nyu</t>
        </is>
      </c>
      <c r="R859" t="inlineStr">
        <is>
          <t xml:space="preserve">LB </t>
        </is>
      </c>
      <c r="S859" t="n">
        <v>3</v>
      </c>
      <c r="T859" t="n">
        <v>3</v>
      </c>
      <c r="U859" t="inlineStr">
        <is>
          <t>2000-12-06</t>
        </is>
      </c>
      <c r="V859" t="inlineStr">
        <is>
          <t>2000-12-06</t>
        </is>
      </c>
      <c r="W859" t="inlineStr">
        <is>
          <t>1997-12-18</t>
        </is>
      </c>
      <c r="X859" t="inlineStr">
        <is>
          <t>1997-12-18</t>
        </is>
      </c>
      <c r="Y859" t="n">
        <v>805</v>
      </c>
      <c r="Z859" t="n">
        <v>748</v>
      </c>
      <c r="AA859" t="n">
        <v>1090</v>
      </c>
      <c r="AB859" t="n">
        <v>9</v>
      </c>
      <c r="AC859" t="n">
        <v>13</v>
      </c>
      <c r="AD859" t="n">
        <v>28</v>
      </c>
      <c r="AE859" t="n">
        <v>33</v>
      </c>
      <c r="AF859" t="n">
        <v>7</v>
      </c>
      <c r="AG859" t="n">
        <v>7</v>
      </c>
      <c r="AH859" t="n">
        <v>8</v>
      </c>
      <c r="AI859" t="n">
        <v>9</v>
      </c>
      <c r="AJ859" t="n">
        <v>13</v>
      </c>
      <c r="AK859" t="n">
        <v>13</v>
      </c>
      <c r="AL859" t="n">
        <v>7</v>
      </c>
      <c r="AM859" t="n">
        <v>11</v>
      </c>
      <c r="AN859" t="n">
        <v>0</v>
      </c>
      <c r="AO859" t="n">
        <v>0</v>
      </c>
      <c r="AP859" t="inlineStr">
        <is>
          <t>No</t>
        </is>
      </c>
      <c r="AQ859" t="inlineStr">
        <is>
          <t>No</t>
        </is>
      </c>
      <c r="AS859">
        <f>HYPERLINK("https://creighton-primo.hosted.exlibrisgroup.com/primo-explore/search?tab=default_tab&amp;search_scope=EVERYTHING&amp;vid=01CRU&amp;lang=en_US&amp;offset=0&amp;query=any,contains,991002531049702656","Catalog Record")</f>
        <v/>
      </c>
      <c r="AT859">
        <f>HYPERLINK("http://www.worldcat.org/oclc/32893226","WorldCat Record")</f>
        <v/>
      </c>
      <c r="AU859" t="inlineStr">
        <is>
          <t>836971161:eng</t>
        </is>
      </c>
      <c r="AV859" t="inlineStr">
        <is>
          <t>32893226</t>
        </is>
      </c>
      <c r="AW859" t="inlineStr">
        <is>
          <t>991002531049702656</t>
        </is>
      </c>
      <c r="AX859" t="inlineStr">
        <is>
          <t>991002531049702656</t>
        </is>
      </c>
      <c r="AY859" t="inlineStr">
        <is>
          <t>2257725980002656</t>
        </is>
      </c>
      <c r="AZ859" t="inlineStr">
        <is>
          <t>BOOK</t>
        </is>
      </c>
      <c r="BB859" t="inlineStr">
        <is>
          <t>9780195100891</t>
        </is>
      </c>
      <c r="BC859" t="inlineStr">
        <is>
          <t>32285003283859</t>
        </is>
      </c>
      <c r="BD859" t="inlineStr">
        <is>
          <t>893627179</t>
        </is>
      </c>
    </row>
    <row r="860">
      <c r="A860" t="inlineStr">
        <is>
          <t>No</t>
        </is>
      </c>
      <c r="B860" t="inlineStr">
        <is>
          <t>LB1592 .D63 2000</t>
        </is>
      </c>
      <c r="C860" t="inlineStr">
        <is>
          <t>0                      LB 1592000D  63          2000</t>
        </is>
      </c>
      <c r="D860" t="inlineStr">
        <is>
          <t>101 innovative ideas for creative kids / Claudia J. Dodson.</t>
        </is>
      </c>
      <c r="F860" t="inlineStr">
        <is>
          <t>No</t>
        </is>
      </c>
      <c r="G860" t="inlineStr">
        <is>
          <t>1</t>
        </is>
      </c>
      <c r="H860" t="inlineStr">
        <is>
          <t>No</t>
        </is>
      </c>
      <c r="I860" t="inlineStr">
        <is>
          <t>No</t>
        </is>
      </c>
      <c r="J860" t="inlineStr">
        <is>
          <t>0</t>
        </is>
      </c>
      <c r="K860" t="inlineStr">
        <is>
          <t>Dodson, Claudia J.</t>
        </is>
      </c>
      <c r="L860" t="inlineStr">
        <is>
          <t>Thousand Oaks, Calif. : Corwin Press, c2000.</t>
        </is>
      </c>
      <c r="M860" t="inlineStr">
        <is>
          <t>2000</t>
        </is>
      </c>
      <c r="O860" t="inlineStr">
        <is>
          <t>eng</t>
        </is>
      </c>
      <c r="P860" t="inlineStr">
        <is>
          <t>cau</t>
        </is>
      </c>
      <c r="R860" t="inlineStr">
        <is>
          <t xml:space="preserve">LB </t>
        </is>
      </c>
      <c r="S860" t="n">
        <v>1</v>
      </c>
      <c r="T860" t="n">
        <v>1</v>
      </c>
      <c r="U860" t="inlineStr">
        <is>
          <t>2001-02-26</t>
        </is>
      </c>
      <c r="V860" t="inlineStr">
        <is>
          <t>2001-02-26</t>
        </is>
      </c>
      <c r="W860" t="inlineStr">
        <is>
          <t>2001-02-26</t>
        </is>
      </c>
      <c r="X860" t="inlineStr">
        <is>
          <t>2001-02-26</t>
        </is>
      </c>
      <c r="Y860" t="n">
        <v>177</v>
      </c>
      <c r="Z860" t="n">
        <v>147</v>
      </c>
      <c r="AA860" t="n">
        <v>149</v>
      </c>
      <c r="AB860" t="n">
        <v>1</v>
      </c>
      <c r="AC860" t="n">
        <v>1</v>
      </c>
      <c r="AD860" t="n">
        <v>2</v>
      </c>
      <c r="AE860" t="n">
        <v>2</v>
      </c>
      <c r="AF860" t="n">
        <v>1</v>
      </c>
      <c r="AG860" t="n">
        <v>1</v>
      </c>
      <c r="AH860" t="n">
        <v>0</v>
      </c>
      <c r="AI860" t="n">
        <v>0</v>
      </c>
      <c r="AJ860" t="n">
        <v>2</v>
      </c>
      <c r="AK860" t="n">
        <v>2</v>
      </c>
      <c r="AL860" t="n">
        <v>0</v>
      </c>
      <c r="AM860" t="n">
        <v>0</v>
      </c>
      <c r="AN860" t="n">
        <v>0</v>
      </c>
      <c r="AO860" t="n">
        <v>0</v>
      </c>
      <c r="AP860" t="inlineStr">
        <is>
          <t>No</t>
        </is>
      </c>
      <c r="AQ860" t="inlineStr">
        <is>
          <t>No</t>
        </is>
      </c>
      <c r="AS860">
        <f>HYPERLINK("https://creighton-primo.hosted.exlibrisgroup.com/primo-explore/search?tab=default_tab&amp;search_scope=EVERYTHING&amp;vid=01CRU&amp;lang=en_US&amp;offset=0&amp;query=any,contains,991003460839702656","Catalog Record")</f>
        <v/>
      </c>
      <c r="AT860">
        <f>HYPERLINK("http://www.worldcat.org/oclc/43296510","WorldCat Record")</f>
        <v/>
      </c>
      <c r="AU860" t="inlineStr">
        <is>
          <t>44261614:eng</t>
        </is>
      </c>
      <c r="AV860" t="inlineStr">
        <is>
          <t>43296510</t>
        </is>
      </c>
      <c r="AW860" t="inlineStr">
        <is>
          <t>991003460839702656</t>
        </is>
      </c>
      <c r="AX860" t="inlineStr">
        <is>
          <t>991003460839702656</t>
        </is>
      </c>
      <c r="AY860" t="inlineStr">
        <is>
          <t>2263989410002656</t>
        </is>
      </c>
      <c r="AZ860" t="inlineStr">
        <is>
          <t>BOOK</t>
        </is>
      </c>
      <c r="BB860" t="inlineStr">
        <is>
          <t>9780761976448</t>
        </is>
      </c>
      <c r="BC860" t="inlineStr">
        <is>
          <t>32285004297411</t>
        </is>
      </c>
      <c r="BD860" t="inlineStr">
        <is>
          <t>893511961</t>
        </is>
      </c>
    </row>
    <row r="861">
      <c r="A861" t="inlineStr">
        <is>
          <t>No</t>
        </is>
      </c>
      <c r="B861" t="inlineStr">
        <is>
          <t>LB1607 .B652 1996</t>
        </is>
      </c>
      <c r="C861" t="inlineStr">
        <is>
          <t>0                      LB 1607000B  652         1996</t>
        </is>
      </c>
      <c r="D861" t="inlineStr">
        <is>
          <t>An Executive summary of Breaking ranks : changing an American institution.</t>
        </is>
      </c>
      <c r="F861" t="inlineStr">
        <is>
          <t>No</t>
        </is>
      </c>
      <c r="G861" t="inlineStr">
        <is>
          <t>1</t>
        </is>
      </c>
      <c r="H861" t="inlineStr">
        <is>
          <t>No</t>
        </is>
      </c>
      <c r="I861" t="inlineStr">
        <is>
          <t>No</t>
        </is>
      </c>
      <c r="J861" t="inlineStr">
        <is>
          <t>0</t>
        </is>
      </c>
      <c r="L861" t="inlineStr">
        <is>
          <t>Reston, Va. : National Association of Secondary School Principals, 1996.</t>
        </is>
      </c>
      <c r="M861" t="inlineStr">
        <is>
          <t>1996</t>
        </is>
      </c>
      <c r="O861" t="inlineStr">
        <is>
          <t>eng</t>
        </is>
      </c>
      <c r="P861" t="inlineStr">
        <is>
          <t>vau</t>
        </is>
      </c>
      <c r="R861" t="inlineStr">
        <is>
          <t xml:space="preserve">LB </t>
        </is>
      </c>
      <c r="S861" t="n">
        <v>7</v>
      </c>
      <c r="T861" t="n">
        <v>7</v>
      </c>
      <c r="U861" t="inlineStr">
        <is>
          <t>2004-02-26</t>
        </is>
      </c>
      <c r="V861" t="inlineStr">
        <is>
          <t>2004-02-26</t>
        </is>
      </c>
      <c r="W861" t="inlineStr">
        <is>
          <t>1996-06-05</t>
        </is>
      </c>
      <c r="X861" t="inlineStr">
        <is>
          <t>1996-06-05</t>
        </is>
      </c>
      <c r="Y861" t="n">
        <v>94</v>
      </c>
      <c r="Z861" t="n">
        <v>89</v>
      </c>
      <c r="AA861" t="n">
        <v>89</v>
      </c>
      <c r="AB861" t="n">
        <v>2</v>
      </c>
      <c r="AC861" t="n">
        <v>2</v>
      </c>
      <c r="AD861" t="n">
        <v>5</v>
      </c>
      <c r="AE861" t="n">
        <v>5</v>
      </c>
      <c r="AF861" t="n">
        <v>2</v>
      </c>
      <c r="AG861" t="n">
        <v>2</v>
      </c>
      <c r="AH861" t="n">
        <v>2</v>
      </c>
      <c r="AI861" t="n">
        <v>2</v>
      </c>
      <c r="AJ861" t="n">
        <v>2</v>
      </c>
      <c r="AK861" t="n">
        <v>2</v>
      </c>
      <c r="AL861" t="n">
        <v>1</v>
      </c>
      <c r="AM861" t="n">
        <v>1</v>
      </c>
      <c r="AN861" t="n">
        <v>0</v>
      </c>
      <c r="AO861" t="n">
        <v>0</v>
      </c>
      <c r="AP861" t="inlineStr">
        <is>
          <t>No</t>
        </is>
      </c>
      <c r="AQ861" t="inlineStr">
        <is>
          <t>No</t>
        </is>
      </c>
      <c r="AS861">
        <f>HYPERLINK("https://creighton-primo.hosted.exlibrisgroup.com/primo-explore/search?tab=default_tab&amp;search_scope=EVERYTHING&amp;vid=01CRU&amp;lang=en_US&amp;offset=0&amp;query=any,contains,991002643789702656","Catalog Record")</f>
        <v/>
      </c>
      <c r="AT861">
        <f>HYPERLINK("http://www.worldcat.org/oclc/34599513","WorldCat Record")</f>
        <v/>
      </c>
      <c r="AU861" t="inlineStr">
        <is>
          <t>5612757640:eng</t>
        </is>
      </c>
      <c r="AV861" t="inlineStr">
        <is>
          <t>34599513</t>
        </is>
      </c>
      <c r="AW861" t="inlineStr">
        <is>
          <t>991002643789702656</t>
        </is>
      </c>
      <c r="AX861" t="inlineStr">
        <is>
          <t>991002643789702656</t>
        </is>
      </c>
      <c r="AY861" t="inlineStr">
        <is>
          <t>2266810490002656</t>
        </is>
      </c>
      <c r="AZ861" t="inlineStr">
        <is>
          <t>BOOK</t>
        </is>
      </c>
      <c r="BC861" t="inlineStr">
        <is>
          <t>32285002187481</t>
        </is>
      </c>
      <c r="BD861" t="inlineStr">
        <is>
          <t>893415451</t>
        </is>
      </c>
    </row>
    <row r="862">
      <c r="A862" t="inlineStr">
        <is>
          <t>No</t>
        </is>
      </c>
      <c r="B862" t="inlineStr">
        <is>
          <t>LB1607 .C49 1986</t>
        </is>
      </c>
      <c r="C862" t="inlineStr">
        <is>
          <t>0                      LB 1607000C  49          1986</t>
        </is>
      </c>
      <c r="D862" t="inlineStr">
        <is>
          <t>Secondary and middle school teaching methods / Leonard H. Clark, Irving S. Starr.</t>
        </is>
      </c>
      <c r="F862" t="inlineStr">
        <is>
          <t>No</t>
        </is>
      </c>
      <c r="G862" t="inlineStr">
        <is>
          <t>1</t>
        </is>
      </c>
      <c r="H862" t="inlineStr">
        <is>
          <t>No</t>
        </is>
      </c>
      <c r="I862" t="inlineStr">
        <is>
          <t>No</t>
        </is>
      </c>
      <c r="J862" t="inlineStr">
        <is>
          <t>0</t>
        </is>
      </c>
      <c r="K862" t="inlineStr">
        <is>
          <t>Clark, Leonard.</t>
        </is>
      </c>
      <c r="L862" t="inlineStr">
        <is>
          <t>New York : Macmillan ; London : Collier Macmillan, c1986.</t>
        </is>
      </c>
      <c r="M862" t="inlineStr">
        <is>
          <t>1986</t>
        </is>
      </c>
      <c r="N862" t="inlineStr">
        <is>
          <t>5th ed.</t>
        </is>
      </c>
      <c r="O862" t="inlineStr">
        <is>
          <t>eng</t>
        </is>
      </c>
      <c r="P862" t="inlineStr">
        <is>
          <t>nyu</t>
        </is>
      </c>
      <c r="R862" t="inlineStr">
        <is>
          <t xml:space="preserve">LB </t>
        </is>
      </c>
      <c r="S862" t="n">
        <v>5</v>
      </c>
      <c r="T862" t="n">
        <v>5</v>
      </c>
      <c r="U862" t="inlineStr">
        <is>
          <t>2002-10-23</t>
        </is>
      </c>
      <c r="V862" t="inlineStr">
        <is>
          <t>2002-10-23</t>
        </is>
      </c>
      <c r="W862" t="inlineStr">
        <is>
          <t>1990-05-07</t>
        </is>
      </c>
      <c r="X862" t="inlineStr">
        <is>
          <t>1990-05-07</t>
        </is>
      </c>
      <c r="Y862" t="n">
        <v>263</v>
      </c>
      <c r="Z862" t="n">
        <v>218</v>
      </c>
      <c r="AA862" t="n">
        <v>558</v>
      </c>
      <c r="AB862" t="n">
        <v>2</v>
      </c>
      <c r="AC862" t="n">
        <v>4</v>
      </c>
      <c r="AD862" t="n">
        <v>7</v>
      </c>
      <c r="AE862" t="n">
        <v>21</v>
      </c>
      <c r="AF862" t="n">
        <v>3</v>
      </c>
      <c r="AG862" t="n">
        <v>10</v>
      </c>
      <c r="AH862" t="n">
        <v>0</v>
      </c>
      <c r="AI862" t="n">
        <v>2</v>
      </c>
      <c r="AJ862" t="n">
        <v>4</v>
      </c>
      <c r="AK862" t="n">
        <v>12</v>
      </c>
      <c r="AL862" t="n">
        <v>1</v>
      </c>
      <c r="AM862" t="n">
        <v>2</v>
      </c>
      <c r="AN862" t="n">
        <v>0</v>
      </c>
      <c r="AO862" t="n">
        <v>0</v>
      </c>
      <c r="AP862" t="inlineStr">
        <is>
          <t>No</t>
        </is>
      </c>
      <c r="AQ862" t="inlineStr">
        <is>
          <t>No</t>
        </is>
      </c>
      <c r="AS862">
        <f>HYPERLINK("https://creighton-primo.hosted.exlibrisgroup.com/primo-explore/search?tab=default_tab&amp;search_scope=EVERYTHING&amp;vid=01CRU&amp;lang=en_US&amp;offset=0&amp;query=any,contains,991000573849702656","Catalog Record")</f>
        <v/>
      </c>
      <c r="AT862">
        <f>HYPERLINK("http://www.worldcat.org/oclc/11676190","WorldCat Record")</f>
        <v/>
      </c>
      <c r="AU862" t="inlineStr">
        <is>
          <t>3855268540:eng</t>
        </is>
      </c>
      <c r="AV862" t="inlineStr">
        <is>
          <t>11676190</t>
        </is>
      </c>
      <c r="AW862" t="inlineStr">
        <is>
          <t>991000573849702656</t>
        </is>
      </c>
      <c r="AX862" t="inlineStr">
        <is>
          <t>991000573849702656</t>
        </is>
      </c>
      <c r="AY862" t="inlineStr">
        <is>
          <t>2256750200002656</t>
        </is>
      </c>
      <c r="AZ862" t="inlineStr">
        <is>
          <t>BOOK</t>
        </is>
      </c>
      <c r="BB862" t="inlineStr">
        <is>
          <t>9780023226007</t>
        </is>
      </c>
      <c r="BC862" t="inlineStr">
        <is>
          <t>32285000149889</t>
        </is>
      </c>
      <c r="BD862" t="inlineStr">
        <is>
          <t>893508907</t>
        </is>
      </c>
    </row>
    <row r="863">
      <c r="A863" t="inlineStr">
        <is>
          <t>No</t>
        </is>
      </c>
      <c r="B863" t="inlineStr">
        <is>
          <t>LB1607 .G46</t>
        </is>
      </c>
      <c r="C863" t="inlineStr">
        <is>
          <t>0                      LB 1607000G  46</t>
        </is>
      </c>
      <c r="D863" t="inlineStr">
        <is>
          <t>How good is your school? : Program evaluation for secondary schools / by William Georgiades.</t>
        </is>
      </c>
      <c r="F863" t="inlineStr">
        <is>
          <t>No</t>
        </is>
      </c>
      <c r="G863" t="inlineStr">
        <is>
          <t>1</t>
        </is>
      </c>
      <c r="H863" t="inlineStr">
        <is>
          <t>No</t>
        </is>
      </c>
      <c r="I863" t="inlineStr">
        <is>
          <t>No</t>
        </is>
      </c>
      <c r="J863" t="inlineStr">
        <is>
          <t>0</t>
        </is>
      </c>
      <c r="K863" t="inlineStr">
        <is>
          <t>Georgiades, William.</t>
        </is>
      </c>
      <c r="L863" t="inlineStr">
        <is>
          <t>Reston, Va. : National Association of Secondary School Principals, c1978.</t>
        </is>
      </c>
      <c r="M863" t="inlineStr">
        <is>
          <t>1978</t>
        </is>
      </c>
      <c r="O863" t="inlineStr">
        <is>
          <t>eng</t>
        </is>
      </c>
      <c r="P863" t="inlineStr">
        <is>
          <t>vau</t>
        </is>
      </c>
      <c r="R863" t="inlineStr">
        <is>
          <t xml:space="preserve">LB </t>
        </is>
      </c>
      <c r="S863" t="n">
        <v>6</v>
      </c>
      <c r="T863" t="n">
        <v>6</v>
      </c>
      <c r="U863" t="inlineStr">
        <is>
          <t>2003-03-17</t>
        </is>
      </c>
      <c r="V863" t="inlineStr">
        <is>
          <t>2003-03-17</t>
        </is>
      </c>
      <c r="W863" t="inlineStr">
        <is>
          <t>1993-01-28</t>
        </is>
      </c>
      <c r="X863" t="inlineStr">
        <is>
          <t>1993-01-28</t>
        </is>
      </c>
      <c r="Y863" t="n">
        <v>494</v>
      </c>
      <c r="Z863" t="n">
        <v>446</v>
      </c>
      <c r="AA863" t="n">
        <v>448</v>
      </c>
      <c r="AB863" t="n">
        <v>7</v>
      </c>
      <c r="AC863" t="n">
        <v>7</v>
      </c>
      <c r="AD863" t="n">
        <v>18</v>
      </c>
      <c r="AE863" t="n">
        <v>18</v>
      </c>
      <c r="AF863" t="n">
        <v>5</v>
      </c>
      <c r="AG863" t="n">
        <v>5</v>
      </c>
      <c r="AH863" t="n">
        <v>3</v>
      </c>
      <c r="AI863" t="n">
        <v>3</v>
      </c>
      <c r="AJ863" t="n">
        <v>9</v>
      </c>
      <c r="AK863" t="n">
        <v>9</v>
      </c>
      <c r="AL863" t="n">
        <v>5</v>
      </c>
      <c r="AM863" t="n">
        <v>5</v>
      </c>
      <c r="AN863" t="n">
        <v>0</v>
      </c>
      <c r="AO863" t="n">
        <v>0</v>
      </c>
      <c r="AP863" t="inlineStr">
        <is>
          <t>No</t>
        </is>
      </c>
      <c r="AQ863" t="inlineStr">
        <is>
          <t>Yes</t>
        </is>
      </c>
      <c r="AR863">
        <f>HYPERLINK("http://catalog.hathitrust.org/Record/007471900","HathiTrust Record")</f>
        <v/>
      </c>
      <c r="AS863">
        <f>HYPERLINK("https://creighton-primo.hosted.exlibrisgroup.com/primo-explore/search?tab=default_tab&amp;search_scope=EVERYTHING&amp;vid=01CRU&amp;lang=en_US&amp;offset=0&amp;query=any,contains,991004486079702656","Catalog Record")</f>
        <v/>
      </c>
      <c r="AT863">
        <f>HYPERLINK("http://www.worldcat.org/oclc/3645531","WorldCat Record")</f>
        <v/>
      </c>
      <c r="AU863" t="inlineStr">
        <is>
          <t>309021227:eng</t>
        </is>
      </c>
      <c r="AV863" t="inlineStr">
        <is>
          <t>3645531</t>
        </is>
      </c>
      <c r="AW863" t="inlineStr">
        <is>
          <t>991004486079702656</t>
        </is>
      </c>
      <c r="AX863" t="inlineStr">
        <is>
          <t>991004486079702656</t>
        </is>
      </c>
      <c r="AY863" t="inlineStr">
        <is>
          <t>2257981350002656</t>
        </is>
      </c>
      <c r="AZ863" t="inlineStr">
        <is>
          <t>BOOK</t>
        </is>
      </c>
      <c r="BB863" t="inlineStr">
        <is>
          <t>9780882100876</t>
        </is>
      </c>
      <c r="BC863" t="inlineStr">
        <is>
          <t>32285001480051</t>
        </is>
      </c>
      <c r="BD863" t="inlineStr">
        <is>
          <t>893442668</t>
        </is>
      </c>
    </row>
    <row r="864">
      <c r="A864" t="inlineStr">
        <is>
          <t>No</t>
        </is>
      </c>
      <c r="B864" t="inlineStr">
        <is>
          <t>LB1607 .H665 1976</t>
        </is>
      </c>
      <c r="C864" t="inlineStr">
        <is>
          <t>0                      LB 1607000H  665         1976</t>
        </is>
      </c>
      <c r="D864" t="inlineStr">
        <is>
          <t>The professional teacher's handbook : a guide for improving instruction in today's middle and secondary schools / Kenneth H. Hoover.</t>
        </is>
      </c>
      <c r="F864" t="inlineStr">
        <is>
          <t>No</t>
        </is>
      </c>
      <c r="G864" t="inlineStr">
        <is>
          <t>1</t>
        </is>
      </c>
      <c r="H864" t="inlineStr">
        <is>
          <t>No</t>
        </is>
      </c>
      <c r="I864" t="inlineStr">
        <is>
          <t>No</t>
        </is>
      </c>
      <c r="J864" t="inlineStr">
        <is>
          <t>0</t>
        </is>
      </c>
      <c r="K864" t="inlineStr">
        <is>
          <t>Hoover, Kenneth H.</t>
        </is>
      </c>
      <c r="L864" t="inlineStr">
        <is>
          <t>Boston : Allyn and Bacon, c1976.</t>
        </is>
      </c>
      <c r="M864" t="inlineStr">
        <is>
          <t>1976</t>
        </is>
      </c>
      <c r="N864" t="inlineStr">
        <is>
          <t>Abridged 2d ed.</t>
        </is>
      </c>
      <c r="O864" t="inlineStr">
        <is>
          <t>eng</t>
        </is>
      </c>
      <c r="P864" t="inlineStr">
        <is>
          <t>mau</t>
        </is>
      </c>
      <c r="R864" t="inlineStr">
        <is>
          <t xml:space="preserve">LB </t>
        </is>
      </c>
      <c r="S864" t="n">
        <v>4</v>
      </c>
      <c r="T864" t="n">
        <v>4</v>
      </c>
      <c r="U864" t="inlineStr">
        <is>
          <t>2005-09-13</t>
        </is>
      </c>
      <c r="V864" t="inlineStr">
        <is>
          <t>2005-09-13</t>
        </is>
      </c>
      <c r="W864" t="inlineStr">
        <is>
          <t>1993-01-28</t>
        </is>
      </c>
      <c r="X864" t="inlineStr">
        <is>
          <t>1993-01-28</t>
        </is>
      </c>
      <c r="Y864" t="n">
        <v>219</v>
      </c>
      <c r="Z864" t="n">
        <v>201</v>
      </c>
      <c r="AA864" t="n">
        <v>370</v>
      </c>
      <c r="AB864" t="n">
        <v>4</v>
      </c>
      <c r="AC864" t="n">
        <v>5</v>
      </c>
      <c r="AD864" t="n">
        <v>13</v>
      </c>
      <c r="AE864" t="n">
        <v>18</v>
      </c>
      <c r="AF864" t="n">
        <v>4</v>
      </c>
      <c r="AG864" t="n">
        <v>6</v>
      </c>
      <c r="AH864" t="n">
        <v>5</v>
      </c>
      <c r="AI864" t="n">
        <v>6</v>
      </c>
      <c r="AJ864" t="n">
        <v>5</v>
      </c>
      <c r="AK864" t="n">
        <v>9</v>
      </c>
      <c r="AL864" t="n">
        <v>3</v>
      </c>
      <c r="AM864" t="n">
        <v>4</v>
      </c>
      <c r="AN864" t="n">
        <v>0</v>
      </c>
      <c r="AO864" t="n">
        <v>0</v>
      </c>
      <c r="AP864" t="inlineStr">
        <is>
          <t>No</t>
        </is>
      </c>
      <c r="AQ864" t="inlineStr">
        <is>
          <t>Yes</t>
        </is>
      </c>
      <c r="AR864">
        <f>HYPERLINK("http://catalog.hathitrust.org/Record/004431361","HathiTrust Record")</f>
        <v/>
      </c>
      <c r="AS864">
        <f>HYPERLINK("https://creighton-primo.hosted.exlibrisgroup.com/primo-explore/search?tab=default_tab&amp;search_scope=EVERYTHING&amp;vid=01CRU&amp;lang=en_US&amp;offset=0&amp;query=any,contains,991004182799702656","Catalog Record")</f>
        <v/>
      </c>
      <c r="AT864">
        <f>HYPERLINK("http://www.worldcat.org/oclc/2609729","WorldCat Record")</f>
        <v/>
      </c>
      <c r="AU864" t="inlineStr">
        <is>
          <t>836649717:eng</t>
        </is>
      </c>
      <c r="AV864" t="inlineStr">
        <is>
          <t>2609729</t>
        </is>
      </c>
      <c r="AW864" t="inlineStr">
        <is>
          <t>991004182799702656</t>
        </is>
      </c>
      <c r="AX864" t="inlineStr">
        <is>
          <t>991004182799702656</t>
        </is>
      </c>
      <c r="AY864" t="inlineStr">
        <is>
          <t>2261201840002656</t>
        </is>
      </c>
      <c r="AZ864" t="inlineStr">
        <is>
          <t>BOOK</t>
        </is>
      </c>
      <c r="BB864" t="inlineStr">
        <is>
          <t>9780205055821</t>
        </is>
      </c>
      <c r="BC864" t="inlineStr">
        <is>
          <t>32285001480069</t>
        </is>
      </c>
      <c r="BD864" t="inlineStr">
        <is>
          <t>893337407</t>
        </is>
      </c>
    </row>
    <row r="865">
      <c r="A865" t="inlineStr">
        <is>
          <t>No</t>
        </is>
      </c>
      <c r="B865" t="inlineStr">
        <is>
          <t>LB1607.5 .S26 2006</t>
        </is>
      </c>
      <c r="C865" t="inlineStr">
        <is>
          <t>0                      LB 1607500S  26          2006</t>
        </is>
      </c>
      <c r="D865" t="inlineStr">
        <is>
          <t>Battling the hamster wheel? : strategies for making high school reform work / Grace Sammon.</t>
        </is>
      </c>
      <c r="F865" t="inlineStr">
        <is>
          <t>No</t>
        </is>
      </c>
      <c r="G865" t="inlineStr">
        <is>
          <t>1</t>
        </is>
      </c>
      <c r="H865" t="inlineStr">
        <is>
          <t>No</t>
        </is>
      </c>
      <c r="I865" t="inlineStr">
        <is>
          <t>No</t>
        </is>
      </c>
      <c r="J865" t="inlineStr">
        <is>
          <t>0</t>
        </is>
      </c>
      <c r="K865" t="inlineStr">
        <is>
          <t>Sammon, Grace M.</t>
        </is>
      </c>
      <c r="L865" t="inlineStr">
        <is>
          <t>Thousand Oaks, Calif. : Corwin Press, c2006.</t>
        </is>
      </c>
      <c r="M865" t="inlineStr">
        <is>
          <t>2006</t>
        </is>
      </c>
      <c r="O865" t="inlineStr">
        <is>
          <t>eng</t>
        </is>
      </c>
      <c r="P865" t="inlineStr">
        <is>
          <t>cau</t>
        </is>
      </c>
      <c r="R865" t="inlineStr">
        <is>
          <t xml:space="preserve">LB </t>
        </is>
      </c>
      <c r="S865" t="n">
        <v>1</v>
      </c>
      <c r="T865" t="n">
        <v>1</v>
      </c>
      <c r="U865" t="inlineStr">
        <is>
          <t>2006-01-04</t>
        </is>
      </c>
      <c r="V865" t="inlineStr">
        <is>
          <t>2006-01-04</t>
        </is>
      </c>
      <c r="W865" t="inlineStr">
        <is>
          <t>2006-01-04</t>
        </is>
      </c>
      <c r="X865" t="inlineStr">
        <is>
          <t>2006-01-04</t>
        </is>
      </c>
      <c r="Y865" t="n">
        <v>189</v>
      </c>
      <c r="Z865" t="n">
        <v>170</v>
      </c>
      <c r="AA865" t="n">
        <v>197</v>
      </c>
      <c r="AB865" t="n">
        <v>2</v>
      </c>
      <c r="AC865" t="n">
        <v>3</v>
      </c>
      <c r="AD865" t="n">
        <v>9</v>
      </c>
      <c r="AE865" t="n">
        <v>11</v>
      </c>
      <c r="AF865" t="n">
        <v>2</v>
      </c>
      <c r="AG865" t="n">
        <v>3</v>
      </c>
      <c r="AH865" t="n">
        <v>2</v>
      </c>
      <c r="AI865" t="n">
        <v>3</v>
      </c>
      <c r="AJ865" t="n">
        <v>7</v>
      </c>
      <c r="AK865" t="n">
        <v>7</v>
      </c>
      <c r="AL865" t="n">
        <v>1</v>
      </c>
      <c r="AM865" t="n">
        <v>2</v>
      </c>
      <c r="AN865" t="n">
        <v>0</v>
      </c>
      <c r="AO865" t="n">
        <v>0</v>
      </c>
      <c r="AP865" t="inlineStr">
        <is>
          <t>No</t>
        </is>
      </c>
      <c r="AQ865" t="inlineStr">
        <is>
          <t>Yes</t>
        </is>
      </c>
      <c r="AR865">
        <f>HYPERLINK("http://catalog.hathitrust.org/Record/005104373","HathiTrust Record")</f>
        <v/>
      </c>
      <c r="AS865">
        <f>HYPERLINK("https://creighton-primo.hosted.exlibrisgroup.com/primo-explore/search?tab=default_tab&amp;search_scope=EVERYTHING&amp;vid=01CRU&amp;lang=en_US&amp;offset=0&amp;query=any,contains,991004707259702656","Catalog Record")</f>
        <v/>
      </c>
      <c r="AT865">
        <f>HYPERLINK("http://www.worldcat.org/oclc/60605126","WorldCat Record")</f>
        <v/>
      </c>
      <c r="AU865" t="inlineStr">
        <is>
          <t>14487330:eng</t>
        </is>
      </c>
      <c r="AV865" t="inlineStr">
        <is>
          <t>60605126</t>
        </is>
      </c>
      <c r="AW865" t="inlineStr">
        <is>
          <t>991004707259702656</t>
        </is>
      </c>
      <c r="AX865" t="inlineStr">
        <is>
          <t>991004707259702656</t>
        </is>
      </c>
      <c r="AY865" t="inlineStr">
        <is>
          <t>2262448060002656</t>
        </is>
      </c>
      <c r="AZ865" t="inlineStr">
        <is>
          <t>BOOK</t>
        </is>
      </c>
      <c r="BB865" t="inlineStr">
        <is>
          <t>9781412917827</t>
        </is>
      </c>
      <c r="BC865" t="inlineStr">
        <is>
          <t>32285005153688</t>
        </is>
      </c>
      <c r="BD865" t="inlineStr">
        <is>
          <t>893593999</t>
        </is>
      </c>
    </row>
    <row r="866">
      <c r="A866" t="inlineStr">
        <is>
          <t>No</t>
        </is>
      </c>
      <c r="B866" t="inlineStr">
        <is>
          <t>LB1623 .A88 1988</t>
        </is>
      </c>
      <c r="C866" t="inlineStr">
        <is>
          <t>0                      LB 1623000A  88          1988</t>
        </is>
      </c>
      <c r="D866" t="inlineStr">
        <is>
          <t>Assessing excellence : a guide for studying the middle level school / [NASSP's Council on Middle Level Education]</t>
        </is>
      </c>
      <c r="F866" t="inlineStr">
        <is>
          <t>No</t>
        </is>
      </c>
      <c r="G866" t="inlineStr">
        <is>
          <t>1</t>
        </is>
      </c>
      <c r="H866" t="inlineStr">
        <is>
          <t>No</t>
        </is>
      </c>
      <c r="I866" t="inlineStr">
        <is>
          <t>No</t>
        </is>
      </c>
      <c r="J866" t="inlineStr">
        <is>
          <t>0</t>
        </is>
      </c>
      <c r="L866" t="inlineStr">
        <is>
          <t>Reston, Va. : National Association of Secondary School Principals, c1988.</t>
        </is>
      </c>
      <c r="M866" t="inlineStr">
        <is>
          <t>1988</t>
        </is>
      </c>
      <c r="O866" t="inlineStr">
        <is>
          <t>eng</t>
        </is>
      </c>
      <c r="P866" t="inlineStr">
        <is>
          <t>vau</t>
        </is>
      </c>
      <c r="R866" t="inlineStr">
        <is>
          <t xml:space="preserve">LB </t>
        </is>
      </c>
      <c r="S866" t="n">
        <v>5</v>
      </c>
      <c r="T866" t="n">
        <v>5</v>
      </c>
      <c r="U866" t="inlineStr">
        <is>
          <t>1997-04-21</t>
        </is>
      </c>
      <c r="V866" t="inlineStr">
        <is>
          <t>1997-04-21</t>
        </is>
      </c>
      <c r="W866" t="inlineStr">
        <is>
          <t>1993-01-28</t>
        </is>
      </c>
      <c r="X866" t="inlineStr">
        <is>
          <t>1993-01-28</t>
        </is>
      </c>
      <c r="Y866" t="n">
        <v>450</v>
      </c>
      <c r="Z866" t="n">
        <v>406</v>
      </c>
      <c r="AA866" t="n">
        <v>408</v>
      </c>
      <c r="AB866" t="n">
        <v>5</v>
      </c>
      <c r="AC866" t="n">
        <v>5</v>
      </c>
      <c r="AD866" t="n">
        <v>21</v>
      </c>
      <c r="AE866" t="n">
        <v>21</v>
      </c>
      <c r="AF866" t="n">
        <v>9</v>
      </c>
      <c r="AG866" t="n">
        <v>9</v>
      </c>
      <c r="AH866" t="n">
        <v>5</v>
      </c>
      <c r="AI866" t="n">
        <v>5</v>
      </c>
      <c r="AJ866" t="n">
        <v>11</v>
      </c>
      <c r="AK866" t="n">
        <v>11</v>
      </c>
      <c r="AL866" t="n">
        <v>3</v>
      </c>
      <c r="AM866" t="n">
        <v>3</v>
      </c>
      <c r="AN866" t="n">
        <v>0</v>
      </c>
      <c r="AO866" t="n">
        <v>0</v>
      </c>
      <c r="AP866" t="inlineStr">
        <is>
          <t>No</t>
        </is>
      </c>
      <c r="AQ866" t="inlineStr">
        <is>
          <t>Yes</t>
        </is>
      </c>
      <c r="AR866">
        <f>HYPERLINK("http://catalog.hathitrust.org/Record/001080947","HathiTrust Record")</f>
        <v/>
      </c>
      <c r="AS866">
        <f>HYPERLINK("https://creighton-primo.hosted.exlibrisgroup.com/primo-explore/search?tab=default_tab&amp;search_scope=EVERYTHING&amp;vid=01CRU&amp;lang=en_US&amp;offset=0&amp;query=any,contains,991001401399702656","Catalog Record")</f>
        <v/>
      </c>
      <c r="AT866">
        <f>HYPERLINK("http://www.worldcat.org/oclc/20560405","WorldCat Record")</f>
        <v/>
      </c>
      <c r="AU866" t="inlineStr">
        <is>
          <t>22136437:eng</t>
        </is>
      </c>
      <c r="AV866" t="inlineStr">
        <is>
          <t>20560405</t>
        </is>
      </c>
      <c r="AW866" t="inlineStr">
        <is>
          <t>991001401399702656</t>
        </is>
      </c>
      <c r="AX866" t="inlineStr">
        <is>
          <t>991001401399702656</t>
        </is>
      </c>
      <c r="AY866" t="inlineStr">
        <is>
          <t>2262487920002656</t>
        </is>
      </c>
      <c r="AZ866" t="inlineStr">
        <is>
          <t>BOOK</t>
        </is>
      </c>
      <c r="BB866" t="inlineStr">
        <is>
          <t>9780882102184</t>
        </is>
      </c>
      <c r="BC866" t="inlineStr">
        <is>
          <t>32285001480200</t>
        </is>
      </c>
      <c r="BD866" t="inlineStr">
        <is>
          <t>893408112</t>
        </is>
      </c>
    </row>
    <row r="867">
      <c r="A867" t="inlineStr">
        <is>
          <t>No</t>
        </is>
      </c>
      <c r="B867" t="inlineStr">
        <is>
          <t>LB1623 .D48 1987</t>
        </is>
      </c>
      <c r="C867" t="inlineStr">
        <is>
          <t>0                      LB 1623000D  48          1987</t>
        </is>
      </c>
      <c r="D867" t="inlineStr">
        <is>
          <t>Developing a mission statement for the middle level school / NASSP'S Council on Middle Level Education.</t>
        </is>
      </c>
      <c r="F867" t="inlineStr">
        <is>
          <t>No</t>
        </is>
      </c>
      <c r="G867" t="inlineStr">
        <is>
          <t>1</t>
        </is>
      </c>
      <c r="H867" t="inlineStr">
        <is>
          <t>No</t>
        </is>
      </c>
      <c r="I867" t="inlineStr">
        <is>
          <t>No</t>
        </is>
      </c>
      <c r="J867" t="inlineStr">
        <is>
          <t>0</t>
        </is>
      </c>
      <c r="L867" t="inlineStr">
        <is>
          <t>Reston, Va. : National Association of Secondary School Principals, c1987.</t>
        </is>
      </c>
      <c r="M867" t="inlineStr">
        <is>
          <t>1987</t>
        </is>
      </c>
      <c r="O867" t="inlineStr">
        <is>
          <t>eng</t>
        </is>
      </c>
      <c r="P867" t="inlineStr">
        <is>
          <t>vau</t>
        </is>
      </c>
      <c r="R867" t="inlineStr">
        <is>
          <t xml:space="preserve">LB </t>
        </is>
      </c>
      <c r="S867" t="n">
        <v>7</v>
      </c>
      <c r="T867" t="n">
        <v>7</v>
      </c>
      <c r="U867" t="inlineStr">
        <is>
          <t>2003-05-02</t>
        </is>
      </c>
      <c r="V867" t="inlineStr">
        <is>
          <t>2003-05-02</t>
        </is>
      </c>
      <c r="W867" t="inlineStr">
        <is>
          <t>1993-01-28</t>
        </is>
      </c>
      <c r="X867" t="inlineStr">
        <is>
          <t>1993-01-28</t>
        </is>
      </c>
      <c r="Y867" t="n">
        <v>338</v>
      </c>
      <c r="Z867" t="n">
        <v>303</v>
      </c>
      <c r="AA867" t="n">
        <v>305</v>
      </c>
      <c r="AB867" t="n">
        <v>4</v>
      </c>
      <c r="AC867" t="n">
        <v>4</v>
      </c>
      <c r="AD867" t="n">
        <v>16</v>
      </c>
      <c r="AE867" t="n">
        <v>16</v>
      </c>
      <c r="AF867" t="n">
        <v>7</v>
      </c>
      <c r="AG867" t="n">
        <v>7</v>
      </c>
      <c r="AH867" t="n">
        <v>4</v>
      </c>
      <c r="AI867" t="n">
        <v>4</v>
      </c>
      <c r="AJ867" t="n">
        <v>8</v>
      </c>
      <c r="AK867" t="n">
        <v>8</v>
      </c>
      <c r="AL867" t="n">
        <v>2</v>
      </c>
      <c r="AM867" t="n">
        <v>2</v>
      </c>
      <c r="AN867" t="n">
        <v>0</v>
      </c>
      <c r="AO867" t="n">
        <v>0</v>
      </c>
      <c r="AP867" t="inlineStr">
        <is>
          <t>No</t>
        </is>
      </c>
      <c r="AQ867" t="inlineStr">
        <is>
          <t>Yes</t>
        </is>
      </c>
      <c r="AR867">
        <f>HYPERLINK("http://catalog.hathitrust.org/Record/009919836","HathiTrust Record")</f>
        <v/>
      </c>
      <c r="AS867">
        <f>HYPERLINK("https://creighton-primo.hosted.exlibrisgroup.com/primo-explore/search?tab=default_tab&amp;search_scope=EVERYTHING&amp;vid=01CRU&amp;lang=en_US&amp;offset=0&amp;query=any,contains,991001204939702656","Catalog Record")</f>
        <v/>
      </c>
      <c r="AT867">
        <f>HYPERLINK("http://www.worldcat.org/oclc/17351365","WorldCat Record")</f>
        <v/>
      </c>
      <c r="AU867" t="inlineStr">
        <is>
          <t>15401070:eng</t>
        </is>
      </c>
      <c r="AV867" t="inlineStr">
        <is>
          <t>17351365</t>
        </is>
      </c>
      <c r="AW867" t="inlineStr">
        <is>
          <t>991001204939702656</t>
        </is>
      </c>
      <c r="AX867" t="inlineStr">
        <is>
          <t>991001204939702656</t>
        </is>
      </c>
      <c r="AY867" t="inlineStr">
        <is>
          <t>2264726740002656</t>
        </is>
      </c>
      <c r="AZ867" t="inlineStr">
        <is>
          <t>BOOK</t>
        </is>
      </c>
      <c r="BC867" t="inlineStr">
        <is>
          <t>32285001480218</t>
        </is>
      </c>
      <c r="BD867" t="inlineStr">
        <is>
          <t>893315599</t>
        </is>
      </c>
    </row>
    <row r="868">
      <c r="A868" t="inlineStr">
        <is>
          <t>No</t>
        </is>
      </c>
      <c r="B868" t="inlineStr">
        <is>
          <t>LB1623 .M52 1981</t>
        </is>
      </c>
      <c r="C868" t="inlineStr">
        <is>
          <t>0                      LB 1623000M  52          1981</t>
        </is>
      </c>
      <c r="D868" t="inlineStr">
        <is>
          <t>The Middle school curriculum : a practitioner's handbook / Leslie W. Kindred ... [et al.].</t>
        </is>
      </c>
      <c r="F868" t="inlineStr">
        <is>
          <t>No</t>
        </is>
      </c>
      <c r="G868" t="inlineStr">
        <is>
          <t>1</t>
        </is>
      </c>
      <c r="H868" t="inlineStr">
        <is>
          <t>No</t>
        </is>
      </c>
      <c r="I868" t="inlineStr">
        <is>
          <t>No</t>
        </is>
      </c>
      <c r="J868" t="inlineStr">
        <is>
          <t>0</t>
        </is>
      </c>
      <c r="L868" t="inlineStr">
        <is>
          <t>Boston : Allyn and Bacon, c1981.</t>
        </is>
      </c>
      <c r="M868" t="inlineStr">
        <is>
          <t>1981</t>
        </is>
      </c>
      <c r="N868" t="inlineStr">
        <is>
          <t>2d ed.</t>
        </is>
      </c>
      <c r="O868" t="inlineStr">
        <is>
          <t>eng</t>
        </is>
      </c>
      <c r="P868" t="inlineStr">
        <is>
          <t>mau</t>
        </is>
      </c>
      <c r="R868" t="inlineStr">
        <is>
          <t xml:space="preserve">LB </t>
        </is>
      </c>
      <c r="S868" t="n">
        <v>7</v>
      </c>
      <c r="T868" t="n">
        <v>7</v>
      </c>
      <c r="U868" t="inlineStr">
        <is>
          <t>2001-12-02</t>
        </is>
      </c>
      <c r="V868" t="inlineStr">
        <is>
          <t>2001-12-02</t>
        </is>
      </c>
      <c r="W868" t="inlineStr">
        <is>
          <t>1993-01-28</t>
        </is>
      </c>
      <c r="X868" t="inlineStr">
        <is>
          <t>1993-01-28</t>
        </is>
      </c>
      <c r="Y868" t="n">
        <v>294</v>
      </c>
      <c r="Z868" t="n">
        <v>252</v>
      </c>
      <c r="AA868" t="n">
        <v>590</v>
      </c>
      <c r="AB868" t="n">
        <v>5</v>
      </c>
      <c r="AC868" t="n">
        <v>10</v>
      </c>
      <c r="AD868" t="n">
        <v>10</v>
      </c>
      <c r="AE868" t="n">
        <v>34</v>
      </c>
      <c r="AF868" t="n">
        <v>3</v>
      </c>
      <c r="AG868" t="n">
        <v>14</v>
      </c>
      <c r="AH868" t="n">
        <v>2</v>
      </c>
      <c r="AI868" t="n">
        <v>6</v>
      </c>
      <c r="AJ868" t="n">
        <v>4</v>
      </c>
      <c r="AK868" t="n">
        <v>15</v>
      </c>
      <c r="AL868" t="n">
        <v>3</v>
      </c>
      <c r="AM868" t="n">
        <v>7</v>
      </c>
      <c r="AN868" t="n">
        <v>0</v>
      </c>
      <c r="AO868" t="n">
        <v>0</v>
      </c>
      <c r="AP868" t="inlineStr">
        <is>
          <t>No</t>
        </is>
      </c>
      <c r="AQ868" t="inlineStr">
        <is>
          <t>No</t>
        </is>
      </c>
      <c r="AS868">
        <f>HYPERLINK("https://creighton-primo.hosted.exlibrisgroup.com/primo-explore/search?tab=default_tab&amp;search_scope=EVERYTHING&amp;vid=01CRU&amp;lang=en_US&amp;offset=0&amp;query=any,contains,991004927389702656","Catalog Record")</f>
        <v/>
      </c>
      <c r="AT868">
        <f>HYPERLINK("http://www.worldcat.org/oclc/6086824","WorldCat Record")</f>
        <v/>
      </c>
      <c r="AU868" t="inlineStr">
        <is>
          <t>894520336:eng</t>
        </is>
      </c>
      <c r="AV868" t="inlineStr">
        <is>
          <t>6086824</t>
        </is>
      </c>
      <c r="AW868" t="inlineStr">
        <is>
          <t>991004927389702656</t>
        </is>
      </c>
      <c r="AX868" t="inlineStr">
        <is>
          <t>991004927389702656</t>
        </is>
      </c>
      <c r="AY868" t="inlineStr">
        <is>
          <t>2258025270002656</t>
        </is>
      </c>
      <c r="AZ868" t="inlineStr">
        <is>
          <t>BOOK</t>
        </is>
      </c>
      <c r="BB868" t="inlineStr">
        <is>
          <t>9780205069934</t>
        </is>
      </c>
      <c r="BC868" t="inlineStr">
        <is>
          <t>32285001480283</t>
        </is>
      </c>
      <c r="BD868" t="inlineStr">
        <is>
          <t>893707008</t>
        </is>
      </c>
    </row>
    <row r="869">
      <c r="A869" t="inlineStr">
        <is>
          <t>No</t>
        </is>
      </c>
      <c r="B869" t="inlineStr">
        <is>
          <t>LB1623 .M56 2009</t>
        </is>
      </c>
      <c r="C869" t="inlineStr">
        <is>
          <t>0                      LB 1623000M  56          2009</t>
        </is>
      </c>
      <c r="D869" t="inlineStr">
        <is>
          <t>Understanding and engaging adolescents / Jeffrey Miller, Peter Desberg.</t>
        </is>
      </c>
      <c r="F869" t="inlineStr">
        <is>
          <t>No</t>
        </is>
      </c>
      <c r="G869" t="inlineStr">
        <is>
          <t>1</t>
        </is>
      </c>
      <c r="H869" t="inlineStr">
        <is>
          <t>No</t>
        </is>
      </c>
      <c r="I869" t="inlineStr">
        <is>
          <t>No</t>
        </is>
      </c>
      <c r="J869" t="inlineStr">
        <is>
          <t>0</t>
        </is>
      </c>
      <c r="K869" t="inlineStr">
        <is>
          <t>Miller, Jeffrey, 1966-</t>
        </is>
      </c>
      <c r="L869" t="inlineStr">
        <is>
          <t>Thousand Oaks, Calif. : Corwin Press, c2009.</t>
        </is>
      </c>
      <c r="M869" t="inlineStr">
        <is>
          <t>2009</t>
        </is>
      </c>
      <c r="O869" t="inlineStr">
        <is>
          <t>eng</t>
        </is>
      </c>
      <c r="P869" t="inlineStr">
        <is>
          <t>cau</t>
        </is>
      </c>
      <c r="R869" t="inlineStr">
        <is>
          <t xml:space="preserve">LB </t>
        </is>
      </c>
      <c r="S869" t="n">
        <v>1</v>
      </c>
      <c r="T869" t="n">
        <v>1</v>
      </c>
      <c r="U869" t="inlineStr">
        <is>
          <t>2009-08-05</t>
        </is>
      </c>
      <c r="V869" t="inlineStr">
        <is>
          <t>2009-08-05</t>
        </is>
      </c>
      <c r="W869" t="inlineStr">
        <is>
          <t>2009-08-05</t>
        </is>
      </c>
      <c r="X869" t="inlineStr">
        <is>
          <t>2009-08-05</t>
        </is>
      </c>
      <c r="Y869" t="n">
        <v>219</v>
      </c>
      <c r="Z869" t="n">
        <v>163</v>
      </c>
      <c r="AA869" t="n">
        <v>192</v>
      </c>
      <c r="AB869" t="n">
        <v>1</v>
      </c>
      <c r="AC869" t="n">
        <v>2</v>
      </c>
      <c r="AD869" t="n">
        <v>8</v>
      </c>
      <c r="AE869" t="n">
        <v>10</v>
      </c>
      <c r="AF869" t="n">
        <v>3</v>
      </c>
      <c r="AG869" t="n">
        <v>4</v>
      </c>
      <c r="AH869" t="n">
        <v>2</v>
      </c>
      <c r="AI869" t="n">
        <v>3</v>
      </c>
      <c r="AJ869" t="n">
        <v>6</v>
      </c>
      <c r="AK869" t="n">
        <v>6</v>
      </c>
      <c r="AL869" t="n">
        <v>0</v>
      </c>
      <c r="AM869" t="n">
        <v>1</v>
      </c>
      <c r="AN869" t="n">
        <v>0</v>
      </c>
      <c r="AO869" t="n">
        <v>0</v>
      </c>
      <c r="AP869" t="inlineStr">
        <is>
          <t>No</t>
        </is>
      </c>
      <c r="AQ869" t="inlineStr">
        <is>
          <t>No</t>
        </is>
      </c>
      <c r="AS869">
        <f>HYPERLINK("https://creighton-primo.hosted.exlibrisgroup.com/primo-explore/search?tab=default_tab&amp;search_scope=EVERYTHING&amp;vid=01CRU&amp;lang=en_US&amp;offset=0&amp;query=any,contains,991005329789702656","Catalog Record")</f>
        <v/>
      </c>
      <c r="AT869">
        <f>HYPERLINK("http://www.worldcat.org/oclc/310171750","WorldCat Record")</f>
        <v/>
      </c>
      <c r="AU869" t="inlineStr">
        <is>
          <t>189582685:eng</t>
        </is>
      </c>
      <c r="AV869" t="inlineStr">
        <is>
          <t>310171750</t>
        </is>
      </c>
      <c r="AW869" t="inlineStr">
        <is>
          <t>991005329789702656</t>
        </is>
      </c>
      <c r="AX869" t="inlineStr">
        <is>
          <t>991005329789702656</t>
        </is>
      </c>
      <c r="AY869" t="inlineStr">
        <is>
          <t>2263101580002656</t>
        </is>
      </c>
      <c r="AZ869" t="inlineStr">
        <is>
          <t>BOOK</t>
        </is>
      </c>
      <c r="BB869" t="inlineStr">
        <is>
          <t>9781412970006</t>
        </is>
      </c>
      <c r="BC869" t="inlineStr">
        <is>
          <t>32285005540983</t>
        </is>
      </c>
      <c r="BD869" t="inlineStr">
        <is>
          <t>893260920</t>
        </is>
      </c>
    </row>
    <row r="870">
      <c r="A870" t="inlineStr">
        <is>
          <t>No</t>
        </is>
      </c>
      <c r="B870" t="inlineStr">
        <is>
          <t>LB1623 .M63 1991</t>
        </is>
      </c>
      <c r="C870" t="inlineStr">
        <is>
          <t>0                      LB 1623000M  63          1991</t>
        </is>
      </c>
      <c r="D870" t="inlineStr">
        <is>
          <t>Middle level education : policies, programs, and practices / edited by Jody Capelluti and Donald Stokes.</t>
        </is>
      </c>
      <c r="F870" t="inlineStr">
        <is>
          <t>No</t>
        </is>
      </c>
      <c r="G870" t="inlineStr">
        <is>
          <t>1</t>
        </is>
      </c>
      <c r="H870" t="inlineStr">
        <is>
          <t>No</t>
        </is>
      </c>
      <c r="I870" t="inlineStr">
        <is>
          <t>No</t>
        </is>
      </c>
      <c r="J870" t="inlineStr">
        <is>
          <t>0</t>
        </is>
      </c>
      <c r="L870" t="inlineStr">
        <is>
          <t>Reston, Va. : National Association of Secondary School Principals, c1991.</t>
        </is>
      </c>
      <c r="M870" t="inlineStr">
        <is>
          <t>1991</t>
        </is>
      </c>
      <c r="O870" t="inlineStr">
        <is>
          <t>eng</t>
        </is>
      </c>
      <c r="P870" t="inlineStr">
        <is>
          <t>vau</t>
        </is>
      </c>
      <c r="R870" t="inlineStr">
        <is>
          <t xml:space="preserve">LB </t>
        </is>
      </c>
      <c r="S870" t="n">
        <v>7</v>
      </c>
      <c r="T870" t="n">
        <v>7</v>
      </c>
      <c r="U870" t="inlineStr">
        <is>
          <t>1997-04-21</t>
        </is>
      </c>
      <c r="V870" t="inlineStr">
        <is>
          <t>1997-04-21</t>
        </is>
      </c>
      <c r="W870" t="inlineStr">
        <is>
          <t>1992-03-06</t>
        </is>
      </c>
      <c r="X870" t="inlineStr">
        <is>
          <t>1992-03-06</t>
        </is>
      </c>
      <c r="Y870" t="n">
        <v>523</v>
      </c>
      <c r="Z870" t="n">
        <v>475</v>
      </c>
      <c r="AA870" t="n">
        <v>478</v>
      </c>
      <c r="AB870" t="n">
        <v>9</v>
      </c>
      <c r="AC870" t="n">
        <v>9</v>
      </c>
      <c r="AD870" t="n">
        <v>28</v>
      </c>
      <c r="AE870" t="n">
        <v>28</v>
      </c>
      <c r="AF870" t="n">
        <v>9</v>
      </c>
      <c r="AG870" t="n">
        <v>9</v>
      </c>
      <c r="AH870" t="n">
        <v>8</v>
      </c>
      <c r="AI870" t="n">
        <v>8</v>
      </c>
      <c r="AJ870" t="n">
        <v>13</v>
      </c>
      <c r="AK870" t="n">
        <v>13</v>
      </c>
      <c r="AL870" t="n">
        <v>7</v>
      </c>
      <c r="AM870" t="n">
        <v>7</v>
      </c>
      <c r="AN870" t="n">
        <v>0</v>
      </c>
      <c r="AO870" t="n">
        <v>0</v>
      </c>
      <c r="AP870" t="inlineStr">
        <is>
          <t>No</t>
        </is>
      </c>
      <c r="AQ870" t="inlineStr">
        <is>
          <t>No</t>
        </is>
      </c>
      <c r="AS870">
        <f>HYPERLINK("https://creighton-primo.hosted.exlibrisgroup.com/primo-explore/search?tab=default_tab&amp;search_scope=EVERYTHING&amp;vid=01CRU&amp;lang=en_US&amp;offset=0&amp;query=any,contains,991001986659702656","Catalog Record")</f>
        <v/>
      </c>
      <c r="AT870">
        <f>HYPERLINK("http://www.worldcat.org/oclc/25220351","WorldCat Record")</f>
        <v/>
      </c>
      <c r="AU870" t="inlineStr">
        <is>
          <t>894467115:eng</t>
        </is>
      </c>
      <c r="AV870" t="inlineStr">
        <is>
          <t>25220351</t>
        </is>
      </c>
      <c r="AW870" t="inlineStr">
        <is>
          <t>991001986659702656</t>
        </is>
      </c>
      <c r="AX870" t="inlineStr">
        <is>
          <t>991001986659702656</t>
        </is>
      </c>
      <c r="AY870" t="inlineStr">
        <is>
          <t>2262581950002656</t>
        </is>
      </c>
      <c r="AZ870" t="inlineStr">
        <is>
          <t>BOOK</t>
        </is>
      </c>
      <c r="BB870" t="inlineStr">
        <is>
          <t>9780882102504</t>
        </is>
      </c>
      <c r="BC870" t="inlineStr">
        <is>
          <t>32285000938729</t>
        </is>
      </c>
      <c r="BD870" t="inlineStr">
        <is>
          <t>893433363</t>
        </is>
      </c>
    </row>
    <row r="871">
      <c r="A871" t="inlineStr">
        <is>
          <t>No</t>
        </is>
      </c>
      <c r="B871" t="inlineStr">
        <is>
          <t>LB1623 .N28 1985</t>
        </is>
      </c>
      <c r="C871" t="inlineStr">
        <is>
          <t>0                      LB 1623000N  28          1985</t>
        </is>
      </c>
      <c r="D871" t="inlineStr">
        <is>
          <t>An agenda for excellence at the middle level : [a statement] / [by NASSP's Council on Middle Level Education]</t>
        </is>
      </c>
      <c r="F871" t="inlineStr">
        <is>
          <t>No</t>
        </is>
      </c>
      <c r="G871" t="inlineStr">
        <is>
          <t>1</t>
        </is>
      </c>
      <c r="H871" t="inlineStr">
        <is>
          <t>No</t>
        </is>
      </c>
      <c r="I871" t="inlineStr">
        <is>
          <t>No</t>
        </is>
      </c>
      <c r="J871" t="inlineStr">
        <is>
          <t>0</t>
        </is>
      </c>
      <c r="K871" t="inlineStr">
        <is>
          <t>NASSP's Council on Middle Level Education.</t>
        </is>
      </c>
      <c r="L871" t="inlineStr">
        <is>
          <t>Reston, Va. : National Association of Secondary School Principals [1985?]</t>
        </is>
      </c>
      <c r="M871" t="inlineStr">
        <is>
          <t>1985</t>
        </is>
      </c>
      <c r="O871" t="inlineStr">
        <is>
          <t>eng</t>
        </is>
      </c>
      <c r="P871" t="inlineStr">
        <is>
          <t>vau</t>
        </is>
      </c>
      <c r="R871" t="inlineStr">
        <is>
          <t xml:space="preserve">LB </t>
        </is>
      </c>
      <c r="S871" t="n">
        <v>5</v>
      </c>
      <c r="T871" t="n">
        <v>5</v>
      </c>
      <c r="U871" t="inlineStr">
        <is>
          <t>1997-04-21</t>
        </is>
      </c>
      <c r="V871" t="inlineStr">
        <is>
          <t>1997-04-21</t>
        </is>
      </c>
      <c r="W871" t="inlineStr">
        <is>
          <t>1993-01-28</t>
        </is>
      </c>
      <c r="X871" t="inlineStr">
        <is>
          <t>1993-01-28</t>
        </is>
      </c>
      <c r="Y871" t="n">
        <v>200</v>
      </c>
      <c r="Z871" t="n">
        <v>192</v>
      </c>
      <c r="AA871" t="n">
        <v>193</v>
      </c>
      <c r="AB871" t="n">
        <v>4</v>
      </c>
      <c r="AC871" t="n">
        <v>4</v>
      </c>
      <c r="AD871" t="n">
        <v>9</v>
      </c>
      <c r="AE871" t="n">
        <v>9</v>
      </c>
      <c r="AF871" t="n">
        <v>3</v>
      </c>
      <c r="AG871" t="n">
        <v>3</v>
      </c>
      <c r="AH871" t="n">
        <v>2</v>
      </c>
      <c r="AI871" t="n">
        <v>2</v>
      </c>
      <c r="AJ871" t="n">
        <v>3</v>
      </c>
      <c r="AK871" t="n">
        <v>3</v>
      </c>
      <c r="AL871" t="n">
        <v>3</v>
      </c>
      <c r="AM871" t="n">
        <v>3</v>
      </c>
      <c r="AN871" t="n">
        <v>0</v>
      </c>
      <c r="AO871" t="n">
        <v>0</v>
      </c>
      <c r="AP871" t="inlineStr">
        <is>
          <t>No</t>
        </is>
      </c>
      <c r="AQ871" t="inlineStr">
        <is>
          <t>No</t>
        </is>
      </c>
      <c r="AS871">
        <f>HYPERLINK("https://creighton-primo.hosted.exlibrisgroup.com/primo-explore/search?tab=default_tab&amp;search_scope=EVERYTHING&amp;vid=01CRU&amp;lang=en_US&amp;offset=0&amp;query=any,contains,991000732469702656","Catalog Record")</f>
        <v/>
      </c>
      <c r="AT871">
        <f>HYPERLINK("http://www.worldcat.org/oclc/12747792","WorldCat Record")</f>
        <v/>
      </c>
      <c r="AU871" t="inlineStr">
        <is>
          <t>5805822:eng</t>
        </is>
      </c>
      <c r="AV871" t="inlineStr">
        <is>
          <t>12747792</t>
        </is>
      </c>
      <c r="AW871" t="inlineStr">
        <is>
          <t>991000732469702656</t>
        </is>
      </c>
      <c r="AX871" t="inlineStr">
        <is>
          <t>991000732469702656</t>
        </is>
      </c>
      <c r="AY871" t="inlineStr">
        <is>
          <t>2268775750002656</t>
        </is>
      </c>
      <c r="AZ871" t="inlineStr">
        <is>
          <t>BOOK</t>
        </is>
      </c>
      <c r="BC871" t="inlineStr">
        <is>
          <t>32285001480291</t>
        </is>
      </c>
      <c r="BD871" t="inlineStr">
        <is>
          <t>893608234</t>
        </is>
      </c>
    </row>
    <row r="872">
      <c r="A872" t="inlineStr">
        <is>
          <t>No</t>
        </is>
      </c>
      <c r="B872" t="inlineStr">
        <is>
          <t>LB1623 .N29 1989</t>
        </is>
      </c>
      <c r="C872" t="inlineStr">
        <is>
          <t>0                      LB 1623000N  29          1989</t>
        </is>
      </c>
      <c r="D872" t="inlineStr">
        <is>
          <t>Middle level education's responsibility for intellectual development / [NASSP's Council on Middle Level Education]</t>
        </is>
      </c>
      <c r="F872" t="inlineStr">
        <is>
          <t>No</t>
        </is>
      </c>
      <c r="G872" t="inlineStr">
        <is>
          <t>1</t>
        </is>
      </c>
      <c r="H872" t="inlineStr">
        <is>
          <t>No</t>
        </is>
      </c>
      <c r="I872" t="inlineStr">
        <is>
          <t>No</t>
        </is>
      </c>
      <c r="J872" t="inlineStr">
        <is>
          <t>0</t>
        </is>
      </c>
      <c r="K872" t="inlineStr">
        <is>
          <t>NASSP's Council on Middle Level Education.</t>
        </is>
      </c>
      <c r="L872" t="inlineStr">
        <is>
          <t>Reston, Va. : National Association of Secondary School Principals, c1989.</t>
        </is>
      </c>
      <c r="M872" t="inlineStr">
        <is>
          <t>1989</t>
        </is>
      </c>
      <c r="O872" t="inlineStr">
        <is>
          <t>eng</t>
        </is>
      </c>
      <c r="P872" t="inlineStr">
        <is>
          <t>vau</t>
        </is>
      </c>
      <c r="R872" t="inlineStr">
        <is>
          <t xml:space="preserve">LB </t>
        </is>
      </c>
      <c r="S872" t="n">
        <v>4</v>
      </c>
      <c r="T872" t="n">
        <v>4</v>
      </c>
      <c r="U872" t="inlineStr">
        <is>
          <t>1995-06-28</t>
        </is>
      </c>
      <c r="V872" t="inlineStr">
        <is>
          <t>1995-06-28</t>
        </is>
      </c>
      <c r="W872" t="inlineStr">
        <is>
          <t>1993-01-28</t>
        </is>
      </c>
      <c r="X872" t="inlineStr">
        <is>
          <t>1993-01-28</t>
        </is>
      </c>
      <c r="Y872" t="n">
        <v>357</v>
      </c>
      <c r="Z872" t="n">
        <v>317</v>
      </c>
      <c r="AA872" t="n">
        <v>319</v>
      </c>
      <c r="AB872" t="n">
        <v>5</v>
      </c>
      <c r="AC872" t="n">
        <v>5</v>
      </c>
      <c r="AD872" t="n">
        <v>13</v>
      </c>
      <c r="AE872" t="n">
        <v>13</v>
      </c>
      <c r="AF872" t="n">
        <v>3</v>
      </c>
      <c r="AG872" t="n">
        <v>3</v>
      </c>
      <c r="AH872" t="n">
        <v>3</v>
      </c>
      <c r="AI872" t="n">
        <v>3</v>
      </c>
      <c r="AJ872" t="n">
        <v>6</v>
      </c>
      <c r="AK872" t="n">
        <v>6</v>
      </c>
      <c r="AL872" t="n">
        <v>4</v>
      </c>
      <c r="AM872" t="n">
        <v>4</v>
      </c>
      <c r="AN872" t="n">
        <v>0</v>
      </c>
      <c r="AO872" t="n">
        <v>0</v>
      </c>
      <c r="AP872" t="inlineStr">
        <is>
          <t>No</t>
        </is>
      </c>
      <c r="AQ872" t="inlineStr">
        <is>
          <t>Yes</t>
        </is>
      </c>
      <c r="AR872">
        <f>HYPERLINK("http://catalog.hathitrust.org/Record/009920198","HathiTrust Record")</f>
        <v/>
      </c>
      <c r="AS872">
        <f>HYPERLINK("https://creighton-primo.hosted.exlibrisgroup.com/primo-explore/search?tab=default_tab&amp;search_scope=EVERYTHING&amp;vid=01CRU&amp;lang=en_US&amp;offset=0&amp;query=any,contains,991001565909702656","Catalog Record")</f>
        <v/>
      </c>
      <c r="AT872">
        <f>HYPERLINK("http://www.worldcat.org/oclc/20628073","WorldCat Record")</f>
        <v/>
      </c>
      <c r="AU872" t="inlineStr">
        <is>
          <t>22439213:eng</t>
        </is>
      </c>
      <c r="AV872" t="inlineStr">
        <is>
          <t>20628073</t>
        </is>
      </c>
      <c r="AW872" t="inlineStr">
        <is>
          <t>991001565909702656</t>
        </is>
      </c>
      <c r="AX872" t="inlineStr">
        <is>
          <t>991001565909702656</t>
        </is>
      </c>
      <c r="AY872" t="inlineStr">
        <is>
          <t>2255335450002656</t>
        </is>
      </c>
      <c r="AZ872" t="inlineStr">
        <is>
          <t>BOOK</t>
        </is>
      </c>
      <c r="BC872" t="inlineStr">
        <is>
          <t>32285001480309</t>
        </is>
      </c>
      <c r="BD872" t="inlineStr">
        <is>
          <t>893420409</t>
        </is>
      </c>
    </row>
    <row r="873">
      <c r="A873" t="inlineStr">
        <is>
          <t>No</t>
        </is>
      </c>
      <c r="B873" t="inlineStr">
        <is>
          <t>LB1623 .T43 2005</t>
        </is>
      </c>
      <c r="C873" t="inlineStr">
        <is>
          <t>0                      LB 1623000T  43          2005</t>
        </is>
      </c>
      <c r="D873" t="inlineStr">
        <is>
          <t>Teaching middle years : rethinking curriculum, pedagogy and assessment / [edited by] Donna Pendergast &amp; Nan Bahr.</t>
        </is>
      </c>
      <c r="F873" t="inlineStr">
        <is>
          <t>No</t>
        </is>
      </c>
      <c r="G873" t="inlineStr">
        <is>
          <t>1</t>
        </is>
      </c>
      <c r="H873" t="inlineStr">
        <is>
          <t>No</t>
        </is>
      </c>
      <c r="I873" t="inlineStr">
        <is>
          <t>No</t>
        </is>
      </c>
      <c r="J873" t="inlineStr">
        <is>
          <t>0</t>
        </is>
      </c>
      <c r="L873" t="inlineStr">
        <is>
          <t>Crows Nest, N.S.W. : Allen &amp; Unwin, 2005.</t>
        </is>
      </c>
      <c r="M873" t="inlineStr">
        <is>
          <t>2005</t>
        </is>
      </c>
      <c r="O873" t="inlineStr">
        <is>
          <t>eng</t>
        </is>
      </c>
      <c r="P873" t="inlineStr">
        <is>
          <t xml:space="preserve">at </t>
        </is>
      </c>
      <c r="R873" t="inlineStr">
        <is>
          <t xml:space="preserve">LB </t>
        </is>
      </c>
      <c r="S873" t="n">
        <v>3</v>
      </c>
      <c r="T873" t="n">
        <v>3</v>
      </c>
      <c r="U873" t="inlineStr">
        <is>
          <t>2008-12-06</t>
        </is>
      </c>
      <c r="V873" t="inlineStr">
        <is>
          <t>2008-12-06</t>
        </is>
      </c>
      <c r="W873" t="inlineStr">
        <is>
          <t>2007-05-14</t>
        </is>
      </c>
      <c r="X873" t="inlineStr">
        <is>
          <t>2007-05-14</t>
        </is>
      </c>
      <c r="Y873" t="n">
        <v>591</v>
      </c>
      <c r="Z873" t="n">
        <v>517</v>
      </c>
      <c r="AA873" t="n">
        <v>547</v>
      </c>
      <c r="AB873" t="n">
        <v>5</v>
      </c>
      <c r="AC873" t="n">
        <v>5</v>
      </c>
      <c r="AD873" t="n">
        <v>28</v>
      </c>
      <c r="AE873" t="n">
        <v>28</v>
      </c>
      <c r="AF873" t="n">
        <v>16</v>
      </c>
      <c r="AG873" t="n">
        <v>16</v>
      </c>
      <c r="AH873" t="n">
        <v>2</v>
      </c>
      <c r="AI873" t="n">
        <v>2</v>
      </c>
      <c r="AJ873" t="n">
        <v>12</v>
      </c>
      <c r="AK873" t="n">
        <v>12</v>
      </c>
      <c r="AL873" t="n">
        <v>4</v>
      </c>
      <c r="AM873" t="n">
        <v>4</v>
      </c>
      <c r="AN873" t="n">
        <v>0</v>
      </c>
      <c r="AO873" t="n">
        <v>0</v>
      </c>
      <c r="AP873" t="inlineStr">
        <is>
          <t>No</t>
        </is>
      </c>
      <c r="AQ873" t="inlineStr">
        <is>
          <t>No</t>
        </is>
      </c>
      <c r="AS873">
        <f>HYPERLINK("https://creighton-primo.hosted.exlibrisgroup.com/primo-explore/search?tab=default_tab&amp;search_scope=EVERYTHING&amp;vid=01CRU&amp;lang=en_US&amp;offset=0&amp;query=any,contains,991005027749702656","Catalog Record")</f>
        <v/>
      </c>
      <c r="AT873">
        <f>HYPERLINK("http://www.worldcat.org/oclc/62545769","WorldCat Record")</f>
        <v/>
      </c>
      <c r="AU873" t="inlineStr">
        <is>
          <t>796646059:eng</t>
        </is>
      </c>
      <c r="AV873" t="inlineStr">
        <is>
          <t>62545769</t>
        </is>
      </c>
      <c r="AW873" t="inlineStr">
        <is>
          <t>991005027749702656</t>
        </is>
      </c>
      <c r="AX873" t="inlineStr">
        <is>
          <t>991005027749702656</t>
        </is>
      </c>
      <c r="AY873" t="inlineStr">
        <is>
          <t>2261309470002656</t>
        </is>
      </c>
      <c r="AZ873" t="inlineStr">
        <is>
          <t>BOOK</t>
        </is>
      </c>
      <c r="BB873" t="inlineStr">
        <is>
          <t>9781741146738</t>
        </is>
      </c>
      <c r="BC873" t="inlineStr">
        <is>
          <t>32285005312086</t>
        </is>
      </c>
      <c r="BD873" t="inlineStr">
        <is>
          <t>893326064</t>
        </is>
      </c>
    </row>
    <row r="874">
      <c r="A874" t="inlineStr">
        <is>
          <t>No</t>
        </is>
      </c>
      <c r="B874" t="inlineStr">
        <is>
          <t>LB1623 .W55 1991</t>
        </is>
      </c>
      <c r="C874" t="inlineStr">
        <is>
          <t>0                      LB 1623000W  55          1991</t>
        </is>
      </c>
      <c r="D874" t="inlineStr">
        <is>
          <t>Planning for success : successful implementation of middle level reorganization / Ronald Williamson, J. Howard Johnston.</t>
        </is>
      </c>
      <c r="F874" t="inlineStr">
        <is>
          <t>No</t>
        </is>
      </c>
      <c r="G874" t="inlineStr">
        <is>
          <t>1</t>
        </is>
      </c>
      <c r="H874" t="inlineStr">
        <is>
          <t>No</t>
        </is>
      </c>
      <c r="I874" t="inlineStr">
        <is>
          <t>No</t>
        </is>
      </c>
      <c r="J874" t="inlineStr">
        <is>
          <t>0</t>
        </is>
      </c>
      <c r="K874" t="inlineStr">
        <is>
          <t>Williamson, Ronald.</t>
        </is>
      </c>
      <c r="L874" t="inlineStr">
        <is>
          <t>Reston, Va. : National Association of Secondary School Principals, c1991.</t>
        </is>
      </c>
      <c r="M874" t="inlineStr">
        <is>
          <t>1991</t>
        </is>
      </c>
      <c r="O874" t="inlineStr">
        <is>
          <t>eng</t>
        </is>
      </c>
      <c r="P874" t="inlineStr">
        <is>
          <t>vau</t>
        </is>
      </c>
      <c r="R874" t="inlineStr">
        <is>
          <t xml:space="preserve">LB </t>
        </is>
      </c>
      <c r="S874" t="n">
        <v>8</v>
      </c>
      <c r="T874" t="n">
        <v>8</v>
      </c>
      <c r="U874" t="inlineStr">
        <is>
          <t>1995-06-28</t>
        </is>
      </c>
      <c r="V874" t="inlineStr">
        <is>
          <t>1995-06-28</t>
        </is>
      </c>
      <c r="W874" t="inlineStr">
        <is>
          <t>1991-03-28</t>
        </is>
      </c>
      <c r="X874" t="inlineStr">
        <is>
          <t>1991-03-28</t>
        </is>
      </c>
      <c r="Y874" t="n">
        <v>523</v>
      </c>
      <c r="Z874" t="n">
        <v>472</v>
      </c>
      <c r="AA874" t="n">
        <v>476</v>
      </c>
      <c r="AB874" t="n">
        <v>8</v>
      </c>
      <c r="AC874" t="n">
        <v>8</v>
      </c>
      <c r="AD874" t="n">
        <v>21</v>
      </c>
      <c r="AE874" t="n">
        <v>21</v>
      </c>
      <c r="AF874" t="n">
        <v>8</v>
      </c>
      <c r="AG874" t="n">
        <v>8</v>
      </c>
      <c r="AH874" t="n">
        <v>4</v>
      </c>
      <c r="AI874" t="n">
        <v>4</v>
      </c>
      <c r="AJ874" t="n">
        <v>9</v>
      </c>
      <c r="AK874" t="n">
        <v>9</v>
      </c>
      <c r="AL874" t="n">
        <v>7</v>
      </c>
      <c r="AM874" t="n">
        <v>7</v>
      </c>
      <c r="AN874" t="n">
        <v>0</v>
      </c>
      <c r="AO874" t="n">
        <v>0</v>
      </c>
      <c r="AP874" t="inlineStr">
        <is>
          <t>No</t>
        </is>
      </c>
      <c r="AQ874" t="inlineStr">
        <is>
          <t>No</t>
        </is>
      </c>
      <c r="AS874">
        <f>HYPERLINK("https://creighton-primo.hosted.exlibrisgroup.com/primo-explore/search?tab=default_tab&amp;search_scope=EVERYTHING&amp;vid=01CRU&amp;lang=en_US&amp;offset=0&amp;query=any,contains,991001844929702656","Catalog Record")</f>
        <v/>
      </c>
      <c r="AT874">
        <f>HYPERLINK("http://www.worldcat.org/oclc/23174059","WorldCat Record")</f>
        <v/>
      </c>
      <c r="AU874" t="inlineStr">
        <is>
          <t>308955979:eng</t>
        </is>
      </c>
      <c r="AV874" t="inlineStr">
        <is>
          <t>23174059</t>
        </is>
      </c>
      <c r="AW874" t="inlineStr">
        <is>
          <t>991001844929702656</t>
        </is>
      </c>
      <c r="AX874" t="inlineStr">
        <is>
          <t>991001844929702656</t>
        </is>
      </c>
      <c r="AY874" t="inlineStr">
        <is>
          <t>2265475640002656</t>
        </is>
      </c>
      <c r="AZ874" t="inlineStr">
        <is>
          <t>BOOK</t>
        </is>
      </c>
      <c r="BB874" t="inlineStr">
        <is>
          <t>9780882102429</t>
        </is>
      </c>
      <c r="BC874" t="inlineStr">
        <is>
          <t>32285000513720</t>
        </is>
      </c>
      <c r="BD874" t="inlineStr">
        <is>
          <t>893516619</t>
        </is>
      </c>
    </row>
    <row r="875">
      <c r="A875" t="inlineStr">
        <is>
          <t>No</t>
        </is>
      </c>
      <c r="B875" t="inlineStr">
        <is>
          <t>LB1623 .W67 2001</t>
        </is>
      </c>
      <c r="C875" t="inlineStr">
        <is>
          <t>0                      LB 1623000W  67          2001</t>
        </is>
      </c>
      <c r="D875" t="inlineStr">
        <is>
          <t>Meet me in the middle : becoming an accomplished middle-level teacher / Rick Wormeli.</t>
        </is>
      </c>
      <c r="F875" t="inlineStr">
        <is>
          <t>No</t>
        </is>
      </c>
      <c r="G875" t="inlineStr">
        <is>
          <t>1</t>
        </is>
      </c>
      <c r="H875" t="inlineStr">
        <is>
          <t>No</t>
        </is>
      </c>
      <c r="I875" t="inlineStr">
        <is>
          <t>No</t>
        </is>
      </c>
      <c r="J875" t="inlineStr">
        <is>
          <t>0</t>
        </is>
      </c>
      <c r="K875" t="inlineStr">
        <is>
          <t>Wormeli, Rick.</t>
        </is>
      </c>
      <c r="L875" t="inlineStr">
        <is>
          <t>Portland, Me. : Stenhouse Publishers ; Westerville, Ohio : National Middle School Association, c2001.</t>
        </is>
      </c>
      <c r="M875" t="inlineStr">
        <is>
          <t>2001</t>
        </is>
      </c>
      <c r="O875" t="inlineStr">
        <is>
          <t>eng</t>
        </is>
      </c>
      <c r="P875" t="inlineStr">
        <is>
          <t>meu</t>
        </is>
      </c>
      <c r="R875" t="inlineStr">
        <is>
          <t xml:space="preserve">LB </t>
        </is>
      </c>
      <c r="S875" t="n">
        <v>3</v>
      </c>
      <c r="T875" t="n">
        <v>3</v>
      </c>
      <c r="U875" t="inlineStr">
        <is>
          <t>2005-10-25</t>
        </is>
      </c>
      <c r="V875" t="inlineStr">
        <is>
          <t>2005-10-25</t>
        </is>
      </c>
      <c r="W875" t="inlineStr">
        <is>
          <t>2003-06-11</t>
        </is>
      </c>
      <c r="X875" t="inlineStr">
        <is>
          <t>2003-06-11</t>
        </is>
      </c>
      <c r="Y875" t="n">
        <v>860</v>
      </c>
      <c r="Z875" t="n">
        <v>801</v>
      </c>
      <c r="AA875" t="n">
        <v>1076</v>
      </c>
      <c r="AB875" t="n">
        <v>8</v>
      </c>
      <c r="AC875" t="n">
        <v>9</v>
      </c>
      <c r="AD875" t="n">
        <v>43</v>
      </c>
      <c r="AE875" t="n">
        <v>45</v>
      </c>
      <c r="AF875" t="n">
        <v>19</v>
      </c>
      <c r="AG875" t="n">
        <v>19</v>
      </c>
      <c r="AH875" t="n">
        <v>9</v>
      </c>
      <c r="AI875" t="n">
        <v>9</v>
      </c>
      <c r="AJ875" t="n">
        <v>17</v>
      </c>
      <c r="AK875" t="n">
        <v>18</v>
      </c>
      <c r="AL875" t="n">
        <v>7</v>
      </c>
      <c r="AM875" t="n">
        <v>8</v>
      </c>
      <c r="AN875" t="n">
        <v>0</v>
      </c>
      <c r="AO875" t="n">
        <v>0</v>
      </c>
      <c r="AP875" t="inlineStr">
        <is>
          <t>No</t>
        </is>
      </c>
      <c r="AQ875" t="inlineStr">
        <is>
          <t>No</t>
        </is>
      </c>
      <c r="AS875">
        <f>HYPERLINK("https://creighton-primo.hosted.exlibrisgroup.com/primo-explore/search?tab=default_tab&amp;search_scope=EVERYTHING&amp;vid=01CRU&amp;lang=en_US&amp;offset=0&amp;query=any,contains,991004053379702656","Catalog Record")</f>
        <v/>
      </c>
      <c r="AT875">
        <f>HYPERLINK("http://www.worldcat.org/oclc/46683661","WorldCat Record")</f>
        <v/>
      </c>
      <c r="AU875" t="inlineStr">
        <is>
          <t>36083917:eng</t>
        </is>
      </c>
      <c r="AV875" t="inlineStr">
        <is>
          <t>46683661</t>
        </is>
      </c>
      <c r="AW875" t="inlineStr">
        <is>
          <t>991004053379702656</t>
        </is>
      </c>
      <c r="AX875" t="inlineStr">
        <is>
          <t>991004053379702656</t>
        </is>
      </c>
      <c r="AY875" t="inlineStr">
        <is>
          <t>2255278500002656</t>
        </is>
      </c>
      <c r="AZ875" t="inlineStr">
        <is>
          <t>BOOK</t>
        </is>
      </c>
      <c r="BB875" t="inlineStr">
        <is>
          <t>9781571103284</t>
        </is>
      </c>
      <c r="BC875" t="inlineStr">
        <is>
          <t>32285004752126</t>
        </is>
      </c>
      <c r="BD875" t="inlineStr">
        <is>
          <t>893788216</t>
        </is>
      </c>
    </row>
    <row r="876">
      <c r="A876" t="inlineStr">
        <is>
          <t>No</t>
        </is>
      </c>
      <c r="B876" t="inlineStr">
        <is>
          <t>LB1623 .Z67 1998</t>
        </is>
      </c>
      <c r="C876" t="inlineStr">
        <is>
          <t>0                      LB 1623000Z  67          1998</t>
        </is>
      </c>
      <c r="D876" t="inlineStr">
        <is>
          <t>Teaching middle school students to be active researchers / Judith M. Zorfass with Harriet Copel.</t>
        </is>
      </c>
      <c r="F876" t="inlineStr">
        <is>
          <t>No</t>
        </is>
      </c>
      <c r="G876" t="inlineStr">
        <is>
          <t>1</t>
        </is>
      </c>
      <c r="H876" t="inlineStr">
        <is>
          <t>No</t>
        </is>
      </c>
      <c r="I876" t="inlineStr">
        <is>
          <t>No</t>
        </is>
      </c>
      <c r="J876" t="inlineStr">
        <is>
          <t>0</t>
        </is>
      </c>
      <c r="K876" t="inlineStr">
        <is>
          <t>Zorfass, Judith M., 1944-</t>
        </is>
      </c>
      <c r="L876" t="inlineStr">
        <is>
          <t>Alexandria, Va. : Association for Supervision and Curriculum Development, c1998.</t>
        </is>
      </c>
      <c r="M876" t="inlineStr">
        <is>
          <t>1998</t>
        </is>
      </c>
      <c r="O876" t="inlineStr">
        <is>
          <t>eng</t>
        </is>
      </c>
      <c r="P876" t="inlineStr">
        <is>
          <t>vau</t>
        </is>
      </c>
      <c r="R876" t="inlineStr">
        <is>
          <t xml:space="preserve">LB </t>
        </is>
      </c>
      <c r="S876" t="n">
        <v>1</v>
      </c>
      <c r="T876" t="n">
        <v>1</v>
      </c>
      <c r="U876" t="inlineStr">
        <is>
          <t>2000-07-19</t>
        </is>
      </c>
      <c r="V876" t="inlineStr">
        <is>
          <t>2000-07-19</t>
        </is>
      </c>
      <c r="W876" t="inlineStr">
        <is>
          <t>1999-03-03</t>
        </is>
      </c>
      <c r="X876" t="inlineStr">
        <is>
          <t>1999-03-03</t>
        </is>
      </c>
      <c r="Y876" t="n">
        <v>291</v>
      </c>
      <c r="Z876" t="n">
        <v>248</v>
      </c>
      <c r="AA876" t="n">
        <v>255</v>
      </c>
      <c r="AB876" t="n">
        <v>4</v>
      </c>
      <c r="AC876" t="n">
        <v>4</v>
      </c>
      <c r="AD876" t="n">
        <v>13</v>
      </c>
      <c r="AE876" t="n">
        <v>13</v>
      </c>
      <c r="AF876" t="n">
        <v>5</v>
      </c>
      <c r="AG876" t="n">
        <v>5</v>
      </c>
      <c r="AH876" t="n">
        <v>2</v>
      </c>
      <c r="AI876" t="n">
        <v>2</v>
      </c>
      <c r="AJ876" t="n">
        <v>4</v>
      </c>
      <c r="AK876" t="n">
        <v>4</v>
      </c>
      <c r="AL876" t="n">
        <v>3</v>
      </c>
      <c r="AM876" t="n">
        <v>3</v>
      </c>
      <c r="AN876" t="n">
        <v>0</v>
      </c>
      <c r="AO876" t="n">
        <v>0</v>
      </c>
      <c r="AP876" t="inlineStr">
        <is>
          <t>No</t>
        </is>
      </c>
      <c r="AQ876" t="inlineStr">
        <is>
          <t>No</t>
        </is>
      </c>
      <c r="AS876">
        <f>HYPERLINK("https://creighton-primo.hosted.exlibrisgroup.com/primo-explore/search?tab=default_tab&amp;search_scope=EVERYTHING&amp;vid=01CRU&amp;lang=en_US&amp;offset=0&amp;query=any,contains,991002970099702656","Catalog Record")</f>
        <v/>
      </c>
      <c r="AT876">
        <f>HYPERLINK("http://www.worldcat.org/oclc/39756777","WorldCat Record")</f>
        <v/>
      </c>
      <c r="AU876" t="inlineStr">
        <is>
          <t>1809849134:eng</t>
        </is>
      </c>
      <c r="AV876" t="inlineStr">
        <is>
          <t>39756777</t>
        </is>
      </c>
      <c r="AW876" t="inlineStr">
        <is>
          <t>991002970099702656</t>
        </is>
      </c>
      <c r="AX876" t="inlineStr">
        <is>
          <t>991002970099702656</t>
        </is>
      </c>
      <c r="AY876" t="inlineStr">
        <is>
          <t>2260662870002656</t>
        </is>
      </c>
      <c r="AZ876" t="inlineStr">
        <is>
          <t>BOOK</t>
        </is>
      </c>
      <c r="BC876" t="inlineStr">
        <is>
          <t>32285003528691</t>
        </is>
      </c>
      <c r="BD876" t="inlineStr">
        <is>
          <t>893511424</t>
        </is>
      </c>
    </row>
    <row r="877">
      <c r="A877" t="inlineStr">
        <is>
          <t>No</t>
        </is>
      </c>
      <c r="B877" t="inlineStr">
        <is>
          <t>LB1628 .S37 1975</t>
        </is>
      </c>
      <c r="C877" t="inlineStr">
        <is>
          <t>0                      LB 1628000S  37          1975</t>
        </is>
      </c>
      <c r="D877" t="inlineStr">
        <is>
          <t>Toward humanistic teaching in high school / Weems A. Saucier, Robert L. Wendel, Richard J. Mueller.</t>
        </is>
      </c>
      <c r="F877" t="inlineStr">
        <is>
          <t>No</t>
        </is>
      </c>
      <c r="G877" t="inlineStr">
        <is>
          <t>1</t>
        </is>
      </c>
      <c r="H877" t="inlineStr">
        <is>
          <t>No</t>
        </is>
      </c>
      <c r="I877" t="inlineStr">
        <is>
          <t>No</t>
        </is>
      </c>
      <c r="J877" t="inlineStr">
        <is>
          <t>0</t>
        </is>
      </c>
      <c r="K877" t="inlineStr">
        <is>
          <t>Saucier, W. A. (Weems Aurelius), 1891-1978.</t>
        </is>
      </c>
      <c r="L877" t="inlineStr">
        <is>
          <t>Lexington, Mass. : D. C. Heath, [1974] c1975.</t>
        </is>
      </c>
      <c r="M877" t="inlineStr">
        <is>
          <t>1974</t>
        </is>
      </c>
      <c r="O877" t="inlineStr">
        <is>
          <t>eng</t>
        </is>
      </c>
      <c r="P877" t="inlineStr">
        <is>
          <t>mau</t>
        </is>
      </c>
      <c r="R877" t="inlineStr">
        <is>
          <t xml:space="preserve">LB </t>
        </is>
      </c>
      <c r="S877" t="n">
        <v>4</v>
      </c>
      <c r="T877" t="n">
        <v>4</v>
      </c>
      <c r="U877" t="inlineStr">
        <is>
          <t>2006-12-04</t>
        </is>
      </c>
      <c r="V877" t="inlineStr">
        <is>
          <t>2006-12-04</t>
        </is>
      </c>
      <c r="W877" t="inlineStr">
        <is>
          <t>1993-01-28</t>
        </is>
      </c>
      <c r="X877" t="inlineStr">
        <is>
          <t>1993-01-28</t>
        </is>
      </c>
      <c r="Y877" t="n">
        <v>217</v>
      </c>
      <c r="Z877" t="n">
        <v>193</v>
      </c>
      <c r="AA877" t="n">
        <v>193</v>
      </c>
      <c r="AB877" t="n">
        <v>2</v>
      </c>
      <c r="AC877" t="n">
        <v>2</v>
      </c>
      <c r="AD877" t="n">
        <v>7</v>
      </c>
      <c r="AE877" t="n">
        <v>7</v>
      </c>
      <c r="AF877" t="n">
        <v>3</v>
      </c>
      <c r="AG877" t="n">
        <v>3</v>
      </c>
      <c r="AH877" t="n">
        <v>1</v>
      </c>
      <c r="AI877" t="n">
        <v>1</v>
      </c>
      <c r="AJ877" t="n">
        <v>5</v>
      </c>
      <c r="AK877" t="n">
        <v>5</v>
      </c>
      <c r="AL877" t="n">
        <v>1</v>
      </c>
      <c r="AM877" t="n">
        <v>1</v>
      </c>
      <c r="AN877" t="n">
        <v>0</v>
      </c>
      <c r="AO877" t="n">
        <v>0</v>
      </c>
      <c r="AP877" t="inlineStr">
        <is>
          <t>No</t>
        </is>
      </c>
      <c r="AQ877" t="inlineStr">
        <is>
          <t>No</t>
        </is>
      </c>
      <c r="AS877">
        <f>HYPERLINK("https://creighton-primo.hosted.exlibrisgroup.com/primo-explore/search?tab=default_tab&amp;search_scope=EVERYTHING&amp;vid=01CRU&amp;lang=en_US&amp;offset=0&amp;query=any,contains,991003619319702656","Catalog Record")</f>
        <v/>
      </c>
      <c r="AT877">
        <f>HYPERLINK("http://www.worldcat.org/oclc/1205926","WorldCat Record")</f>
        <v/>
      </c>
      <c r="AU877" t="inlineStr">
        <is>
          <t>180479672:eng</t>
        </is>
      </c>
      <c r="AV877" t="inlineStr">
        <is>
          <t>1205926</t>
        </is>
      </c>
      <c r="AW877" t="inlineStr">
        <is>
          <t>991003619319702656</t>
        </is>
      </c>
      <c r="AX877" t="inlineStr">
        <is>
          <t>991003619319702656</t>
        </is>
      </c>
      <c r="AY877" t="inlineStr">
        <is>
          <t>2269785640002656</t>
        </is>
      </c>
      <c r="AZ877" t="inlineStr">
        <is>
          <t>BOOK</t>
        </is>
      </c>
      <c r="BB877" t="inlineStr">
        <is>
          <t>9780669903812</t>
        </is>
      </c>
      <c r="BC877" t="inlineStr">
        <is>
          <t>32285001480416</t>
        </is>
      </c>
      <c r="BD877" t="inlineStr">
        <is>
          <t>893781200</t>
        </is>
      </c>
    </row>
    <row r="878">
      <c r="A878" t="inlineStr">
        <is>
          <t>No</t>
        </is>
      </c>
      <c r="B878" t="inlineStr">
        <is>
          <t>LB1628.5 .P38 1997</t>
        </is>
      </c>
      <c r="C878" t="inlineStr">
        <is>
          <t>0                      LB 1628500P  38          1997</t>
        </is>
      </c>
      <c r="D878" t="inlineStr">
        <is>
          <t>Making integrated curriculum work : teachers, students, and the quest for coherent curriculum / P. Elizabeth Pate, Elaine R. Homestead, Karen L. McGinnis ; foreword by James A. Beane.</t>
        </is>
      </c>
      <c r="F878" t="inlineStr">
        <is>
          <t>No</t>
        </is>
      </c>
      <c r="G878" t="inlineStr">
        <is>
          <t>1</t>
        </is>
      </c>
      <c r="H878" t="inlineStr">
        <is>
          <t>No</t>
        </is>
      </c>
      <c r="I878" t="inlineStr">
        <is>
          <t>No</t>
        </is>
      </c>
      <c r="J878" t="inlineStr">
        <is>
          <t>0</t>
        </is>
      </c>
      <c r="K878" t="inlineStr">
        <is>
          <t>Pate, P. Elizabeth.</t>
        </is>
      </c>
      <c r="L878" t="inlineStr">
        <is>
          <t>New York : Teachers College Press, c1997.</t>
        </is>
      </c>
      <c r="M878" t="inlineStr">
        <is>
          <t>1997</t>
        </is>
      </c>
      <c r="O878" t="inlineStr">
        <is>
          <t>eng</t>
        </is>
      </c>
      <c r="P878" t="inlineStr">
        <is>
          <t>nyu</t>
        </is>
      </c>
      <c r="R878" t="inlineStr">
        <is>
          <t xml:space="preserve">LB </t>
        </is>
      </c>
      <c r="S878" t="n">
        <v>9</v>
      </c>
      <c r="T878" t="n">
        <v>9</v>
      </c>
      <c r="U878" t="inlineStr">
        <is>
          <t>2000-03-01</t>
        </is>
      </c>
      <c r="V878" t="inlineStr">
        <is>
          <t>2000-03-01</t>
        </is>
      </c>
      <c r="W878" t="inlineStr">
        <is>
          <t>1997-04-04</t>
        </is>
      </c>
      <c r="X878" t="inlineStr">
        <is>
          <t>1997-04-04</t>
        </is>
      </c>
      <c r="Y878" t="n">
        <v>518</v>
      </c>
      <c r="Z878" t="n">
        <v>457</v>
      </c>
      <c r="AA878" t="n">
        <v>466</v>
      </c>
      <c r="AB878" t="n">
        <v>4</v>
      </c>
      <c r="AC878" t="n">
        <v>4</v>
      </c>
      <c r="AD878" t="n">
        <v>20</v>
      </c>
      <c r="AE878" t="n">
        <v>20</v>
      </c>
      <c r="AF878" t="n">
        <v>7</v>
      </c>
      <c r="AG878" t="n">
        <v>7</v>
      </c>
      <c r="AH878" t="n">
        <v>4</v>
      </c>
      <c r="AI878" t="n">
        <v>4</v>
      </c>
      <c r="AJ878" t="n">
        <v>12</v>
      </c>
      <c r="AK878" t="n">
        <v>12</v>
      </c>
      <c r="AL878" t="n">
        <v>3</v>
      </c>
      <c r="AM878" t="n">
        <v>3</v>
      </c>
      <c r="AN878" t="n">
        <v>0</v>
      </c>
      <c r="AO878" t="n">
        <v>0</v>
      </c>
      <c r="AP878" t="inlineStr">
        <is>
          <t>No</t>
        </is>
      </c>
      <c r="AQ878" t="inlineStr">
        <is>
          <t>No</t>
        </is>
      </c>
      <c r="AS878">
        <f>HYPERLINK("https://creighton-primo.hosted.exlibrisgroup.com/primo-explore/search?tab=default_tab&amp;search_scope=EVERYTHING&amp;vid=01CRU&amp;lang=en_US&amp;offset=0&amp;query=any,contains,991002705089702656","Catalog Record")</f>
        <v/>
      </c>
      <c r="AT878">
        <f>HYPERLINK("http://www.worldcat.org/oclc/35318223","WorldCat Record")</f>
        <v/>
      </c>
      <c r="AU878" t="inlineStr">
        <is>
          <t>837009498:eng</t>
        </is>
      </c>
      <c r="AV878" t="inlineStr">
        <is>
          <t>35318223</t>
        </is>
      </c>
      <c r="AW878" t="inlineStr">
        <is>
          <t>991002705089702656</t>
        </is>
      </c>
      <c r="AX878" t="inlineStr">
        <is>
          <t>991002705089702656</t>
        </is>
      </c>
      <c r="AY878" t="inlineStr">
        <is>
          <t>2255254760002656</t>
        </is>
      </c>
      <c r="AZ878" t="inlineStr">
        <is>
          <t>BOOK</t>
        </is>
      </c>
      <c r="BB878" t="inlineStr">
        <is>
          <t>9780807735978</t>
        </is>
      </c>
      <c r="BC878" t="inlineStr">
        <is>
          <t>32285002479326</t>
        </is>
      </c>
      <c r="BD878" t="inlineStr">
        <is>
          <t>893892872</t>
        </is>
      </c>
    </row>
    <row r="879">
      <c r="A879" t="inlineStr">
        <is>
          <t>No</t>
        </is>
      </c>
      <c r="B879" t="inlineStr">
        <is>
          <t>LB1629.7 12th .S59 2002</t>
        </is>
      </c>
      <c r="C879" t="inlineStr">
        <is>
          <t>0                      LB 1629700                                                           12th .S59 2002</t>
        </is>
      </c>
      <c r="D879" t="inlineStr">
        <is>
          <t>Crossing the stage : redesigning senior year / Nancy Faust Sizer.</t>
        </is>
      </c>
      <c r="F879" t="inlineStr">
        <is>
          <t>No</t>
        </is>
      </c>
      <c r="G879" t="inlineStr">
        <is>
          <t>1</t>
        </is>
      </c>
      <c r="H879" t="inlineStr">
        <is>
          <t>No</t>
        </is>
      </c>
      <c r="I879" t="inlineStr">
        <is>
          <t>No</t>
        </is>
      </c>
      <c r="J879" t="inlineStr">
        <is>
          <t>0</t>
        </is>
      </c>
      <c r="K879" t="inlineStr">
        <is>
          <t>Sizer, Nancy Faust.</t>
        </is>
      </c>
      <c r="L879" t="inlineStr">
        <is>
          <t>Portsmouth, NH : Heinemann, c2002.</t>
        </is>
      </c>
      <c r="M879" t="inlineStr">
        <is>
          <t>2002</t>
        </is>
      </c>
      <c r="O879" t="inlineStr">
        <is>
          <t>eng</t>
        </is>
      </c>
      <c r="P879" t="inlineStr">
        <is>
          <t>nhu</t>
        </is>
      </c>
      <c r="R879" t="inlineStr">
        <is>
          <t xml:space="preserve">LB </t>
        </is>
      </c>
      <c r="S879" t="n">
        <v>3</v>
      </c>
      <c r="T879" t="n">
        <v>3</v>
      </c>
      <c r="U879" t="inlineStr">
        <is>
          <t>2008-10-30</t>
        </is>
      </c>
      <c r="V879" t="inlineStr">
        <is>
          <t>2008-10-30</t>
        </is>
      </c>
      <c r="W879" t="inlineStr">
        <is>
          <t>2003-01-28</t>
        </is>
      </c>
      <c r="X879" t="inlineStr">
        <is>
          <t>2003-01-28</t>
        </is>
      </c>
      <c r="Y879" t="n">
        <v>203</v>
      </c>
      <c r="Z879" t="n">
        <v>196</v>
      </c>
      <c r="AA879" t="n">
        <v>202</v>
      </c>
      <c r="AB879" t="n">
        <v>3</v>
      </c>
      <c r="AC879" t="n">
        <v>3</v>
      </c>
      <c r="AD879" t="n">
        <v>12</v>
      </c>
      <c r="AE879" t="n">
        <v>12</v>
      </c>
      <c r="AF879" t="n">
        <v>1</v>
      </c>
      <c r="AG879" t="n">
        <v>1</v>
      </c>
      <c r="AH879" t="n">
        <v>4</v>
      </c>
      <c r="AI879" t="n">
        <v>4</v>
      </c>
      <c r="AJ879" t="n">
        <v>6</v>
      </c>
      <c r="AK879" t="n">
        <v>6</v>
      </c>
      <c r="AL879" t="n">
        <v>2</v>
      </c>
      <c r="AM879" t="n">
        <v>2</v>
      </c>
      <c r="AN879" t="n">
        <v>0</v>
      </c>
      <c r="AO879" t="n">
        <v>0</v>
      </c>
      <c r="AP879" t="inlineStr">
        <is>
          <t>No</t>
        </is>
      </c>
      <c r="AQ879" t="inlineStr">
        <is>
          <t>Yes</t>
        </is>
      </c>
      <c r="AR879">
        <f>HYPERLINK("http://catalog.hathitrust.org/Record/004302639","HathiTrust Record")</f>
        <v/>
      </c>
      <c r="AS879">
        <f>HYPERLINK("https://creighton-primo.hosted.exlibrisgroup.com/primo-explore/search?tab=default_tab&amp;search_scope=EVERYTHING&amp;vid=01CRU&amp;lang=en_US&amp;offset=0&amp;query=any,contains,991003979019702656","Catalog Record")</f>
        <v/>
      </c>
      <c r="AT879">
        <f>HYPERLINK("http://www.worldcat.org/oclc/49320394","WorldCat Record")</f>
        <v/>
      </c>
      <c r="AU879" t="inlineStr">
        <is>
          <t>476146713:eng</t>
        </is>
      </c>
      <c r="AV879" t="inlineStr">
        <is>
          <t>49320394</t>
        </is>
      </c>
      <c r="AW879" t="inlineStr">
        <is>
          <t>991003979019702656</t>
        </is>
      </c>
      <c r="AX879" t="inlineStr">
        <is>
          <t>991003979019702656</t>
        </is>
      </c>
      <c r="AY879" t="inlineStr">
        <is>
          <t>2257961610002656</t>
        </is>
      </c>
      <c r="AZ879" t="inlineStr">
        <is>
          <t>BOOK</t>
        </is>
      </c>
      <c r="BB879" t="inlineStr">
        <is>
          <t>9780325004129</t>
        </is>
      </c>
      <c r="BC879" t="inlineStr">
        <is>
          <t>32285004695812</t>
        </is>
      </c>
      <c r="BD879" t="inlineStr">
        <is>
          <t>893259166</t>
        </is>
      </c>
    </row>
    <row r="880">
      <c r="A880" t="inlineStr">
        <is>
          <t>No</t>
        </is>
      </c>
      <c r="B880" t="inlineStr">
        <is>
          <t>LB1631 .A34378 2009</t>
        </is>
      </c>
      <c r="C880" t="inlineStr">
        <is>
          <t>0                      LB 1631000A  34378       2009</t>
        </is>
      </c>
      <c r="D880" t="inlineStr">
        <is>
          <t>Writers at play : making the space for adolescents to balance imagination and craft / Mary Adler ; foreword by Elizabeth Quintero.</t>
        </is>
      </c>
      <c r="F880" t="inlineStr">
        <is>
          <t>No</t>
        </is>
      </c>
      <c r="G880" t="inlineStr">
        <is>
          <t>1</t>
        </is>
      </c>
      <c r="H880" t="inlineStr">
        <is>
          <t>No</t>
        </is>
      </c>
      <c r="I880" t="inlineStr">
        <is>
          <t>No</t>
        </is>
      </c>
      <c r="J880" t="inlineStr">
        <is>
          <t>0</t>
        </is>
      </c>
      <c r="K880" t="inlineStr">
        <is>
          <t>Adler, Mary.</t>
        </is>
      </c>
      <c r="L880" t="inlineStr">
        <is>
          <t>Portsmouth, NH : Heinemann, c2009.</t>
        </is>
      </c>
      <c r="M880" t="inlineStr">
        <is>
          <t>2009</t>
        </is>
      </c>
      <c r="O880" t="inlineStr">
        <is>
          <t>eng</t>
        </is>
      </c>
      <c r="P880" t="inlineStr">
        <is>
          <t>nhu</t>
        </is>
      </c>
      <c r="R880" t="inlineStr">
        <is>
          <t xml:space="preserve">LB </t>
        </is>
      </c>
      <c r="S880" t="n">
        <v>1</v>
      </c>
      <c r="T880" t="n">
        <v>1</v>
      </c>
      <c r="U880" t="inlineStr">
        <is>
          <t>2009-12-10</t>
        </is>
      </c>
      <c r="V880" t="inlineStr">
        <is>
          <t>2009-12-10</t>
        </is>
      </c>
      <c r="W880" t="inlineStr">
        <is>
          <t>2009-12-10</t>
        </is>
      </c>
      <c r="X880" t="inlineStr">
        <is>
          <t>2009-12-10</t>
        </is>
      </c>
      <c r="Y880" t="n">
        <v>79</v>
      </c>
      <c r="Z880" t="n">
        <v>73</v>
      </c>
      <c r="AA880" t="n">
        <v>73</v>
      </c>
      <c r="AB880" t="n">
        <v>2</v>
      </c>
      <c r="AC880" t="n">
        <v>2</v>
      </c>
      <c r="AD880" t="n">
        <v>3</v>
      </c>
      <c r="AE880" t="n">
        <v>3</v>
      </c>
      <c r="AF880" t="n">
        <v>2</v>
      </c>
      <c r="AG880" t="n">
        <v>2</v>
      </c>
      <c r="AH880" t="n">
        <v>1</v>
      </c>
      <c r="AI880" t="n">
        <v>1</v>
      </c>
      <c r="AJ880" t="n">
        <v>1</v>
      </c>
      <c r="AK880" t="n">
        <v>1</v>
      </c>
      <c r="AL880" t="n">
        <v>1</v>
      </c>
      <c r="AM880" t="n">
        <v>1</v>
      </c>
      <c r="AN880" t="n">
        <v>0</v>
      </c>
      <c r="AO880" t="n">
        <v>0</v>
      </c>
      <c r="AP880" t="inlineStr">
        <is>
          <t>No</t>
        </is>
      </c>
      <c r="AQ880" t="inlineStr">
        <is>
          <t>No</t>
        </is>
      </c>
      <c r="AS880">
        <f>HYPERLINK("https://creighton-primo.hosted.exlibrisgroup.com/primo-explore/search?tab=default_tab&amp;search_scope=EVERYTHING&amp;vid=01CRU&amp;lang=en_US&amp;offset=0&amp;query=any,contains,991005345359702656","Catalog Record")</f>
        <v/>
      </c>
      <c r="AT880">
        <f>HYPERLINK("http://www.worldcat.org/oclc/318874762","WorldCat Record")</f>
        <v/>
      </c>
      <c r="AU880" t="inlineStr">
        <is>
          <t>1220218498:eng</t>
        </is>
      </c>
      <c r="AV880" t="inlineStr">
        <is>
          <t>318874762</t>
        </is>
      </c>
      <c r="AW880" t="inlineStr">
        <is>
          <t>991005345359702656</t>
        </is>
      </c>
      <c r="AX880" t="inlineStr">
        <is>
          <t>991005345359702656</t>
        </is>
      </c>
      <c r="AY880" t="inlineStr">
        <is>
          <t>2266846360002656</t>
        </is>
      </c>
      <c r="AZ880" t="inlineStr">
        <is>
          <t>BOOK</t>
        </is>
      </c>
      <c r="BB880" t="inlineStr">
        <is>
          <t>9780325021607</t>
        </is>
      </c>
      <c r="BC880" t="inlineStr">
        <is>
          <t>32285005554182</t>
        </is>
      </c>
      <c r="BD880" t="inlineStr">
        <is>
          <t>893248760</t>
        </is>
      </c>
    </row>
    <row r="881">
      <c r="A881" t="inlineStr">
        <is>
          <t>No</t>
        </is>
      </c>
      <c r="B881" t="inlineStr">
        <is>
          <t>LB1631 .A56 2003</t>
        </is>
      </c>
      <c r="C881" t="inlineStr">
        <is>
          <t>0                      LB 1631000A  56          2003</t>
        </is>
      </c>
      <c r="D881" t="inlineStr">
        <is>
          <t>Tried and true : lessons, strategies, and activities for teaching secondary English / Joe Antinarella and Ken Salbu.</t>
        </is>
      </c>
      <c r="F881" t="inlineStr">
        <is>
          <t>No</t>
        </is>
      </c>
      <c r="G881" t="inlineStr">
        <is>
          <t>1</t>
        </is>
      </c>
      <c r="H881" t="inlineStr">
        <is>
          <t>No</t>
        </is>
      </c>
      <c r="I881" t="inlineStr">
        <is>
          <t>No</t>
        </is>
      </c>
      <c r="J881" t="inlineStr">
        <is>
          <t>0</t>
        </is>
      </c>
      <c r="K881" t="inlineStr">
        <is>
          <t>Antinarella, Joseph C., 1953-</t>
        </is>
      </c>
      <c r="L881" t="inlineStr">
        <is>
          <t>Portsmouth, NH : Heinemann, c2003.</t>
        </is>
      </c>
      <c r="M881" t="inlineStr">
        <is>
          <t>2003</t>
        </is>
      </c>
      <c r="O881" t="inlineStr">
        <is>
          <t>eng</t>
        </is>
      </c>
      <c r="P881" t="inlineStr">
        <is>
          <t>nhu</t>
        </is>
      </c>
      <c r="R881" t="inlineStr">
        <is>
          <t xml:space="preserve">LB </t>
        </is>
      </c>
      <c r="S881" t="n">
        <v>1</v>
      </c>
      <c r="T881" t="n">
        <v>1</v>
      </c>
      <c r="U881" t="inlineStr">
        <is>
          <t>2003-06-09</t>
        </is>
      </c>
      <c r="V881" t="inlineStr">
        <is>
          <t>2003-06-09</t>
        </is>
      </c>
      <c r="W881" t="inlineStr">
        <is>
          <t>2003-06-09</t>
        </is>
      </c>
      <c r="X881" t="inlineStr">
        <is>
          <t>2003-06-09</t>
        </is>
      </c>
      <c r="Y881" t="n">
        <v>220</v>
      </c>
      <c r="Z881" t="n">
        <v>197</v>
      </c>
      <c r="AA881" t="n">
        <v>197</v>
      </c>
      <c r="AB881" t="n">
        <v>1</v>
      </c>
      <c r="AC881" t="n">
        <v>1</v>
      </c>
      <c r="AD881" t="n">
        <v>7</v>
      </c>
      <c r="AE881" t="n">
        <v>7</v>
      </c>
      <c r="AF881" t="n">
        <v>3</v>
      </c>
      <c r="AG881" t="n">
        <v>3</v>
      </c>
      <c r="AH881" t="n">
        <v>3</v>
      </c>
      <c r="AI881" t="n">
        <v>3</v>
      </c>
      <c r="AJ881" t="n">
        <v>4</v>
      </c>
      <c r="AK881" t="n">
        <v>4</v>
      </c>
      <c r="AL881" t="n">
        <v>0</v>
      </c>
      <c r="AM881" t="n">
        <v>0</v>
      </c>
      <c r="AN881" t="n">
        <v>0</v>
      </c>
      <c r="AO881" t="n">
        <v>0</v>
      </c>
      <c r="AP881" t="inlineStr">
        <is>
          <t>No</t>
        </is>
      </c>
      <c r="AQ881" t="inlineStr">
        <is>
          <t>No</t>
        </is>
      </c>
      <c r="AS881">
        <f>HYPERLINK("https://creighton-primo.hosted.exlibrisgroup.com/primo-explore/search?tab=default_tab&amp;search_scope=EVERYTHING&amp;vid=01CRU&amp;lang=en_US&amp;offset=0&amp;query=any,contains,991004071229702656","Catalog Record")</f>
        <v/>
      </c>
      <c r="AT881">
        <f>HYPERLINK("http://www.worldcat.org/oclc/50561647","WorldCat Record")</f>
        <v/>
      </c>
      <c r="AU881" t="inlineStr">
        <is>
          <t>196084437:eng</t>
        </is>
      </c>
      <c r="AV881" t="inlineStr">
        <is>
          <t>50561647</t>
        </is>
      </c>
      <c r="AW881" t="inlineStr">
        <is>
          <t>991004071229702656</t>
        </is>
      </c>
      <c r="AX881" t="inlineStr">
        <is>
          <t>991004071229702656</t>
        </is>
      </c>
      <c r="AY881" t="inlineStr">
        <is>
          <t>2271416790002656</t>
        </is>
      </c>
      <c r="AZ881" t="inlineStr">
        <is>
          <t>BOOK</t>
        </is>
      </c>
      <c r="BB881" t="inlineStr">
        <is>
          <t>9780325004747</t>
        </is>
      </c>
      <c r="BC881" t="inlineStr">
        <is>
          <t>32285004751219</t>
        </is>
      </c>
      <c r="BD881" t="inlineStr">
        <is>
          <t>893718425</t>
        </is>
      </c>
    </row>
    <row r="882">
      <c r="A882" t="inlineStr">
        <is>
          <t>No</t>
        </is>
      </c>
      <c r="B882" t="inlineStr">
        <is>
          <t>LB1631 .B155 2003</t>
        </is>
      </c>
      <c r="C882" t="inlineStr">
        <is>
          <t>0                      LB 1631000B  155         2003</t>
        </is>
      </c>
      <c r="D882" t="inlineStr">
        <is>
          <t>Teaching adolescents to write : the unsubtle art of naked teaching / Lawrence Baines, Anthony Kunkel.</t>
        </is>
      </c>
      <c r="F882" t="inlineStr">
        <is>
          <t>No</t>
        </is>
      </c>
      <c r="G882" t="inlineStr">
        <is>
          <t>1</t>
        </is>
      </c>
      <c r="H882" t="inlineStr">
        <is>
          <t>No</t>
        </is>
      </c>
      <c r="I882" t="inlineStr">
        <is>
          <t>No</t>
        </is>
      </c>
      <c r="J882" t="inlineStr">
        <is>
          <t>0</t>
        </is>
      </c>
      <c r="K882" t="inlineStr">
        <is>
          <t>Baines, Lawrence.</t>
        </is>
      </c>
      <c r="L882" t="inlineStr">
        <is>
          <t>Boston : Allyn and Bacon, c2003.</t>
        </is>
      </c>
      <c r="M882" t="inlineStr">
        <is>
          <t>2003</t>
        </is>
      </c>
      <c r="O882" t="inlineStr">
        <is>
          <t>eng</t>
        </is>
      </c>
      <c r="P882" t="inlineStr">
        <is>
          <t>mau</t>
        </is>
      </c>
      <c r="R882" t="inlineStr">
        <is>
          <t xml:space="preserve">LB </t>
        </is>
      </c>
      <c r="S882" t="n">
        <v>4</v>
      </c>
      <c r="T882" t="n">
        <v>4</v>
      </c>
      <c r="U882" t="inlineStr">
        <is>
          <t>2007-03-12</t>
        </is>
      </c>
      <c r="V882" t="inlineStr">
        <is>
          <t>2007-03-12</t>
        </is>
      </c>
      <c r="W882" t="inlineStr">
        <is>
          <t>2003-03-13</t>
        </is>
      </c>
      <c r="X882" t="inlineStr">
        <is>
          <t>2003-03-13</t>
        </is>
      </c>
      <c r="Y882" t="n">
        <v>210</v>
      </c>
      <c r="Z882" t="n">
        <v>181</v>
      </c>
      <c r="AA882" t="n">
        <v>187</v>
      </c>
      <c r="AB882" t="n">
        <v>3</v>
      </c>
      <c r="AC882" t="n">
        <v>3</v>
      </c>
      <c r="AD882" t="n">
        <v>7</v>
      </c>
      <c r="AE882" t="n">
        <v>7</v>
      </c>
      <c r="AF882" t="n">
        <v>3</v>
      </c>
      <c r="AG882" t="n">
        <v>3</v>
      </c>
      <c r="AH882" t="n">
        <v>1</v>
      </c>
      <c r="AI882" t="n">
        <v>1</v>
      </c>
      <c r="AJ882" t="n">
        <v>4</v>
      </c>
      <c r="AK882" t="n">
        <v>4</v>
      </c>
      <c r="AL882" t="n">
        <v>2</v>
      </c>
      <c r="AM882" t="n">
        <v>2</v>
      </c>
      <c r="AN882" t="n">
        <v>0</v>
      </c>
      <c r="AO882" t="n">
        <v>0</v>
      </c>
      <c r="AP882" t="inlineStr">
        <is>
          <t>No</t>
        </is>
      </c>
      <c r="AQ882" t="inlineStr">
        <is>
          <t>Yes</t>
        </is>
      </c>
      <c r="AR882">
        <f>HYPERLINK("http://catalog.hathitrust.org/Record/102026542","HathiTrust Record")</f>
        <v/>
      </c>
      <c r="AS882">
        <f>HYPERLINK("https://creighton-primo.hosted.exlibrisgroup.com/primo-explore/search?tab=default_tab&amp;search_scope=EVERYTHING&amp;vid=01CRU&amp;lang=en_US&amp;offset=0&amp;query=any,contains,991004020159702656","Catalog Record")</f>
        <v/>
      </c>
      <c r="AT882">
        <f>HYPERLINK("http://www.worldcat.org/oclc/49991622","WorldCat Record")</f>
        <v/>
      </c>
      <c r="AU882" t="inlineStr">
        <is>
          <t>4235070646:eng</t>
        </is>
      </c>
      <c r="AV882" t="inlineStr">
        <is>
          <t>49991622</t>
        </is>
      </c>
      <c r="AW882" t="inlineStr">
        <is>
          <t>991004020159702656</t>
        </is>
      </c>
      <c r="AX882" t="inlineStr">
        <is>
          <t>991004020159702656</t>
        </is>
      </c>
      <c r="AY882" t="inlineStr">
        <is>
          <t>2271712980002656</t>
        </is>
      </c>
      <c r="AZ882" t="inlineStr">
        <is>
          <t>BOOK</t>
        </is>
      </c>
      <c r="BB882" t="inlineStr">
        <is>
          <t>9780205353163</t>
        </is>
      </c>
      <c r="BC882" t="inlineStr">
        <is>
          <t>32285004683958</t>
        </is>
      </c>
      <c r="BD882" t="inlineStr">
        <is>
          <t>893894476</t>
        </is>
      </c>
    </row>
    <row r="883">
      <c r="A883" t="inlineStr">
        <is>
          <t>No</t>
        </is>
      </c>
      <c r="B883" t="inlineStr">
        <is>
          <t>LB1631 .B382 2007</t>
        </is>
      </c>
      <c r="C883" t="inlineStr">
        <is>
          <t>0                      LB 1631000B  382         2007</t>
        </is>
      </c>
      <c r="D883" t="inlineStr">
        <is>
          <t>Engaging grammar : practical advice for real classrooms / Amy Benjamin with Tom Oliva.</t>
        </is>
      </c>
      <c r="F883" t="inlineStr">
        <is>
          <t>No</t>
        </is>
      </c>
      <c r="G883" t="inlineStr">
        <is>
          <t>1</t>
        </is>
      </c>
      <c r="H883" t="inlineStr">
        <is>
          <t>No</t>
        </is>
      </c>
      <c r="I883" t="inlineStr">
        <is>
          <t>No</t>
        </is>
      </c>
      <c r="J883" t="inlineStr">
        <is>
          <t>0</t>
        </is>
      </c>
      <c r="K883" t="inlineStr">
        <is>
          <t>Benjamin, Amy, 1951-</t>
        </is>
      </c>
      <c r="L883" t="inlineStr">
        <is>
          <t>Urbana, Ill : National Council of Teachers of English, c2007.</t>
        </is>
      </c>
      <c r="M883" t="inlineStr">
        <is>
          <t>2007</t>
        </is>
      </c>
      <c r="O883" t="inlineStr">
        <is>
          <t>eng</t>
        </is>
      </c>
      <c r="P883" t="inlineStr">
        <is>
          <t>ilu</t>
        </is>
      </c>
      <c r="R883" t="inlineStr">
        <is>
          <t xml:space="preserve">LB </t>
        </is>
      </c>
      <c r="S883" t="n">
        <v>2</v>
      </c>
      <c r="T883" t="n">
        <v>2</v>
      </c>
      <c r="U883" t="inlineStr">
        <is>
          <t>2010-06-02</t>
        </is>
      </c>
      <c r="V883" t="inlineStr">
        <is>
          <t>2010-06-02</t>
        </is>
      </c>
      <c r="W883" t="inlineStr">
        <is>
          <t>2007-10-28</t>
        </is>
      </c>
      <c r="X883" t="inlineStr">
        <is>
          <t>2007-10-28</t>
        </is>
      </c>
      <c r="Y883" t="n">
        <v>247</v>
      </c>
      <c r="Z883" t="n">
        <v>217</v>
      </c>
      <c r="AA883" t="n">
        <v>223</v>
      </c>
      <c r="AB883" t="n">
        <v>2</v>
      </c>
      <c r="AC883" t="n">
        <v>2</v>
      </c>
      <c r="AD883" t="n">
        <v>7</v>
      </c>
      <c r="AE883" t="n">
        <v>7</v>
      </c>
      <c r="AF883" t="n">
        <v>3</v>
      </c>
      <c r="AG883" t="n">
        <v>3</v>
      </c>
      <c r="AH883" t="n">
        <v>0</v>
      </c>
      <c r="AI883" t="n">
        <v>0</v>
      </c>
      <c r="AJ883" t="n">
        <v>4</v>
      </c>
      <c r="AK883" t="n">
        <v>4</v>
      </c>
      <c r="AL883" t="n">
        <v>1</v>
      </c>
      <c r="AM883" t="n">
        <v>1</v>
      </c>
      <c r="AN883" t="n">
        <v>0</v>
      </c>
      <c r="AO883" t="n">
        <v>0</v>
      </c>
      <c r="AP883" t="inlineStr">
        <is>
          <t>No</t>
        </is>
      </c>
      <c r="AQ883" t="inlineStr">
        <is>
          <t>Yes</t>
        </is>
      </c>
      <c r="AR883">
        <f>HYPERLINK("http://catalog.hathitrust.org/Record/102053807","HathiTrust Record")</f>
        <v/>
      </c>
      <c r="AS883">
        <f>HYPERLINK("https://creighton-primo.hosted.exlibrisgroup.com/primo-explore/search?tab=default_tab&amp;search_scope=EVERYTHING&amp;vid=01CRU&amp;lang=en_US&amp;offset=0&amp;query=any,contains,991005109579702656","Catalog Record")</f>
        <v/>
      </c>
      <c r="AT883">
        <f>HYPERLINK("http://www.worldcat.org/oclc/81150296","WorldCat Record")</f>
        <v/>
      </c>
      <c r="AU883" t="inlineStr">
        <is>
          <t>1219896960:eng</t>
        </is>
      </c>
      <c r="AV883" t="inlineStr">
        <is>
          <t>81150296</t>
        </is>
      </c>
      <c r="AW883" t="inlineStr">
        <is>
          <t>991005109579702656</t>
        </is>
      </c>
      <c r="AX883" t="inlineStr">
        <is>
          <t>991005109579702656</t>
        </is>
      </c>
      <c r="AY883" t="inlineStr">
        <is>
          <t>2259425630002656</t>
        </is>
      </c>
      <c r="AZ883" t="inlineStr">
        <is>
          <t>BOOK</t>
        </is>
      </c>
      <c r="BB883" t="inlineStr">
        <is>
          <t>9780814123386</t>
        </is>
      </c>
      <c r="BC883" t="inlineStr">
        <is>
          <t>32285005361851</t>
        </is>
      </c>
      <c r="BD883" t="inlineStr">
        <is>
          <t>893719784</t>
        </is>
      </c>
    </row>
    <row r="884">
      <c r="A884" t="inlineStr">
        <is>
          <t>No</t>
        </is>
      </c>
      <c r="B884" t="inlineStr">
        <is>
          <t>LB1631 .B436 2008</t>
        </is>
      </c>
      <c r="C884" t="inlineStr">
        <is>
          <t>0                      LB 1631000B  436         2008</t>
        </is>
      </c>
      <c r="D884" t="inlineStr">
        <is>
          <t>The best of vocab-u-lous! : build a fabulous vocab : challenge your middle and high school students to build a fabulous vocabulary.</t>
        </is>
      </c>
      <c r="F884" t="inlineStr">
        <is>
          <t>No</t>
        </is>
      </c>
      <c r="G884" t="inlineStr">
        <is>
          <t>1</t>
        </is>
      </c>
      <c r="H884" t="inlineStr">
        <is>
          <t>No</t>
        </is>
      </c>
      <c r="I884" t="inlineStr">
        <is>
          <t>No</t>
        </is>
      </c>
      <c r="J884" t="inlineStr">
        <is>
          <t>0</t>
        </is>
      </c>
      <c r="L884" t="inlineStr">
        <is>
          <t>Washington, DC : NEA Professional Library, c2008.</t>
        </is>
      </c>
      <c r="M884" t="inlineStr">
        <is>
          <t>2008</t>
        </is>
      </c>
      <c r="O884" t="inlineStr">
        <is>
          <t>eng</t>
        </is>
      </c>
      <c r="P884" t="inlineStr">
        <is>
          <t>dcu</t>
        </is>
      </c>
      <c r="Q884" t="inlineStr">
        <is>
          <t>NEA teacher treasures series</t>
        </is>
      </c>
      <c r="R884" t="inlineStr">
        <is>
          <t xml:space="preserve">LB </t>
        </is>
      </c>
      <c r="S884" t="n">
        <v>1</v>
      </c>
      <c r="T884" t="n">
        <v>1</v>
      </c>
      <c r="U884" t="inlineStr">
        <is>
          <t>2008-08-15</t>
        </is>
      </c>
      <c r="V884" t="inlineStr">
        <is>
          <t>2008-08-15</t>
        </is>
      </c>
      <c r="W884" t="inlineStr">
        <is>
          <t>2008-08-15</t>
        </is>
      </c>
      <c r="X884" t="inlineStr">
        <is>
          <t>2008-08-15</t>
        </is>
      </c>
      <c r="Y884" t="n">
        <v>135</v>
      </c>
      <c r="Z884" t="n">
        <v>127</v>
      </c>
      <c r="AA884" t="n">
        <v>127</v>
      </c>
      <c r="AB884" t="n">
        <v>2</v>
      </c>
      <c r="AC884" t="n">
        <v>2</v>
      </c>
      <c r="AD884" t="n">
        <v>5</v>
      </c>
      <c r="AE884" t="n">
        <v>5</v>
      </c>
      <c r="AF884" t="n">
        <v>4</v>
      </c>
      <c r="AG884" t="n">
        <v>4</v>
      </c>
      <c r="AH884" t="n">
        <v>0</v>
      </c>
      <c r="AI884" t="n">
        <v>0</v>
      </c>
      <c r="AJ884" t="n">
        <v>1</v>
      </c>
      <c r="AK884" t="n">
        <v>1</v>
      </c>
      <c r="AL884" t="n">
        <v>1</v>
      </c>
      <c r="AM884" t="n">
        <v>1</v>
      </c>
      <c r="AN884" t="n">
        <v>0</v>
      </c>
      <c r="AO884" t="n">
        <v>0</v>
      </c>
      <c r="AP884" t="inlineStr">
        <is>
          <t>No</t>
        </is>
      </c>
      <c r="AQ884" t="inlineStr">
        <is>
          <t>No</t>
        </is>
      </c>
      <c r="AS884">
        <f>HYPERLINK("https://creighton-primo.hosted.exlibrisgroup.com/primo-explore/search?tab=default_tab&amp;search_scope=EVERYTHING&amp;vid=01CRU&amp;lang=en_US&amp;offset=0&amp;query=any,contains,991005259389702656","Catalog Record")</f>
        <v/>
      </c>
      <c r="AT884">
        <f>HYPERLINK("http://www.worldcat.org/oclc/232256944","WorldCat Record")</f>
        <v/>
      </c>
      <c r="AU884" t="inlineStr">
        <is>
          <t>139002030:eng</t>
        </is>
      </c>
      <c r="AV884" t="inlineStr">
        <is>
          <t>232256944</t>
        </is>
      </c>
      <c r="AW884" t="inlineStr">
        <is>
          <t>991005259389702656</t>
        </is>
      </c>
      <c r="AX884" t="inlineStr">
        <is>
          <t>991005259389702656</t>
        </is>
      </c>
      <c r="AY884" t="inlineStr">
        <is>
          <t>2272185420002656</t>
        </is>
      </c>
      <c r="AZ884" t="inlineStr">
        <is>
          <t>BOOK</t>
        </is>
      </c>
      <c r="BB884" t="inlineStr">
        <is>
          <t>9780810620414</t>
        </is>
      </c>
      <c r="BC884" t="inlineStr">
        <is>
          <t>32285005454714</t>
        </is>
      </c>
      <c r="BD884" t="inlineStr">
        <is>
          <t>893625726</t>
        </is>
      </c>
    </row>
    <row r="885">
      <c r="A885" t="inlineStr">
        <is>
          <t>No</t>
        </is>
      </c>
      <c r="B885" t="inlineStr">
        <is>
          <t>LB1631 .C38 2006</t>
        </is>
      </c>
      <c r="C885" t="inlineStr">
        <is>
          <t>0                      LB 1631000C  38          2006</t>
        </is>
      </c>
      <c r="D885" t="inlineStr">
        <is>
          <t>How writers grow : a guide for middle school teachers / Cynthia Carbone Ward ; foreword by Sheridan Blau.</t>
        </is>
      </c>
      <c r="F885" t="inlineStr">
        <is>
          <t>No</t>
        </is>
      </c>
      <c r="G885" t="inlineStr">
        <is>
          <t>1</t>
        </is>
      </c>
      <c r="H885" t="inlineStr">
        <is>
          <t>No</t>
        </is>
      </c>
      <c r="I885" t="inlineStr">
        <is>
          <t>No</t>
        </is>
      </c>
      <c r="J885" t="inlineStr">
        <is>
          <t>0</t>
        </is>
      </c>
      <c r="K885" t="inlineStr">
        <is>
          <t>Carbone Ward, Cynthia.</t>
        </is>
      </c>
      <c r="L885" t="inlineStr">
        <is>
          <t>Portsmouth, NH : Heinemann, c2006.</t>
        </is>
      </c>
      <c r="M885" t="inlineStr">
        <is>
          <t>2006</t>
        </is>
      </c>
      <c r="O885" t="inlineStr">
        <is>
          <t>eng</t>
        </is>
      </c>
      <c r="P885" t="inlineStr">
        <is>
          <t>nhu</t>
        </is>
      </c>
      <c r="R885" t="inlineStr">
        <is>
          <t xml:space="preserve">LB </t>
        </is>
      </c>
      <c r="S885" t="n">
        <v>1</v>
      </c>
      <c r="T885" t="n">
        <v>1</v>
      </c>
      <c r="U885" t="inlineStr">
        <is>
          <t>2006-09-26</t>
        </is>
      </c>
      <c r="V885" t="inlineStr">
        <is>
          <t>2006-09-26</t>
        </is>
      </c>
      <c r="W885" t="inlineStr">
        <is>
          <t>2006-09-26</t>
        </is>
      </c>
      <c r="X885" t="inlineStr">
        <is>
          <t>2006-09-26</t>
        </is>
      </c>
      <c r="Y885" t="n">
        <v>182</v>
      </c>
      <c r="Z885" t="n">
        <v>163</v>
      </c>
      <c r="AA885" t="n">
        <v>167</v>
      </c>
      <c r="AB885" t="n">
        <v>3</v>
      </c>
      <c r="AC885" t="n">
        <v>3</v>
      </c>
      <c r="AD885" t="n">
        <v>6</v>
      </c>
      <c r="AE885" t="n">
        <v>6</v>
      </c>
      <c r="AF885" t="n">
        <v>1</v>
      </c>
      <c r="AG885" t="n">
        <v>1</v>
      </c>
      <c r="AH885" t="n">
        <v>1</v>
      </c>
      <c r="AI885" t="n">
        <v>1</v>
      </c>
      <c r="AJ885" t="n">
        <v>4</v>
      </c>
      <c r="AK885" t="n">
        <v>4</v>
      </c>
      <c r="AL885" t="n">
        <v>2</v>
      </c>
      <c r="AM885" t="n">
        <v>2</v>
      </c>
      <c r="AN885" t="n">
        <v>0</v>
      </c>
      <c r="AO885" t="n">
        <v>0</v>
      </c>
      <c r="AP885" t="inlineStr">
        <is>
          <t>No</t>
        </is>
      </c>
      <c r="AQ885" t="inlineStr">
        <is>
          <t>No</t>
        </is>
      </c>
      <c r="AS885">
        <f>HYPERLINK("https://creighton-primo.hosted.exlibrisgroup.com/primo-explore/search?tab=default_tab&amp;search_scope=EVERYTHING&amp;vid=01CRU&amp;lang=en_US&amp;offset=0&amp;query=any,contains,991004928129702656","Catalog Record")</f>
        <v/>
      </c>
      <c r="AT885">
        <f>HYPERLINK("http://www.worldcat.org/oclc/64230359","WorldCat Record")</f>
        <v/>
      </c>
      <c r="AU885" t="inlineStr">
        <is>
          <t>10149437655:eng</t>
        </is>
      </c>
      <c r="AV885" t="inlineStr">
        <is>
          <t>64230359</t>
        </is>
      </c>
      <c r="AW885" t="inlineStr">
        <is>
          <t>991004928129702656</t>
        </is>
      </c>
      <c r="AX885" t="inlineStr">
        <is>
          <t>991004928129702656</t>
        </is>
      </c>
      <c r="AY885" t="inlineStr">
        <is>
          <t>2260724970002656</t>
        </is>
      </c>
      <c r="AZ885" t="inlineStr">
        <is>
          <t>BOOK</t>
        </is>
      </c>
      <c r="BB885" t="inlineStr">
        <is>
          <t>9780325009759</t>
        </is>
      </c>
      <c r="BC885" t="inlineStr">
        <is>
          <t>32285005225783</t>
        </is>
      </c>
      <c r="BD885" t="inlineStr">
        <is>
          <t>893600373</t>
        </is>
      </c>
    </row>
    <row r="886">
      <c r="A886" t="inlineStr">
        <is>
          <t>No</t>
        </is>
      </c>
      <c r="B886" t="inlineStr">
        <is>
          <t>LB1631 .E47 2003</t>
        </is>
      </c>
      <c r="C886" t="inlineStr">
        <is>
          <t>0                      LB 1631000E  47          2003</t>
        </is>
      </c>
      <c r="D886" t="inlineStr">
        <is>
          <t>Looking to write : students writing through the visual arts / Mary Ehrenworth.</t>
        </is>
      </c>
      <c r="F886" t="inlineStr">
        <is>
          <t>No</t>
        </is>
      </c>
      <c r="G886" t="inlineStr">
        <is>
          <t>1</t>
        </is>
      </c>
      <c r="H886" t="inlineStr">
        <is>
          <t>No</t>
        </is>
      </c>
      <c r="I886" t="inlineStr">
        <is>
          <t>No</t>
        </is>
      </c>
      <c r="J886" t="inlineStr">
        <is>
          <t>0</t>
        </is>
      </c>
      <c r="K886" t="inlineStr">
        <is>
          <t>Ehrenworth, Mary.</t>
        </is>
      </c>
      <c r="L886" t="inlineStr">
        <is>
          <t>Portsmouth, NH : Heinemann, c2003.</t>
        </is>
      </c>
      <c r="M886" t="inlineStr">
        <is>
          <t>2003</t>
        </is>
      </c>
      <c r="O886" t="inlineStr">
        <is>
          <t>eng</t>
        </is>
      </c>
      <c r="P886" t="inlineStr">
        <is>
          <t>nhu</t>
        </is>
      </c>
      <c r="R886" t="inlineStr">
        <is>
          <t xml:space="preserve">LB </t>
        </is>
      </c>
      <c r="S886" t="n">
        <v>1</v>
      </c>
      <c r="T886" t="n">
        <v>1</v>
      </c>
      <c r="U886" t="inlineStr">
        <is>
          <t>2003-12-01</t>
        </is>
      </c>
      <c r="V886" t="inlineStr">
        <is>
          <t>2003-12-01</t>
        </is>
      </c>
      <c r="W886" t="inlineStr">
        <is>
          <t>2003-12-01</t>
        </is>
      </c>
      <c r="X886" t="inlineStr">
        <is>
          <t>2003-12-01</t>
        </is>
      </c>
      <c r="Y886" t="n">
        <v>267</v>
      </c>
      <c r="Z886" t="n">
        <v>235</v>
      </c>
      <c r="AA886" t="n">
        <v>235</v>
      </c>
      <c r="AB886" t="n">
        <v>4</v>
      </c>
      <c r="AC886" t="n">
        <v>4</v>
      </c>
      <c r="AD886" t="n">
        <v>9</v>
      </c>
      <c r="AE886" t="n">
        <v>9</v>
      </c>
      <c r="AF886" t="n">
        <v>1</v>
      </c>
      <c r="AG886" t="n">
        <v>1</v>
      </c>
      <c r="AH886" t="n">
        <v>3</v>
      </c>
      <c r="AI886" t="n">
        <v>3</v>
      </c>
      <c r="AJ886" t="n">
        <v>4</v>
      </c>
      <c r="AK886" t="n">
        <v>4</v>
      </c>
      <c r="AL886" t="n">
        <v>3</v>
      </c>
      <c r="AM886" t="n">
        <v>3</v>
      </c>
      <c r="AN886" t="n">
        <v>0</v>
      </c>
      <c r="AO886" t="n">
        <v>0</v>
      </c>
      <c r="AP886" t="inlineStr">
        <is>
          <t>No</t>
        </is>
      </c>
      <c r="AQ886" t="inlineStr">
        <is>
          <t>No</t>
        </is>
      </c>
      <c r="AS886">
        <f>HYPERLINK("https://creighton-primo.hosted.exlibrisgroup.com/primo-explore/search?tab=default_tab&amp;search_scope=EVERYTHING&amp;vid=01CRU&amp;lang=en_US&amp;offset=0&amp;query=any,contains,991004193579702656","Catalog Record")</f>
        <v/>
      </c>
      <c r="AT886">
        <f>HYPERLINK("http://www.worldcat.org/oclc/52127545","WorldCat Record")</f>
        <v/>
      </c>
      <c r="AU886" t="inlineStr">
        <is>
          <t>680165:eng</t>
        </is>
      </c>
      <c r="AV886" t="inlineStr">
        <is>
          <t>52127545</t>
        </is>
      </c>
      <c r="AW886" t="inlineStr">
        <is>
          <t>991004193579702656</t>
        </is>
      </c>
      <c r="AX886" t="inlineStr">
        <is>
          <t>991004193579702656</t>
        </is>
      </c>
      <c r="AY886" t="inlineStr">
        <is>
          <t>2262739550002656</t>
        </is>
      </c>
      <c r="AZ886" t="inlineStr">
        <is>
          <t>BOOK</t>
        </is>
      </c>
      <c r="BB886" t="inlineStr">
        <is>
          <t>9780325004631</t>
        </is>
      </c>
      <c r="BC886" t="inlineStr">
        <is>
          <t>32285004843008</t>
        </is>
      </c>
      <c r="BD886" t="inlineStr">
        <is>
          <t>893624460</t>
        </is>
      </c>
    </row>
    <row r="887">
      <c r="A887" t="inlineStr">
        <is>
          <t>No</t>
        </is>
      </c>
      <c r="B887" t="inlineStr">
        <is>
          <t>LB1631 .E68 2003</t>
        </is>
      </c>
      <c r="C887" t="inlineStr">
        <is>
          <t>0                      LB 1631000E  68          2003</t>
        </is>
      </c>
      <c r="D887" t="inlineStr">
        <is>
          <t>Applied literacy in the middle grades : introducing children to authentic inquiry / Lawrence G. Erickson.</t>
        </is>
      </c>
      <c r="F887" t="inlineStr">
        <is>
          <t>No</t>
        </is>
      </c>
      <c r="G887" t="inlineStr">
        <is>
          <t>1</t>
        </is>
      </c>
      <c r="H887" t="inlineStr">
        <is>
          <t>No</t>
        </is>
      </c>
      <c r="I887" t="inlineStr">
        <is>
          <t>No</t>
        </is>
      </c>
      <c r="J887" t="inlineStr">
        <is>
          <t>0</t>
        </is>
      </c>
      <c r="K887" t="inlineStr">
        <is>
          <t>Erickson, Lawrence G.</t>
        </is>
      </c>
      <c r="L887" t="inlineStr">
        <is>
          <t>Boston : Allyn and Bacon, c2003.</t>
        </is>
      </c>
      <c r="M887" t="inlineStr">
        <is>
          <t>2003</t>
        </is>
      </c>
      <c r="O887" t="inlineStr">
        <is>
          <t>eng</t>
        </is>
      </c>
      <c r="P887" t="inlineStr">
        <is>
          <t>mau</t>
        </is>
      </c>
      <c r="R887" t="inlineStr">
        <is>
          <t xml:space="preserve">LB </t>
        </is>
      </c>
      <c r="S887" t="n">
        <v>2</v>
      </c>
      <c r="T887" t="n">
        <v>2</v>
      </c>
      <c r="U887" t="inlineStr">
        <is>
          <t>2003-02-20</t>
        </is>
      </c>
      <c r="V887" t="inlineStr">
        <is>
          <t>2003-02-20</t>
        </is>
      </c>
      <c r="W887" t="inlineStr">
        <is>
          <t>2003-02-20</t>
        </is>
      </c>
      <c r="X887" t="inlineStr">
        <is>
          <t>2003-02-20</t>
        </is>
      </c>
      <c r="Y887" t="n">
        <v>227</v>
      </c>
      <c r="Z887" t="n">
        <v>198</v>
      </c>
      <c r="AA887" t="n">
        <v>199</v>
      </c>
      <c r="AB887" t="n">
        <v>4</v>
      </c>
      <c r="AC887" t="n">
        <v>4</v>
      </c>
      <c r="AD887" t="n">
        <v>13</v>
      </c>
      <c r="AE887" t="n">
        <v>13</v>
      </c>
      <c r="AF887" t="n">
        <v>5</v>
      </c>
      <c r="AG887" t="n">
        <v>5</v>
      </c>
      <c r="AH887" t="n">
        <v>2</v>
      </c>
      <c r="AI887" t="n">
        <v>2</v>
      </c>
      <c r="AJ887" t="n">
        <v>8</v>
      </c>
      <c r="AK887" t="n">
        <v>8</v>
      </c>
      <c r="AL887" t="n">
        <v>3</v>
      </c>
      <c r="AM887" t="n">
        <v>3</v>
      </c>
      <c r="AN887" t="n">
        <v>0</v>
      </c>
      <c r="AO887" t="n">
        <v>0</v>
      </c>
      <c r="AP887" t="inlineStr">
        <is>
          <t>No</t>
        </is>
      </c>
      <c r="AQ887" t="inlineStr">
        <is>
          <t>Yes</t>
        </is>
      </c>
      <c r="AR887">
        <f>HYPERLINK("http://catalog.hathitrust.org/Record/004305222","HathiTrust Record")</f>
        <v/>
      </c>
      <c r="AS887">
        <f>HYPERLINK("https://creighton-primo.hosted.exlibrisgroup.com/primo-explore/search?tab=default_tab&amp;search_scope=EVERYTHING&amp;vid=01CRU&amp;lang=en_US&amp;offset=0&amp;query=any,contains,991003999939702656","Catalog Record")</f>
        <v/>
      </c>
      <c r="AT887">
        <f>HYPERLINK("http://www.worldcat.org/oclc/50447792","WorldCat Record")</f>
        <v/>
      </c>
      <c r="AU887" t="inlineStr">
        <is>
          <t>892817:eng</t>
        </is>
      </c>
      <c r="AV887" t="inlineStr">
        <is>
          <t>50447792</t>
        </is>
      </c>
      <c r="AW887" t="inlineStr">
        <is>
          <t>991003999939702656</t>
        </is>
      </c>
      <c r="AX887" t="inlineStr">
        <is>
          <t>991003999939702656</t>
        </is>
      </c>
      <c r="AY887" t="inlineStr">
        <is>
          <t>2271396780002656</t>
        </is>
      </c>
      <c r="AZ887" t="inlineStr">
        <is>
          <t>BOOK</t>
        </is>
      </c>
      <c r="BB887" t="inlineStr">
        <is>
          <t>9780205361120</t>
        </is>
      </c>
      <c r="BC887" t="inlineStr">
        <is>
          <t>32285004680061</t>
        </is>
      </c>
      <c r="BD887" t="inlineStr">
        <is>
          <t>893794367</t>
        </is>
      </c>
    </row>
    <row r="888">
      <c r="A888" t="inlineStr">
        <is>
          <t>No</t>
        </is>
      </c>
      <c r="B888" t="inlineStr">
        <is>
          <t>LB1631 .F613 2009</t>
        </is>
      </c>
      <c r="C888" t="inlineStr">
        <is>
          <t>0                      LB 1631000F  613         2009</t>
        </is>
      </c>
      <c r="D888" t="inlineStr">
        <is>
          <t>Writing outside your comfort zone : helping students navigate unfamiliar genres / Cathy Fleischer, Sarah Andrew-Vaughan.</t>
        </is>
      </c>
      <c r="F888" t="inlineStr">
        <is>
          <t>No</t>
        </is>
      </c>
      <c r="G888" t="inlineStr">
        <is>
          <t>1</t>
        </is>
      </c>
      <c r="H888" t="inlineStr">
        <is>
          <t>No</t>
        </is>
      </c>
      <c r="I888" t="inlineStr">
        <is>
          <t>No</t>
        </is>
      </c>
      <c r="J888" t="inlineStr">
        <is>
          <t>0</t>
        </is>
      </c>
      <c r="K888" t="inlineStr">
        <is>
          <t>Fleischer, Cathy.</t>
        </is>
      </c>
      <c r="L888" t="inlineStr">
        <is>
          <t>Portsmouth, NH : Heinemann, c2009.</t>
        </is>
      </c>
      <c r="M888" t="inlineStr">
        <is>
          <t>2009</t>
        </is>
      </c>
      <c r="O888" t="inlineStr">
        <is>
          <t>eng</t>
        </is>
      </c>
      <c r="P888" t="inlineStr">
        <is>
          <t>nhu</t>
        </is>
      </c>
      <c r="R888" t="inlineStr">
        <is>
          <t xml:space="preserve">LB </t>
        </is>
      </c>
      <c r="S888" t="n">
        <v>2</v>
      </c>
      <c r="T888" t="n">
        <v>2</v>
      </c>
      <c r="U888" t="inlineStr">
        <is>
          <t>2009-03-09</t>
        </is>
      </c>
      <c r="V888" t="inlineStr">
        <is>
          <t>2009-03-09</t>
        </is>
      </c>
      <c r="W888" t="inlineStr">
        <is>
          <t>2009-03-09</t>
        </is>
      </c>
      <c r="X888" t="inlineStr">
        <is>
          <t>2009-03-09</t>
        </is>
      </c>
      <c r="Y888" t="n">
        <v>88</v>
      </c>
      <c r="Z888" t="n">
        <v>77</v>
      </c>
      <c r="AA888" t="n">
        <v>87</v>
      </c>
      <c r="AB888" t="n">
        <v>1</v>
      </c>
      <c r="AC888" t="n">
        <v>2</v>
      </c>
      <c r="AD888" t="n">
        <v>3</v>
      </c>
      <c r="AE888" t="n">
        <v>5</v>
      </c>
      <c r="AF888" t="n">
        <v>2</v>
      </c>
      <c r="AG888" t="n">
        <v>3</v>
      </c>
      <c r="AH888" t="n">
        <v>0</v>
      </c>
      <c r="AI888" t="n">
        <v>1</v>
      </c>
      <c r="AJ888" t="n">
        <v>2</v>
      </c>
      <c r="AK888" t="n">
        <v>2</v>
      </c>
      <c r="AL888" t="n">
        <v>0</v>
      </c>
      <c r="AM888" t="n">
        <v>1</v>
      </c>
      <c r="AN888" t="n">
        <v>0</v>
      </c>
      <c r="AO888" t="n">
        <v>0</v>
      </c>
      <c r="AP888" t="inlineStr">
        <is>
          <t>No</t>
        </is>
      </c>
      <c r="AQ888" t="inlineStr">
        <is>
          <t>No</t>
        </is>
      </c>
      <c r="AS888">
        <f>HYPERLINK("https://creighton-primo.hosted.exlibrisgroup.com/primo-explore/search?tab=default_tab&amp;search_scope=EVERYTHING&amp;vid=01CRU&amp;lang=en_US&amp;offset=0&amp;query=any,contains,991005301219702656","Catalog Record")</f>
        <v/>
      </c>
      <c r="AT888">
        <f>HYPERLINK("http://www.worldcat.org/oclc/244702000","WorldCat Record")</f>
        <v/>
      </c>
      <c r="AU888" t="inlineStr">
        <is>
          <t>200645250:eng</t>
        </is>
      </c>
      <c r="AV888" t="inlineStr">
        <is>
          <t>244702000</t>
        </is>
      </c>
      <c r="AW888" t="inlineStr">
        <is>
          <t>991005301219702656</t>
        </is>
      </c>
      <c r="AX888" t="inlineStr">
        <is>
          <t>991005301219702656</t>
        </is>
      </c>
      <c r="AY888" t="inlineStr">
        <is>
          <t>2270254440002656</t>
        </is>
      </c>
      <c r="AZ888" t="inlineStr">
        <is>
          <t>BOOK</t>
        </is>
      </c>
      <c r="BB888" t="inlineStr">
        <is>
          <t>9780325012476</t>
        </is>
      </c>
      <c r="BC888" t="inlineStr">
        <is>
          <t>32285005508451</t>
        </is>
      </c>
      <c r="BD888" t="inlineStr">
        <is>
          <t>893320410</t>
        </is>
      </c>
    </row>
    <row r="889">
      <c r="A889" t="inlineStr">
        <is>
          <t>No</t>
        </is>
      </c>
      <c r="B889" t="inlineStr">
        <is>
          <t>LB1631 .F693 2009</t>
        </is>
      </c>
      <c r="C889" t="inlineStr">
        <is>
          <t>0                      LB 1631000F  693         2009</t>
        </is>
      </c>
      <c r="D889" t="inlineStr">
        <is>
          <t>Catching up on conventions : grammar lessons for middle school writers / Chantal Francois and Elisa Zonana ; foreword by Mary Ehrenworth.</t>
        </is>
      </c>
      <c r="F889" t="inlineStr">
        <is>
          <t>No</t>
        </is>
      </c>
      <c r="G889" t="inlineStr">
        <is>
          <t>1</t>
        </is>
      </c>
      <c r="H889" t="inlineStr">
        <is>
          <t>No</t>
        </is>
      </c>
      <c r="I889" t="inlineStr">
        <is>
          <t>No</t>
        </is>
      </c>
      <c r="J889" t="inlineStr">
        <is>
          <t>0</t>
        </is>
      </c>
      <c r="K889" t="inlineStr">
        <is>
          <t>Francois, Chantal.</t>
        </is>
      </c>
      <c r="L889" t="inlineStr">
        <is>
          <t>Portsmouth, NH : Heinemann, c2009.</t>
        </is>
      </c>
      <c r="M889" t="inlineStr">
        <is>
          <t>2009</t>
        </is>
      </c>
      <c r="O889" t="inlineStr">
        <is>
          <t>eng</t>
        </is>
      </c>
      <c r="P889" t="inlineStr">
        <is>
          <t>nhu</t>
        </is>
      </c>
      <c r="R889" t="inlineStr">
        <is>
          <t xml:space="preserve">LB </t>
        </is>
      </c>
      <c r="S889" t="n">
        <v>2</v>
      </c>
      <c r="T889" t="n">
        <v>2</v>
      </c>
      <c r="U889" t="inlineStr">
        <is>
          <t>2009-07-24</t>
        </is>
      </c>
      <c r="V889" t="inlineStr">
        <is>
          <t>2009-07-24</t>
        </is>
      </c>
      <c r="W889" t="inlineStr">
        <is>
          <t>2009-04-06</t>
        </is>
      </c>
      <c r="X889" t="inlineStr">
        <is>
          <t>2009-04-06</t>
        </is>
      </c>
      <c r="Y889" t="n">
        <v>103</v>
      </c>
      <c r="Z889" t="n">
        <v>94</v>
      </c>
      <c r="AA889" t="n">
        <v>102</v>
      </c>
      <c r="AB889" t="n">
        <v>1</v>
      </c>
      <c r="AC889" t="n">
        <v>2</v>
      </c>
      <c r="AD889" t="n">
        <v>6</v>
      </c>
      <c r="AE889" t="n">
        <v>8</v>
      </c>
      <c r="AF889" t="n">
        <v>3</v>
      </c>
      <c r="AG889" t="n">
        <v>4</v>
      </c>
      <c r="AH889" t="n">
        <v>0</v>
      </c>
      <c r="AI889" t="n">
        <v>1</v>
      </c>
      <c r="AJ889" t="n">
        <v>5</v>
      </c>
      <c r="AK889" t="n">
        <v>5</v>
      </c>
      <c r="AL889" t="n">
        <v>0</v>
      </c>
      <c r="AM889" t="n">
        <v>1</v>
      </c>
      <c r="AN889" t="n">
        <v>0</v>
      </c>
      <c r="AO889" t="n">
        <v>0</v>
      </c>
      <c r="AP889" t="inlineStr">
        <is>
          <t>No</t>
        </is>
      </c>
      <c r="AQ889" t="inlineStr">
        <is>
          <t>No</t>
        </is>
      </c>
      <c r="AS889">
        <f>HYPERLINK("https://creighton-primo.hosted.exlibrisgroup.com/primo-explore/search?tab=default_tab&amp;search_scope=EVERYTHING&amp;vid=01CRU&amp;lang=en_US&amp;offset=0&amp;query=any,contains,991005307869702656","Catalog Record")</f>
        <v/>
      </c>
      <c r="AT889">
        <f>HYPERLINK("http://www.worldcat.org/oclc/261177630","WorldCat Record")</f>
        <v/>
      </c>
      <c r="AU889" t="inlineStr">
        <is>
          <t>153272328:eng</t>
        </is>
      </c>
      <c r="AV889" t="inlineStr">
        <is>
          <t>261177630</t>
        </is>
      </c>
      <c r="AW889" t="inlineStr">
        <is>
          <t>991005307869702656</t>
        </is>
      </c>
      <c r="AX889" t="inlineStr">
        <is>
          <t>991005307869702656</t>
        </is>
      </c>
      <c r="AY889" t="inlineStr">
        <is>
          <t>2266763970002656</t>
        </is>
      </c>
      <c r="AZ889" t="inlineStr">
        <is>
          <t>BOOK</t>
        </is>
      </c>
      <c r="BB889" t="inlineStr">
        <is>
          <t>9780325012827</t>
        </is>
      </c>
      <c r="BC889" t="inlineStr">
        <is>
          <t>32285005513766</t>
        </is>
      </c>
      <c r="BD889" t="inlineStr">
        <is>
          <t>893332757</t>
        </is>
      </c>
    </row>
    <row r="890">
      <c r="A890" t="inlineStr">
        <is>
          <t>No</t>
        </is>
      </c>
      <c r="B890" t="inlineStr">
        <is>
          <t>LB1631 .G245 2001</t>
        </is>
      </c>
      <c r="C890" t="inlineStr">
        <is>
          <t>0                      LB 1631000G  245         2001</t>
        </is>
      </c>
      <c r="D890" t="inlineStr">
        <is>
          <t>Reinventing English : teaching in the contact zone / John Gaughan.</t>
        </is>
      </c>
      <c r="F890" t="inlineStr">
        <is>
          <t>No</t>
        </is>
      </c>
      <c r="G890" t="inlineStr">
        <is>
          <t>1</t>
        </is>
      </c>
      <c r="H890" t="inlineStr">
        <is>
          <t>No</t>
        </is>
      </c>
      <c r="I890" t="inlineStr">
        <is>
          <t>No</t>
        </is>
      </c>
      <c r="J890" t="inlineStr">
        <is>
          <t>0</t>
        </is>
      </c>
      <c r="K890" t="inlineStr">
        <is>
          <t>Gaughan, John.</t>
        </is>
      </c>
      <c r="L890" t="inlineStr">
        <is>
          <t>Portsmouth, NH : Boynton/Cook Publishers-Heinemann, c2001.</t>
        </is>
      </c>
      <c r="M890" t="inlineStr">
        <is>
          <t>2001</t>
        </is>
      </c>
      <c r="O890" t="inlineStr">
        <is>
          <t>eng</t>
        </is>
      </c>
      <c r="P890" t="inlineStr">
        <is>
          <t>nhu</t>
        </is>
      </c>
      <c r="R890" t="inlineStr">
        <is>
          <t xml:space="preserve">LB </t>
        </is>
      </c>
      <c r="S890" t="n">
        <v>3</v>
      </c>
      <c r="T890" t="n">
        <v>3</v>
      </c>
      <c r="U890" t="inlineStr">
        <is>
          <t>2007-04-16</t>
        </is>
      </c>
      <c r="V890" t="inlineStr">
        <is>
          <t>2007-04-16</t>
        </is>
      </c>
      <c r="W890" t="inlineStr">
        <is>
          <t>2001-07-10</t>
        </is>
      </c>
      <c r="X890" t="inlineStr">
        <is>
          <t>2001-07-10</t>
        </is>
      </c>
      <c r="Y890" t="n">
        <v>147</v>
      </c>
      <c r="Z890" t="n">
        <v>132</v>
      </c>
      <c r="AA890" t="n">
        <v>133</v>
      </c>
      <c r="AB890" t="n">
        <v>2</v>
      </c>
      <c r="AC890" t="n">
        <v>2</v>
      </c>
      <c r="AD890" t="n">
        <v>9</v>
      </c>
      <c r="AE890" t="n">
        <v>9</v>
      </c>
      <c r="AF890" t="n">
        <v>4</v>
      </c>
      <c r="AG890" t="n">
        <v>4</v>
      </c>
      <c r="AH890" t="n">
        <v>1</v>
      </c>
      <c r="AI890" t="n">
        <v>1</v>
      </c>
      <c r="AJ890" t="n">
        <v>7</v>
      </c>
      <c r="AK890" t="n">
        <v>7</v>
      </c>
      <c r="AL890" t="n">
        <v>1</v>
      </c>
      <c r="AM890" t="n">
        <v>1</v>
      </c>
      <c r="AN890" t="n">
        <v>0</v>
      </c>
      <c r="AO890" t="n">
        <v>0</v>
      </c>
      <c r="AP890" t="inlineStr">
        <is>
          <t>No</t>
        </is>
      </c>
      <c r="AQ890" t="inlineStr">
        <is>
          <t>No</t>
        </is>
      </c>
      <c r="AS890">
        <f>HYPERLINK("https://creighton-primo.hosted.exlibrisgroup.com/primo-explore/search?tab=default_tab&amp;search_scope=EVERYTHING&amp;vid=01CRU&amp;lang=en_US&amp;offset=0&amp;query=any,contains,991003562929702656","Catalog Record")</f>
        <v/>
      </c>
      <c r="AT890">
        <f>HYPERLINK("http://www.worldcat.org/oclc/45166721","WorldCat Record")</f>
        <v/>
      </c>
      <c r="AU890" t="inlineStr">
        <is>
          <t>477939296:eng</t>
        </is>
      </c>
      <c r="AV890" t="inlineStr">
        <is>
          <t>45166721</t>
        </is>
      </c>
      <c r="AW890" t="inlineStr">
        <is>
          <t>991003562929702656</t>
        </is>
      </c>
      <c r="AX890" t="inlineStr">
        <is>
          <t>991003562929702656</t>
        </is>
      </c>
      <c r="AY890" t="inlineStr">
        <is>
          <t>2271904010002656</t>
        </is>
      </c>
      <c r="AZ890" t="inlineStr">
        <is>
          <t>BOOK</t>
        </is>
      </c>
      <c r="BB890" t="inlineStr">
        <is>
          <t>9780867095012</t>
        </is>
      </c>
      <c r="BC890" t="inlineStr">
        <is>
          <t>32285004331244</t>
        </is>
      </c>
      <c r="BD890" t="inlineStr">
        <is>
          <t>893805917</t>
        </is>
      </c>
    </row>
    <row r="891">
      <c r="A891" t="inlineStr">
        <is>
          <t>No</t>
        </is>
      </c>
      <c r="B891" t="inlineStr">
        <is>
          <t>LB1631 .G468 2007</t>
        </is>
      </c>
      <c r="C891" t="inlineStr">
        <is>
          <t>0                      LB 1631000G  468         2007</t>
        </is>
      </c>
      <c r="D891" t="inlineStr">
        <is>
          <t>"Is it done yet?" : teaching adolescents the art of revision / Barry Gilmore.</t>
        </is>
      </c>
      <c r="F891" t="inlineStr">
        <is>
          <t>No</t>
        </is>
      </c>
      <c r="G891" t="inlineStr">
        <is>
          <t>1</t>
        </is>
      </c>
      <c r="H891" t="inlineStr">
        <is>
          <t>No</t>
        </is>
      </c>
      <c r="I891" t="inlineStr">
        <is>
          <t>No</t>
        </is>
      </c>
      <c r="J891" t="inlineStr">
        <is>
          <t>0</t>
        </is>
      </c>
      <c r="K891" t="inlineStr">
        <is>
          <t>Gilmore, Barry.</t>
        </is>
      </c>
      <c r="L891" t="inlineStr">
        <is>
          <t>Portsmouth, NH : Heinemann, c2007.</t>
        </is>
      </c>
      <c r="M891" t="inlineStr">
        <is>
          <t>2007</t>
        </is>
      </c>
      <c r="O891" t="inlineStr">
        <is>
          <t>eng</t>
        </is>
      </c>
      <c r="P891" t="inlineStr">
        <is>
          <t>nhu</t>
        </is>
      </c>
      <c r="R891" t="inlineStr">
        <is>
          <t xml:space="preserve">LB </t>
        </is>
      </c>
      <c r="S891" t="n">
        <v>2</v>
      </c>
      <c r="T891" t="n">
        <v>2</v>
      </c>
      <c r="U891" t="inlineStr">
        <is>
          <t>2009-11-03</t>
        </is>
      </c>
      <c r="V891" t="inlineStr">
        <is>
          <t>2009-11-03</t>
        </is>
      </c>
      <c r="W891" t="inlineStr">
        <is>
          <t>2007-04-23</t>
        </is>
      </c>
      <c r="X891" t="inlineStr">
        <is>
          <t>2007-04-23</t>
        </is>
      </c>
      <c r="Y891" t="n">
        <v>215</v>
      </c>
      <c r="Z891" t="n">
        <v>194</v>
      </c>
      <c r="AA891" t="n">
        <v>195</v>
      </c>
      <c r="AB891" t="n">
        <v>3</v>
      </c>
      <c r="AC891" t="n">
        <v>3</v>
      </c>
      <c r="AD891" t="n">
        <v>8</v>
      </c>
      <c r="AE891" t="n">
        <v>8</v>
      </c>
      <c r="AF891" t="n">
        <v>2</v>
      </c>
      <c r="AG891" t="n">
        <v>2</v>
      </c>
      <c r="AH891" t="n">
        <v>1</v>
      </c>
      <c r="AI891" t="n">
        <v>1</v>
      </c>
      <c r="AJ891" t="n">
        <v>4</v>
      </c>
      <c r="AK891" t="n">
        <v>4</v>
      </c>
      <c r="AL891" t="n">
        <v>2</v>
      </c>
      <c r="AM891" t="n">
        <v>2</v>
      </c>
      <c r="AN891" t="n">
        <v>0</v>
      </c>
      <c r="AO891" t="n">
        <v>0</v>
      </c>
      <c r="AP891" t="inlineStr">
        <is>
          <t>No</t>
        </is>
      </c>
      <c r="AQ891" t="inlineStr">
        <is>
          <t>Yes</t>
        </is>
      </c>
      <c r="AR891">
        <f>HYPERLINK("http://catalog.hathitrust.org/Record/008326986","HathiTrust Record")</f>
        <v/>
      </c>
      <c r="AS891">
        <f>HYPERLINK("https://creighton-primo.hosted.exlibrisgroup.com/primo-explore/search?tab=default_tab&amp;search_scope=EVERYTHING&amp;vid=01CRU&amp;lang=en_US&amp;offset=0&amp;query=any,contains,991005073649702656","Catalog Record")</f>
        <v/>
      </c>
      <c r="AT891">
        <f>HYPERLINK("http://www.worldcat.org/oclc/76794735","WorldCat Record")</f>
        <v/>
      </c>
      <c r="AU891" t="inlineStr">
        <is>
          <t>62571862:eng</t>
        </is>
      </c>
      <c r="AV891" t="inlineStr">
        <is>
          <t>76794735</t>
        </is>
      </c>
      <c r="AW891" t="inlineStr">
        <is>
          <t>991005073649702656</t>
        </is>
      </c>
      <c r="AX891" t="inlineStr">
        <is>
          <t>991005073649702656</t>
        </is>
      </c>
      <c r="AY891" t="inlineStr">
        <is>
          <t>2257839630002656</t>
        </is>
      </c>
      <c r="AZ891" t="inlineStr">
        <is>
          <t>BOOK</t>
        </is>
      </c>
      <c r="BB891" t="inlineStr">
        <is>
          <t>9780325010960</t>
        </is>
      </c>
      <c r="BC891" t="inlineStr">
        <is>
          <t>32285005289110</t>
        </is>
      </c>
      <c r="BD891" t="inlineStr">
        <is>
          <t>893338459</t>
        </is>
      </c>
    </row>
    <row r="892">
      <c r="A892" t="inlineStr">
        <is>
          <t>No</t>
        </is>
      </c>
      <c r="B892" t="inlineStr">
        <is>
          <t>LB1631 .G47 2006</t>
        </is>
      </c>
      <c r="C892" t="inlineStr">
        <is>
          <t>0                      LB 1631000G  47          2006</t>
        </is>
      </c>
      <c r="D892" t="inlineStr">
        <is>
          <t>Speaking volumes : how to get students discussing books, and much more / Barry Gilmore.</t>
        </is>
      </c>
      <c r="F892" t="inlineStr">
        <is>
          <t>No</t>
        </is>
      </c>
      <c r="G892" t="inlineStr">
        <is>
          <t>1</t>
        </is>
      </c>
      <c r="H892" t="inlineStr">
        <is>
          <t>No</t>
        </is>
      </c>
      <c r="I892" t="inlineStr">
        <is>
          <t>No</t>
        </is>
      </c>
      <c r="J892" t="inlineStr">
        <is>
          <t>0</t>
        </is>
      </c>
      <c r="K892" t="inlineStr">
        <is>
          <t>Gilmore, Barry.</t>
        </is>
      </c>
      <c r="L892" t="inlineStr">
        <is>
          <t>Portsmouth, NH : Heinemann, c2006.</t>
        </is>
      </c>
      <c r="M892" t="inlineStr">
        <is>
          <t>2006</t>
        </is>
      </c>
      <c r="O892" t="inlineStr">
        <is>
          <t>eng</t>
        </is>
      </c>
      <c r="P892" t="inlineStr">
        <is>
          <t>nhu</t>
        </is>
      </c>
      <c r="R892" t="inlineStr">
        <is>
          <t xml:space="preserve">LB </t>
        </is>
      </c>
      <c r="S892" t="n">
        <v>3</v>
      </c>
      <c r="T892" t="n">
        <v>3</v>
      </c>
      <c r="U892" t="inlineStr">
        <is>
          <t>2009-11-20</t>
        </is>
      </c>
      <c r="V892" t="inlineStr">
        <is>
          <t>2009-11-20</t>
        </is>
      </c>
      <c r="W892" t="inlineStr">
        <is>
          <t>2006-03-16</t>
        </is>
      </c>
      <c r="X892" t="inlineStr">
        <is>
          <t>2006-03-16</t>
        </is>
      </c>
      <c r="Y892" t="n">
        <v>241</v>
      </c>
      <c r="Z892" t="n">
        <v>213</v>
      </c>
      <c r="AA892" t="n">
        <v>218</v>
      </c>
      <c r="AB892" t="n">
        <v>1</v>
      </c>
      <c r="AC892" t="n">
        <v>1</v>
      </c>
      <c r="AD892" t="n">
        <v>7</v>
      </c>
      <c r="AE892" t="n">
        <v>7</v>
      </c>
      <c r="AF892" t="n">
        <v>2</v>
      </c>
      <c r="AG892" t="n">
        <v>2</v>
      </c>
      <c r="AH892" t="n">
        <v>3</v>
      </c>
      <c r="AI892" t="n">
        <v>3</v>
      </c>
      <c r="AJ892" t="n">
        <v>5</v>
      </c>
      <c r="AK892" t="n">
        <v>5</v>
      </c>
      <c r="AL892" t="n">
        <v>0</v>
      </c>
      <c r="AM892" t="n">
        <v>0</v>
      </c>
      <c r="AN892" t="n">
        <v>0</v>
      </c>
      <c r="AO892" t="n">
        <v>0</v>
      </c>
      <c r="AP892" t="inlineStr">
        <is>
          <t>No</t>
        </is>
      </c>
      <c r="AQ892" t="inlineStr">
        <is>
          <t>No</t>
        </is>
      </c>
      <c r="AS892">
        <f>HYPERLINK("https://creighton-primo.hosted.exlibrisgroup.com/primo-explore/search?tab=default_tab&amp;search_scope=EVERYTHING&amp;vid=01CRU&amp;lang=en_US&amp;offset=0&amp;query=any,contains,991004765259702656","Catalog Record")</f>
        <v/>
      </c>
      <c r="AT892">
        <f>HYPERLINK("http://www.worldcat.org/oclc/62089807","WorldCat Record")</f>
        <v/>
      </c>
      <c r="AU892" t="inlineStr">
        <is>
          <t>46513800:eng</t>
        </is>
      </c>
      <c r="AV892" t="inlineStr">
        <is>
          <t>62089807</t>
        </is>
      </c>
      <c r="AW892" t="inlineStr">
        <is>
          <t>991004765259702656</t>
        </is>
      </c>
      <c r="AX892" t="inlineStr">
        <is>
          <t>991004765259702656</t>
        </is>
      </c>
      <c r="AY892" t="inlineStr">
        <is>
          <t>2271088720002656</t>
        </is>
      </c>
      <c r="AZ892" t="inlineStr">
        <is>
          <t>BOOK</t>
        </is>
      </c>
      <c r="BB892" t="inlineStr">
        <is>
          <t>9780325009155</t>
        </is>
      </c>
      <c r="BC892" t="inlineStr">
        <is>
          <t>32285005166524</t>
        </is>
      </c>
      <c r="BD892" t="inlineStr">
        <is>
          <t>893795255</t>
        </is>
      </c>
    </row>
    <row r="893">
      <c r="A893" t="inlineStr">
        <is>
          <t>No</t>
        </is>
      </c>
      <c r="B893" t="inlineStr">
        <is>
          <t>LB1631 .H294 2004</t>
        </is>
      </c>
      <c r="C893" t="inlineStr">
        <is>
          <t>0                      LB 1631000H  294         2004</t>
        </is>
      </c>
      <c r="D893" t="inlineStr">
        <is>
          <t>Get it write! : creating lifelong writers, from expository to narrative / Kendall Haven.</t>
        </is>
      </c>
      <c r="F893" t="inlineStr">
        <is>
          <t>No</t>
        </is>
      </c>
      <c r="G893" t="inlineStr">
        <is>
          <t>1</t>
        </is>
      </c>
      <c r="H893" t="inlineStr">
        <is>
          <t>No</t>
        </is>
      </c>
      <c r="I893" t="inlineStr">
        <is>
          <t>No</t>
        </is>
      </c>
      <c r="J893" t="inlineStr">
        <is>
          <t>0</t>
        </is>
      </c>
      <c r="K893" t="inlineStr">
        <is>
          <t>Haven, Kendall F.</t>
        </is>
      </c>
      <c r="L893" t="inlineStr">
        <is>
          <t>Portsmouth, NH : Teacher Ideas Press, c2004.</t>
        </is>
      </c>
      <c r="M893" t="inlineStr">
        <is>
          <t>2004</t>
        </is>
      </c>
      <c r="O893" t="inlineStr">
        <is>
          <t>eng</t>
        </is>
      </c>
      <c r="P893" t="inlineStr">
        <is>
          <t>nhu</t>
        </is>
      </c>
      <c r="R893" t="inlineStr">
        <is>
          <t xml:space="preserve">LB </t>
        </is>
      </c>
      <c r="S893" t="n">
        <v>1</v>
      </c>
      <c r="T893" t="n">
        <v>1</v>
      </c>
      <c r="U893" t="inlineStr">
        <is>
          <t>2004-12-09</t>
        </is>
      </c>
      <c r="V893" t="inlineStr">
        <is>
          <t>2004-12-09</t>
        </is>
      </c>
      <c r="W893" t="inlineStr">
        <is>
          <t>2004-12-09</t>
        </is>
      </c>
      <c r="X893" t="inlineStr">
        <is>
          <t>2004-12-09</t>
        </is>
      </c>
      <c r="Y893" t="n">
        <v>131</v>
      </c>
      <c r="Z893" t="n">
        <v>120</v>
      </c>
      <c r="AA893" t="n">
        <v>608</v>
      </c>
      <c r="AB893" t="n">
        <v>3</v>
      </c>
      <c r="AC893" t="n">
        <v>5</v>
      </c>
      <c r="AD893" t="n">
        <v>5</v>
      </c>
      <c r="AE893" t="n">
        <v>12</v>
      </c>
      <c r="AF893" t="n">
        <v>0</v>
      </c>
      <c r="AG893" t="n">
        <v>4</v>
      </c>
      <c r="AH893" t="n">
        <v>2</v>
      </c>
      <c r="AI893" t="n">
        <v>3</v>
      </c>
      <c r="AJ893" t="n">
        <v>2</v>
      </c>
      <c r="AK893" t="n">
        <v>4</v>
      </c>
      <c r="AL893" t="n">
        <v>2</v>
      </c>
      <c r="AM893" t="n">
        <v>4</v>
      </c>
      <c r="AN893" t="n">
        <v>0</v>
      </c>
      <c r="AO893" t="n">
        <v>0</v>
      </c>
      <c r="AP893" t="inlineStr">
        <is>
          <t>No</t>
        </is>
      </c>
      <c r="AQ893" t="inlineStr">
        <is>
          <t>No</t>
        </is>
      </c>
      <c r="AS893">
        <f>HYPERLINK("https://creighton-primo.hosted.exlibrisgroup.com/primo-explore/search?tab=default_tab&amp;search_scope=EVERYTHING&amp;vid=01CRU&amp;lang=en_US&amp;offset=0&amp;query=any,contains,991004429779702656","Catalog Record")</f>
        <v/>
      </c>
      <c r="AT893">
        <f>HYPERLINK("http://www.worldcat.org/oclc/56699445","WorldCat Record")</f>
        <v/>
      </c>
      <c r="AU893" t="inlineStr">
        <is>
          <t>797249370:eng</t>
        </is>
      </c>
      <c r="AV893" t="inlineStr">
        <is>
          <t>56699445</t>
        </is>
      </c>
      <c r="AW893" t="inlineStr">
        <is>
          <t>991004429779702656</t>
        </is>
      </c>
      <c r="AX893" t="inlineStr">
        <is>
          <t>991004429779702656</t>
        </is>
      </c>
      <c r="AY893" t="inlineStr">
        <is>
          <t>2271790630002656</t>
        </is>
      </c>
      <c r="AZ893" t="inlineStr">
        <is>
          <t>BOOK</t>
        </is>
      </c>
      <c r="BB893" t="inlineStr">
        <is>
          <t>9781594690013</t>
        </is>
      </c>
      <c r="BC893" t="inlineStr">
        <is>
          <t>32285004956461</t>
        </is>
      </c>
      <c r="BD893" t="inlineStr">
        <is>
          <t>893687720</t>
        </is>
      </c>
    </row>
    <row r="894">
      <c r="A894" t="inlineStr">
        <is>
          <t>No</t>
        </is>
      </c>
      <c r="B894" t="inlineStr">
        <is>
          <t>LB1631 .H49 2007</t>
        </is>
      </c>
      <c r="C894" t="inlineStr">
        <is>
          <t>0                      LB 1631000H  49          2007</t>
        </is>
      </c>
      <c r="D894" t="inlineStr">
        <is>
          <t>Literacy projects for student-centered classrooms : tips and lessons to engage students / Karrell Hickman.</t>
        </is>
      </c>
      <c r="F894" t="inlineStr">
        <is>
          <t>No</t>
        </is>
      </c>
      <c r="G894" t="inlineStr">
        <is>
          <t>1</t>
        </is>
      </c>
      <c r="H894" t="inlineStr">
        <is>
          <t>No</t>
        </is>
      </c>
      <c r="I894" t="inlineStr">
        <is>
          <t>No</t>
        </is>
      </c>
      <c r="J894" t="inlineStr">
        <is>
          <t>0</t>
        </is>
      </c>
      <c r="K894" t="inlineStr">
        <is>
          <t>Hickman, Karrell.</t>
        </is>
      </c>
      <c r="L894" t="inlineStr">
        <is>
          <t>Thousand Oaks, CA : Corwin Press, c2007.</t>
        </is>
      </c>
      <c r="M894" t="inlineStr">
        <is>
          <t>2007</t>
        </is>
      </c>
      <c r="O894" t="inlineStr">
        <is>
          <t>eng</t>
        </is>
      </c>
      <c r="P894" t="inlineStr">
        <is>
          <t>cau</t>
        </is>
      </c>
      <c r="R894" t="inlineStr">
        <is>
          <t xml:space="preserve">LB </t>
        </is>
      </c>
      <c r="S894" t="n">
        <v>1</v>
      </c>
      <c r="T894" t="n">
        <v>1</v>
      </c>
      <c r="U894" t="inlineStr">
        <is>
          <t>2007-06-11</t>
        </is>
      </c>
      <c r="V894" t="inlineStr">
        <is>
          <t>2007-06-11</t>
        </is>
      </c>
      <c r="W894" t="inlineStr">
        <is>
          <t>2007-06-11</t>
        </is>
      </c>
      <c r="X894" t="inlineStr">
        <is>
          <t>2007-06-11</t>
        </is>
      </c>
      <c r="Y894" t="n">
        <v>188</v>
      </c>
      <c r="Z894" t="n">
        <v>142</v>
      </c>
      <c r="AA894" t="n">
        <v>159</v>
      </c>
      <c r="AB894" t="n">
        <v>3</v>
      </c>
      <c r="AC894" t="n">
        <v>3</v>
      </c>
      <c r="AD894" t="n">
        <v>10</v>
      </c>
      <c r="AE894" t="n">
        <v>11</v>
      </c>
      <c r="AF894" t="n">
        <v>3</v>
      </c>
      <c r="AG894" t="n">
        <v>4</v>
      </c>
      <c r="AH894" t="n">
        <v>1</v>
      </c>
      <c r="AI894" t="n">
        <v>2</v>
      </c>
      <c r="AJ894" t="n">
        <v>8</v>
      </c>
      <c r="AK894" t="n">
        <v>8</v>
      </c>
      <c r="AL894" t="n">
        <v>2</v>
      </c>
      <c r="AM894" t="n">
        <v>2</v>
      </c>
      <c r="AN894" t="n">
        <v>0</v>
      </c>
      <c r="AO894" t="n">
        <v>0</v>
      </c>
      <c r="AP894" t="inlineStr">
        <is>
          <t>No</t>
        </is>
      </c>
      <c r="AQ894" t="inlineStr">
        <is>
          <t>Yes</t>
        </is>
      </c>
      <c r="AR894">
        <f>HYPERLINK("http://catalog.hathitrust.org/Record/102053240","HathiTrust Record")</f>
        <v/>
      </c>
      <c r="AS894">
        <f>HYPERLINK("https://creighton-primo.hosted.exlibrisgroup.com/primo-explore/search?tab=default_tab&amp;search_scope=EVERYTHING&amp;vid=01CRU&amp;lang=en_US&amp;offset=0&amp;query=any,contains,991005089879702656","Catalog Record")</f>
        <v/>
      </c>
      <c r="AT894">
        <f>HYPERLINK("http://www.worldcat.org/oclc/77270718","WorldCat Record")</f>
        <v/>
      </c>
      <c r="AU894" t="inlineStr">
        <is>
          <t>2585168774:eng</t>
        </is>
      </c>
      <c r="AV894" t="inlineStr">
        <is>
          <t>77270718</t>
        </is>
      </c>
      <c r="AW894" t="inlineStr">
        <is>
          <t>991005089879702656</t>
        </is>
      </c>
      <c r="AX894" t="inlineStr">
        <is>
          <t>991005089879702656</t>
        </is>
      </c>
      <c r="AY894" t="inlineStr">
        <is>
          <t>2262556390002656</t>
        </is>
      </c>
      <c r="AZ894" t="inlineStr">
        <is>
          <t>BOOK</t>
        </is>
      </c>
      <c r="BB894" t="inlineStr">
        <is>
          <t>9781412924504</t>
        </is>
      </c>
      <c r="BC894" t="inlineStr">
        <is>
          <t>32285005316178</t>
        </is>
      </c>
      <c r="BD894" t="inlineStr">
        <is>
          <t>893782998</t>
        </is>
      </c>
    </row>
    <row r="895">
      <c r="A895" t="inlineStr">
        <is>
          <t>No</t>
        </is>
      </c>
      <c r="B895" t="inlineStr">
        <is>
          <t>LB1631 .H523 2007</t>
        </is>
      </c>
      <c r="C895" t="inlineStr">
        <is>
          <t>0                      LB 1631000H  523         2007</t>
        </is>
      </c>
      <c r="D895" t="inlineStr">
        <is>
          <t>Narrative writing : learning a new model for teaching / George Hillocks, Jr.</t>
        </is>
      </c>
      <c r="F895" t="inlineStr">
        <is>
          <t>No</t>
        </is>
      </c>
      <c r="G895" t="inlineStr">
        <is>
          <t>1</t>
        </is>
      </c>
      <c r="H895" t="inlineStr">
        <is>
          <t>No</t>
        </is>
      </c>
      <c r="I895" t="inlineStr">
        <is>
          <t>No</t>
        </is>
      </c>
      <c r="J895" t="inlineStr">
        <is>
          <t>0</t>
        </is>
      </c>
      <c r="K895" t="inlineStr">
        <is>
          <t>Hillocks, George, Jr., 1934-</t>
        </is>
      </c>
      <c r="L895" t="inlineStr">
        <is>
          <t>Portsmouth, NH : Heinemann, c2007.</t>
        </is>
      </c>
      <c r="M895" t="inlineStr">
        <is>
          <t>2007</t>
        </is>
      </c>
      <c r="O895" t="inlineStr">
        <is>
          <t>eng</t>
        </is>
      </c>
      <c r="P895" t="inlineStr">
        <is>
          <t>nhu</t>
        </is>
      </c>
      <c r="R895" t="inlineStr">
        <is>
          <t xml:space="preserve">LB </t>
        </is>
      </c>
      <c r="S895" t="n">
        <v>1</v>
      </c>
      <c r="T895" t="n">
        <v>1</v>
      </c>
      <c r="U895" t="inlineStr">
        <is>
          <t>2009-10-26</t>
        </is>
      </c>
      <c r="V895" t="inlineStr">
        <is>
          <t>2009-10-26</t>
        </is>
      </c>
      <c r="W895" t="inlineStr">
        <is>
          <t>2007-01-10</t>
        </is>
      </c>
      <c r="X895" t="inlineStr">
        <is>
          <t>2007-01-10</t>
        </is>
      </c>
      <c r="Y895" t="n">
        <v>194</v>
      </c>
      <c r="Z895" t="n">
        <v>169</v>
      </c>
      <c r="AA895" t="n">
        <v>174</v>
      </c>
      <c r="AB895" t="n">
        <v>3</v>
      </c>
      <c r="AC895" t="n">
        <v>3</v>
      </c>
      <c r="AD895" t="n">
        <v>9</v>
      </c>
      <c r="AE895" t="n">
        <v>9</v>
      </c>
      <c r="AF895" t="n">
        <v>2</v>
      </c>
      <c r="AG895" t="n">
        <v>2</v>
      </c>
      <c r="AH895" t="n">
        <v>2</v>
      </c>
      <c r="AI895" t="n">
        <v>2</v>
      </c>
      <c r="AJ895" t="n">
        <v>5</v>
      </c>
      <c r="AK895" t="n">
        <v>5</v>
      </c>
      <c r="AL895" t="n">
        <v>2</v>
      </c>
      <c r="AM895" t="n">
        <v>2</v>
      </c>
      <c r="AN895" t="n">
        <v>0</v>
      </c>
      <c r="AO895" t="n">
        <v>0</v>
      </c>
      <c r="AP895" t="inlineStr">
        <is>
          <t>No</t>
        </is>
      </c>
      <c r="AQ895" t="inlineStr">
        <is>
          <t>No</t>
        </is>
      </c>
      <c r="AS895">
        <f>HYPERLINK("https://creighton-primo.hosted.exlibrisgroup.com/primo-explore/search?tab=default_tab&amp;search_scope=EVERYTHING&amp;vid=01CRU&amp;lang=en_US&amp;offset=0&amp;query=any,contains,991005003659702656","Catalog Record")</f>
        <v/>
      </c>
      <c r="AT895">
        <f>HYPERLINK("http://www.worldcat.org/oclc/70149282","WorldCat Record")</f>
        <v/>
      </c>
      <c r="AU895" t="inlineStr">
        <is>
          <t>1219787193:eng</t>
        </is>
      </c>
      <c r="AV895" t="inlineStr">
        <is>
          <t>70149282</t>
        </is>
      </c>
      <c r="AW895" t="inlineStr">
        <is>
          <t>991005003659702656</t>
        </is>
      </c>
      <c r="AX895" t="inlineStr">
        <is>
          <t>991005003659702656</t>
        </is>
      </c>
      <c r="AY895" t="inlineStr">
        <is>
          <t>2261336120002656</t>
        </is>
      </c>
      <c r="AZ895" t="inlineStr">
        <is>
          <t>BOOK</t>
        </is>
      </c>
      <c r="BB895" t="inlineStr">
        <is>
          <t>9780325008424</t>
        </is>
      </c>
      <c r="BC895" t="inlineStr">
        <is>
          <t>32285005269765</t>
        </is>
      </c>
      <c r="BD895" t="inlineStr">
        <is>
          <t>893260422</t>
        </is>
      </c>
    </row>
    <row r="896">
      <c r="A896" t="inlineStr">
        <is>
          <t>No</t>
        </is>
      </c>
      <c r="B896" t="inlineStr">
        <is>
          <t>LB1631 .H553 1990</t>
        </is>
      </c>
      <c r="C896" t="inlineStr">
        <is>
          <t>0                      LB 1631000H  553         1990</t>
        </is>
      </c>
      <c r="D896" t="inlineStr">
        <is>
          <t>Reading and writing in high schools : a whole-language approach / Eric Hobson, R. Baird Shuman.</t>
        </is>
      </c>
      <c r="F896" t="inlineStr">
        <is>
          <t>No</t>
        </is>
      </c>
      <c r="G896" t="inlineStr">
        <is>
          <t>1</t>
        </is>
      </c>
      <c r="H896" t="inlineStr">
        <is>
          <t>No</t>
        </is>
      </c>
      <c r="I896" t="inlineStr">
        <is>
          <t>No</t>
        </is>
      </c>
      <c r="J896" t="inlineStr">
        <is>
          <t>0</t>
        </is>
      </c>
      <c r="K896" t="inlineStr">
        <is>
          <t>Hobson, Eric.</t>
        </is>
      </c>
      <c r="L896" t="inlineStr">
        <is>
          <t>Washington, D.C. : NEA Professional Library, National Education Association, c1990.</t>
        </is>
      </c>
      <c r="M896" t="inlineStr">
        <is>
          <t>1990</t>
        </is>
      </c>
      <c r="O896" t="inlineStr">
        <is>
          <t>eng</t>
        </is>
      </c>
      <c r="P896" t="inlineStr">
        <is>
          <t>dcu</t>
        </is>
      </c>
      <c r="Q896" t="inlineStr">
        <is>
          <t>Analysis and action series</t>
        </is>
      </c>
      <c r="R896" t="inlineStr">
        <is>
          <t xml:space="preserve">LB </t>
        </is>
      </c>
      <c r="S896" t="n">
        <v>1</v>
      </c>
      <c r="T896" t="n">
        <v>1</v>
      </c>
      <c r="U896" t="inlineStr">
        <is>
          <t>2007-03-23</t>
        </is>
      </c>
      <c r="V896" t="inlineStr">
        <is>
          <t>2007-03-23</t>
        </is>
      </c>
      <c r="W896" t="inlineStr">
        <is>
          <t>1990-08-13</t>
        </is>
      </c>
      <c r="X896" t="inlineStr">
        <is>
          <t>1990-08-13</t>
        </is>
      </c>
      <c r="Y896" t="n">
        <v>476</v>
      </c>
      <c r="Z896" t="n">
        <v>468</v>
      </c>
      <c r="AA896" t="n">
        <v>472</v>
      </c>
      <c r="AB896" t="n">
        <v>6</v>
      </c>
      <c r="AC896" t="n">
        <v>6</v>
      </c>
      <c r="AD896" t="n">
        <v>22</v>
      </c>
      <c r="AE896" t="n">
        <v>22</v>
      </c>
      <c r="AF896" t="n">
        <v>8</v>
      </c>
      <c r="AG896" t="n">
        <v>8</v>
      </c>
      <c r="AH896" t="n">
        <v>5</v>
      </c>
      <c r="AI896" t="n">
        <v>5</v>
      </c>
      <c r="AJ896" t="n">
        <v>8</v>
      </c>
      <c r="AK896" t="n">
        <v>8</v>
      </c>
      <c r="AL896" t="n">
        <v>5</v>
      </c>
      <c r="AM896" t="n">
        <v>5</v>
      </c>
      <c r="AN896" t="n">
        <v>0</v>
      </c>
      <c r="AO896" t="n">
        <v>0</v>
      </c>
      <c r="AP896" t="inlineStr">
        <is>
          <t>No</t>
        </is>
      </c>
      <c r="AQ896" t="inlineStr">
        <is>
          <t>No</t>
        </is>
      </c>
      <c r="AS896">
        <f>HYPERLINK("https://creighton-primo.hosted.exlibrisgroup.com/primo-explore/search?tab=default_tab&amp;search_scope=EVERYTHING&amp;vid=01CRU&amp;lang=en_US&amp;offset=0&amp;query=any,contains,991001628539702656","Catalog Record")</f>
        <v/>
      </c>
      <c r="AT896">
        <f>HYPERLINK("http://www.worldcat.org/oclc/20854450","WorldCat Record")</f>
        <v/>
      </c>
      <c r="AU896" t="inlineStr">
        <is>
          <t>1076010:eng</t>
        </is>
      </c>
      <c r="AV896" t="inlineStr">
        <is>
          <t>20854450</t>
        </is>
      </c>
      <c r="AW896" t="inlineStr">
        <is>
          <t>991001628539702656</t>
        </is>
      </c>
      <c r="AX896" t="inlineStr">
        <is>
          <t>991001628539702656</t>
        </is>
      </c>
      <c r="AY896" t="inlineStr">
        <is>
          <t>2272086000002656</t>
        </is>
      </c>
      <c r="AZ896" t="inlineStr">
        <is>
          <t>BOOK</t>
        </is>
      </c>
      <c r="BB896" t="inlineStr">
        <is>
          <t>9780810630734</t>
        </is>
      </c>
      <c r="BC896" t="inlineStr">
        <is>
          <t>32285000024108</t>
        </is>
      </c>
      <c r="BD896" t="inlineStr">
        <is>
          <t>893509734</t>
        </is>
      </c>
    </row>
    <row r="897">
      <c r="A897" t="inlineStr">
        <is>
          <t>No</t>
        </is>
      </c>
      <c r="B897" t="inlineStr">
        <is>
          <t>LB1631 .I76 2003</t>
        </is>
      </c>
      <c r="C897" t="inlineStr">
        <is>
          <t>0                      LB 1631000I  76          2003</t>
        </is>
      </c>
      <c r="D897" t="inlineStr">
        <is>
          <t>Reading and the high school student : strategies to enhance literacy / Judith L. Irvin, Douglas R. Buehl, Ronald M. Klemp.</t>
        </is>
      </c>
      <c r="F897" t="inlineStr">
        <is>
          <t>No</t>
        </is>
      </c>
      <c r="G897" t="inlineStr">
        <is>
          <t>1</t>
        </is>
      </c>
      <c r="H897" t="inlineStr">
        <is>
          <t>No</t>
        </is>
      </c>
      <c r="I897" t="inlineStr">
        <is>
          <t>No</t>
        </is>
      </c>
      <c r="J897" t="inlineStr">
        <is>
          <t>0</t>
        </is>
      </c>
      <c r="K897" t="inlineStr">
        <is>
          <t>Irvin, Judith L., 1947-</t>
        </is>
      </c>
      <c r="L897" t="inlineStr">
        <is>
          <t>Boston : Allyn and Bacon, c2003.</t>
        </is>
      </c>
      <c r="M897" t="inlineStr">
        <is>
          <t>2003</t>
        </is>
      </c>
      <c r="O897" t="inlineStr">
        <is>
          <t>eng</t>
        </is>
      </c>
      <c r="P897" t="inlineStr">
        <is>
          <t>mau</t>
        </is>
      </c>
      <c r="R897" t="inlineStr">
        <is>
          <t xml:space="preserve">LB </t>
        </is>
      </c>
      <c r="S897" t="n">
        <v>2</v>
      </c>
      <c r="T897" t="n">
        <v>2</v>
      </c>
      <c r="U897" t="inlineStr">
        <is>
          <t>2003-05-14</t>
        </is>
      </c>
      <c r="V897" t="inlineStr">
        <is>
          <t>2003-05-14</t>
        </is>
      </c>
      <c r="W897" t="inlineStr">
        <is>
          <t>2003-05-14</t>
        </is>
      </c>
      <c r="X897" t="inlineStr">
        <is>
          <t>2003-05-14</t>
        </is>
      </c>
      <c r="Y897" t="n">
        <v>225</v>
      </c>
      <c r="Z897" t="n">
        <v>195</v>
      </c>
      <c r="AA897" t="n">
        <v>272</v>
      </c>
      <c r="AB897" t="n">
        <v>2</v>
      </c>
      <c r="AC897" t="n">
        <v>2</v>
      </c>
      <c r="AD897" t="n">
        <v>10</v>
      </c>
      <c r="AE897" t="n">
        <v>11</v>
      </c>
      <c r="AF897" t="n">
        <v>4</v>
      </c>
      <c r="AG897" t="n">
        <v>4</v>
      </c>
      <c r="AH897" t="n">
        <v>2</v>
      </c>
      <c r="AI897" t="n">
        <v>3</v>
      </c>
      <c r="AJ897" t="n">
        <v>7</v>
      </c>
      <c r="AK897" t="n">
        <v>7</v>
      </c>
      <c r="AL897" t="n">
        <v>1</v>
      </c>
      <c r="AM897" t="n">
        <v>1</v>
      </c>
      <c r="AN897" t="n">
        <v>0</v>
      </c>
      <c r="AO897" t="n">
        <v>0</v>
      </c>
      <c r="AP897" t="inlineStr">
        <is>
          <t>No</t>
        </is>
      </c>
      <c r="AQ897" t="inlineStr">
        <is>
          <t>No</t>
        </is>
      </c>
      <c r="AS897">
        <f>HYPERLINK("https://creighton-primo.hosted.exlibrisgroup.com/primo-explore/search?tab=default_tab&amp;search_scope=EVERYTHING&amp;vid=01CRU&amp;lang=en_US&amp;offset=0&amp;query=any,contains,991004048549702656","Catalog Record")</f>
        <v/>
      </c>
      <c r="AT897">
        <f>HYPERLINK("http://www.worldcat.org/oclc/50322848","WorldCat Record")</f>
        <v/>
      </c>
      <c r="AU897" t="inlineStr">
        <is>
          <t>902093072:eng</t>
        </is>
      </c>
      <c r="AV897" t="inlineStr">
        <is>
          <t>50322848</t>
        </is>
      </c>
      <c r="AW897" t="inlineStr">
        <is>
          <t>991004048549702656</t>
        </is>
      </c>
      <c r="AX897" t="inlineStr">
        <is>
          <t>991004048549702656</t>
        </is>
      </c>
      <c r="AY897" t="inlineStr">
        <is>
          <t>2254812310002656</t>
        </is>
      </c>
      <c r="AZ897" t="inlineStr">
        <is>
          <t>BOOK</t>
        </is>
      </c>
      <c r="BB897" t="inlineStr">
        <is>
          <t>9780205319619</t>
        </is>
      </c>
      <c r="BC897" t="inlineStr">
        <is>
          <t>32285004746334</t>
        </is>
      </c>
      <c r="BD897" t="inlineStr">
        <is>
          <t>893869216</t>
        </is>
      </c>
    </row>
    <row r="898">
      <c r="A898" t="inlineStr">
        <is>
          <t>No</t>
        </is>
      </c>
      <c r="B898" t="inlineStr">
        <is>
          <t>LB1631 .J35 2001</t>
        </is>
      </c>
      <c r="C898" t="inlineStr">
        <is>
          <t>0                      LB 1631000J  35          2001</t>
        </is>
      </c>
      <c r="D898" t="inlineStr">
        <is>
          <t>Beyond standards : excellence in the high school English classroom / Carol Jago.</t>
        </is>
      </c>
      <c r="F898" t="inlineStr">
        <is>
          <t>No</t>
        </is>
      </c>
      <c r="G898" t="inlineStr">
        <is>
          <t>1</t>
        </is>
      </c>
      <c r="H898" t="inlineStr">
        <is>
          <t>No</t>
        </is>
      </c>
      <c r="I898" t="inlineStr">
        <is>
          <t>No</t>
        </is>
      </c>
      <c r="J898" t="inlineStr">
        <is>
          <t>0</t>
        </is>
      </c>
      <c r="K898" t="inlineStr">
        <is>
          <t>Jago, Carol, 1951-</t>
        </is>
      </c>
      <c r="L898" t="inlineStr">
        <is>
          <t>Portsmouth, NH : Boynton/Cook, c2001.</t>
        </is>
      </c>
      <c r="M898" t="inlineStr">
        <is>
          <t>2001</t>
        </is>
      </c>
      <c r="O898" t="inlineStr">
        <is>
          <t>eng</t>
        </is>
      </c>
      <c r="P898" t="inlineStr">
        <is>
          <t>nhu</t>
        </is>
      </c>
      <c r="R898" t="inlineStr">
        <is>
          <t xml:space="preserve">LB </t>
        </is>
      </c>
      <c r="S898" t="n">
        <v>1</v>
      </c>
      <c r="T898" t="n">
        <v>1</v>
      </c>
      <c r="U898" t="inlineStr">
        <is>
          <t>2001-07-10</t>
        </is>
      </c>
      <c r="V898" t="inlineStr">
        <is>
          <t>2001-07-10</t>
        </is>
      </c>
      <c r="W898" t="inlineStr">
        <is>
          <t>2001-07-10</t>
        </is>
      </c>
      <c r="X898" t="inlineStr">
        <is>
          <t>2001-07-10</t>
        </is>
      </c>
      <c r="Y898" t="n">
        <v>187</v>
      </c>
      <c r="Z898" t="n">
        <v>176</v>
      </c>
      <c r="AA898" t="n">
        <v>177</v>
      </c>
      <c r="AB898" t="n">
        <v>1</v>
      </c>
      <c r="AC898" t="n">
        <v>1</v>
      </c>
      <c r="AD898" t="n">
        <v>6</v>
      </c>
      <c r="AE898" t="n">
        <v>6</v>
      </c>
      <c r="AF898" t="n">
        <v>2</v>
      </c>
      <c r="AG898" t="n">
        <v>2</v>
      </c>
      <c r="AH898" t="n">
        <v>1</v>
      </c>
      <c r="AI898" t="n">
        <v>1</v>
      </c>
      <c r="AJ898" t="n">
        <v>5</v>
      </c>
      <c r="AK898" t="n">
        <v>5</v>
      </c>
      <c r="AL898" t="n">
        <v>0</v>
      </c>
      <c r="AM898" t="n">
        <v>0</v>
      </c>
      <c r="AN898" t="n">
        <v>0</v>
      </c>
      <c r="AO898" t="n">
        <v>0</v>
      </c>
      <c r="AP898" t="inlineStr">
        <is>
          <t>No</t>
        </is>
      </c>
      <c r="AQ898" t="inlineStr">
        <is>
          <t>No</t>
        </is>
      </c>
      <c r="AS898">
        <f>HYPERLINK("https://creighton-primo.hosted.exlibrisgroup.com/primo-explore/search?tab=default_tab&amp;search_scope=EVERYTHING&amp;vid=01CRU&amp;lang=en_US&amp;offset=0&amp;query=any,contains,991003562819702656","Catalog Record")</f>
        <v/>
      </c>
      <c r="AT898">
        <f>HYPERLINK("http://www.worldcat.org/oclc/44841636","WorldCat Record")</f>
        <v/>
      </c>
      <c r="AU898" t="inlineStr">
        <is>
          <t>477856547:eng</t>
        </is>
      </c>
      <c r="AV898" t="inlineStr">
        <is>
          <t>44841636</t>
        </is>
      </c>
      <c r="AW898" t="inlineStr">
        <is>
          <t>991003562819702656</t>
        </is>
      </c>
      <c r="AX898" t="inlineStr">
        <is>
          <t>991003562819702656</t>
        </is>
      </c>
      <c r="AY898" t="inlineStr">
        <is>
          <t>2265424880002656</t>
        </is>
      </c>
      <c r="AZ898" t="inlineStr">
        <is>
          <t>BOOK</t>
        </is>
      </c>
      <c r="BB898" t="inlineStr">
        <is>
          <t>9780867095036</t>
        </is>
      </c>
      <c r="BC898" t="inlineStr">
        <is>
          <t>32285004331269</t>
        </is>
      </c>
      <c r="BD898" t="inlineStr">
        <is>
          <t>893352893</t>
        </is>
      </c>
    </row>
    <row r="899">
      <c r="A899" t="inlineStr">
        <is>
          <t>No</t>
        </is>
      </c>
      <c r="B899" t="inlineStr">
        <is>
          <t>LB1631 .J36 2002</t>
        </is>
      </c>
      <c r="C899" t="inlineStr">
        <is>
          <t>0                      LB 1631000J  36          2002</t>
        </is>
      </c>
      <c r="D899" t="inlineStr">
        <is>
          <t>Cohesive writing : why concept is not enough / Carol Jago.</t>
        </is>
      </c>
      <c r="F899" t="inlineStr">
        <is>
          <t>No</t>
        </is>
      </c>
      <c r="G899" t="inlineStr">
        <is>
          <t>1</t>
        </is>
      </c>
      <c r="H899" t="inlineStr">
        <is>
          <t>No</t>
        </is>
      </c>
      <c r="I899" t="inlineStr">
        <is>
          <t>No</t>
        </is>
      </c>
      <c r="J899" t="inlineStr">
        <is>
          <t>0</t>
        </is>
      </c>
      <c r="K899" t="inlineStr">
        <is>
          <t>Jago, Carol, 1951-</t>
        </is>
      </c>
      <c r="L899" t="inlineStr">
        <is>
          <t>Portsmouth, NH : Heinemann, c2002.</t>
        </is>
      </c>
      <c r="M899" t="inlineStr">
        <is>
          <t>2002</t>
        </is>
      </c>
      <c r="O899" t="inlineStr">
        <is>
          <t>eng</t>
        </is>
      </c>
      <c r="P899" t="inlineStr">
        <is>
          <t>nhu</t>
        </is>
      </c>
      <c r="R899" t="inlineStr">
        <is>
          <t xml:space="preserve">LB </t>
        </is>
      </c>
      <c r="S899" t="n">
        <v>1</v>
      </c>
      <c r="T899" t="n">
        <v>1</v>
      </c>
      <c r="U899" t="inlineStr">
        <is>
          <t>2008-12-01</t>
        </is>
      </c>
      <c r="V899" t="inlineStr">
        <is>
          <t>2008-12-01</t>
        </is>
      </c>
      <c r="W899" t="inlineStr">
        <is>
          <t>2002-08-15</t>
        </is>
      </c>
      <c r="X899" t="inlineStr">
        <is>
          <t>2002-08-15</t>
        </is>
      </c>
      <c r="Y899" t="n">
        <v>207</v>
      </c>
      <c r="Z899" t="n">
        <v>184</v>
      </c>
      <c r="AA899" t="n">
        <v>185</v>
      </c>
      <c r="AB899" t="n">
        <v>2</v>
      </c>
      <c r="AC899" t="n">
        <v>2</v>
      </c>
      <c r="AD899" t="n">
        <v>3</v>
      </c>
      <c r="AE899" t="n">
        <v>3</v>
      </c>
      <c r="AF899" t="n">
        <v>0</v>
      </c>
      <c r="AG899" t="n">
        <v>0</v>
      </c>
      <c r="AH899" t="n">
        <v>1</v>
      </c>
      <c r="AI899" t="n">
        <v>1</v>
      </c>
      <c r="AJ899" t="n">
        <v>2</v>
      </c>
      <c r="AK899" t="n">
        <v>2</v>
      </c>
      <c r="AL899" t="n">
        <v>1</v>
      </c>
      <c r="AM899" t="n">
        <v>1</v>
      </c>
      <c r="AN899" t="n">
        <v>0</v>
      </c>
      <c r="AO899" t="n">
        <v>0</v>
      </c>
      <c r="AP899" t="inlineStr">
        <is>
          <t>No</t>
        </is>
      </c>
      <c r="AQ899" t="inlineStr">
        <is>
          <t>No</t>
        </is>
      </c>
      <c r="AS899">
        <f>HYPERLINK("https://creighton-primo.hosted.exlibrisgroup.com/primo-explore/search?tab=default_tab&amp;search_scope=EVERYTHING&amp;vid=01CRU&amp;lang=en_US&amp;offset=0&amp;query=any,contains,991003854349702656","Catalog Record")</f>
        <v/>
      </c>
      <c r="AT899">
        <f>HYPERLINK("http://www.worldcat.org/oclc/48057151","WorldCat Record")</f>
        <v/>
      </c>
      <c r="AU899" t="inlineStr">
        <is>
          <t>3740840682:eng</t>
        </is>
      </c>
      <c r="AV899" t="inlineStr">
        <is>
          <t>48057151</t>
        </is>
      </c>
      <c r="AW899" t="inlineStr">
        <is>
          <t>991003854349702656</t>
        </is>
      </c>
      <c r="AX899" t="inlineStr">
        <is>
          <t>991003854349702656</t>
        </is>
      </c>
      <c r="AY899" t="inlineStr">
        <is>
          <t>2264985020002656</t>
        </is>
      </c>
      <c r="AZ899" t="inlineStr">
        <is>
          <t>BOOK</t>
        </is>
      </c>
      <c r="BB899" t="inlineStr">
        <is>
          <t>9780867095319</t>
        </is>
      </c>
      <c r="BC899" t="inlineStr">
        <is>
          <t>32285004643416</t>
        </is>
      </c>
      <c r="BD899" t="inlineStr">
        <is>
          <t>893699502</t>
        </is>
      </c>
    </row>
    <row r="900">
      <c r="A900" t="inlineStr">
        <is>
          <t>No</t>
        </is>
      </c>
      <c r="B900" t="inlineStr">
        <is>
          <t>LB1631 .K492 2009</t>
        </is>
      </c>
      <c r="C900" t="inlineStr">
        <is>
          <t>0                      LB 1631000K  492         2009</t>
        </is>
      </c>
      <c r="D900" t="inlineStr">
        <is>
          <t>Adolescent literacy and differentiated instruction / Barbara King-Shaver and Alyce Hunter.</t>
        </is>
      </c>
      <c r="F900" t="inlineStr">
        <is>
          <t>No</t>
        </is>
      </c>
      <c r="G900" t="inlineStr">
        <is>
          <t>1</t>
        </is>
      </c>
      <c r="H900" t="inlineStr">
        <is>
          <t>No</t>
        </is>
      </c>
      <c r="I900" t="inlineStr">
        <is>
          <t>No</t>
        </is>
      </c>
      <c r="J900" t="inlineStr">
        <is>
          <t>0</t>
        </is>
      </c>
      <c r="K900" t="inlineStr">
        <is>
          <t>King-Shaver, Barbara.</t>
        </is>
      </c>
      <c r="L900" t="inlineStr">
        <is>
          <t>Portsmouth, NH : Heinemann, c2009.</t>
        </is>
      </c>
      <c r="M900" t="inlineStr">
        <is>
          <t>2009</t>
        </is>
      </c>
      <c r="O900" t="inlineStr">
        <is>
          <t>eng</t>
        </is>
      </c>
      <c r="P900" t="inlineStr">
        <is>
          <t>nhu</t>
        </is>
      </c>
      <c r="R900" t="inlineStr">
        <is>
          <t xml:space="preserve">LB </t>
        </is>
      </c>
      <c r="S900" t="n">
        <v>1</v>
      </c>
      <c r="T900" t="n">
        <v>1</v>
      </c>
      <c r="U900" t="inlineStr">
        <is>
          <t>2009-12-01</t>
        </is>
      </c>
      <c r="V900" t="inlineStr">
        <is>
          <t>2009-12-01</t>
        </is>
      </c>
      <c r="W900" t="inlineStr">
        <is>
          <t>2009-12-01</t>
        </is>
      </c>
      <c r="X900" t="inlineStr">
        <is>
          <t>2009-12-01</t>
        </is>
      </c>
      <c r="Y900" t="n">
        <v>127</v>
      </c>
      <c r="Z900" t="n">
        <v>109</v>
      </c>
      <c r="AA900" t="n">
        <v>111</v>
      </c>
      <c r="AB900" t="n">
        <v>1</v>
      </c>
      <c r="AC900" t="n">
        <v>1</v>
      </c>
      <c r="AD900" t="n">
        <v>4</v>
      </c>
      <c r="AE900" t="n">
        <v>4</v>
      </c>
      <c r="AF900" t="n">
        <v>3</v>
      </c>
      <c r="AG900" t="n">
        <v>3</v>
      </c>
      <c r="AH900" t="n">
        <v>0</v>
      </c>
      <c r="AI900" t="n">
        <v>0</v>
      </c>
      <c r="AJ900" t="n">
        <v>2</v>
      </c>
      <c r="AK900" t="n">
        <v>2</v>
      </c>
      <c r="AL900" t="n">
        <v>0</v>
      </c>
      <c r="AM900" t="n">
        <v>0</v>
      </c>
      <c r="AN900" t="n">
        <v>0</v>
      </c>
      <c r="AO900" t="n">
        <v>0</v>
      </c>
      <c r="AP900" t="inlineStr">
        <is>
          <t>No</t>
        </is>
      </c>
      <c r="AQ900" t="inlineStr">
        <is>
          <t>Yes</t>
        </is>
      </c>
      <c r="AR900">
        <f>HYPERLINK("http://catalog.hathitrust.org/Record/009816450","HathiTrust Record")</f>
        <v/>
      </c>
      <c r="AS900">
        <f>HYPERLINK("https://creighton-primo.hosted.exlibrisgroup.com/primo-explore/search?tab=default_tab&amp;search_scope=EVERYTHING&amp;vid=01CRU&amp;lang=en_US&amp;offset=0&amp;query=any,contains,991005344109702656","Catalog Record")</f>
        <v/>
      </c>
      <c r="AT900">
        <f>HYPERLINK("http://www.worldcat.org/oclc/313653277","WorldCat Record")</f>
        <v/>
      </c>
      <c r="AU900" t="inlineStr">
        <is>
          <t>192150653:eng</t>
        </is>
      </c>
      <c r="AV900" t="inlineStr">
        <is>
          <t>313653277</t>
        </is>
      </c>
      <c r="AW900" t="inlineStr">
        <is>
          <t>991005344109702656</t>
        </is>
      </c>
      <c r="AX900" t="inlineStr">
        <is>
          <t>991005344109702656</t>
        </is>
      </c>
      <c r="AY900" t="inlineStr">
        <is>
          <t>2263752950002656</t>
        </is>
      </c>
      <c r="AZ900" t="inlineStr">
        <is>
          <t>BOOK</t>
        </is>
      </c>
      <c r="BB900" t="inlineStr">
        <is>
          <t>9780325026619</t>
        </is>
      </c>
      <c r="BC900" t="inlineStr">
        <is>
          <t>32285005553002</t>
        </is>
      </c>
      <c r="BD900" t="inlineStr">
        <is>
          <t>893520872</t>
        </is>
      </c>
    </row>
    <row r="901">
      <c r="A901" t="inlineStr">
        <is>
          <t>No</t>
        </is>
      </c>
      <c r="B901" t="inlineStr">
        <is>
          <t>LB1631 .K78 2001</t>
        </is>
      </c>
      <c r="C901" t="inlineStr">
        <is>
          <t>0                      LB 1631000K  78          2001</t>
        </is>
      </c>
      <c r="D901" t="inlineStr">
        <is>
          <t>Seeing and believing ; how to teach media literacy in the English classroom / Ellen Krueger and Mary T. Christel.</t>
        </is>
      </c>
      <c r="F901" t="inlineStr">
        <is>
          <t>No</t>
        </is>
      </c>
      <c r="G901" t="inlineStr">
        <is>
          <t>1</t>
        </is>
      </c>
      <c r="H901" t="inlineStr">
        <is>
          <t>No</t>
        </is>
      </c>
      <c r="I901" t="inlineStr">
        <is>
          <t>No</t>
        </is>
      </c>
      <c r="J901" t="inlineStr">
        <is>
          <t>0</t>
        </is>
      </c>
      <c r="K901" t="inlineStr">
        <is>
          <t>Krueger, Ellen, 1953-</t>
        </is>
      </c>
      <c r="L901" t="inlineStr">
        <is>
          <t>Portsmouth, NH : Boynton/Cook Publishers-Heinemann, c2001.</t>
        </is>
      </c>
      <c r="M901" t="inlineStr">
        <is>
          <t>2001</t>
        </is>
      </c>
      <c r="O901" t="inlineStr">
        <is>
          <t>eng</t>
        </is>
      </c>
      <c r="P901" t="inlineStr">
        <is>
          <t>nhu</t>
        </is>
      </c>
      <c r="R901" t="inlineStr">
        <is>
          <t xml:space="preserve">LB </t>
        </is>
      </c>
      <c r="S901" t="n">
        <v>1</v>
      </c>
      <c r="T901" t="n">
        <v>1</v>
      </c>
      <c r="U901" t="inlineStr">
        <is>
          <t>2001-07-10</t>
        </is>
      </c>
      <c r="V901" t="inlineStr">
        <is>
          <t>2001-07-10</t>
        </is>
      </c>
      <c r="W901" t="inlineStr">
        <is>
          <t>2001-07-10</t>
        </is>
      </c>
      <c r="X901" t="inlineStr">
        <is>
          <t>2001-07-10</t>
        </is>
      </c>
      <c r="Y901" t="n">
        <v>167</v>
      </c>
      <c r="Z901" t="n">
        <v>144</v>
      </c>
      <c r="AA901" t="n">
        <v>144</v>
      </c>
      <c r="AB901" t="n">
        <v>1</v>
      </c>
      <c r="AC901" t="n">
        <v>1</v>
      </c>
      <c r="AD901" t="n">
        <v>6</v>
      </c>
      <c r="AE901" t="n">
        <v>6</v>
      </c>
      <c r="AF901" t="n">
        <v>3</v>
      </c>
      <c r="AG901" t="n">
        <v>3</v>
      </c>
      <c r="AH901" t="n">
        <v>1</v>
      </c>
      <c r="AI901" t="n">
        <v>1</v>
      </c>
      <c r="AJ901" t="n">
        <v>3</v>
      </c>
      <c r="AK901" t="n">
        <v>3</v>
      </c>
      <c r="AL901" t="n">
        <v>0</v>
      </c>
      <c r="AM901" t="n">
        <v>0</v>
      </c>
      <c r="AN901" t="n">
        <v>0</v>
      </c>
      <c r="AO901" t="n">
        <v>0</v>
      </c>
      <c r="AP901" t="inlineStr">
        <is>
          <t>No</t>
        </is>
      </c>
      <c r="AQ901" t="inlineStr">
        <is>
          <t>No</t>
        </is>
      </c>
      <c r="AS901">
        <f>HYPERLINK("https://creighton-primo.hosted.exlibrisgroup.com/primo-explore/search?tab=default_tab&amp;search_scope=EVERYTHING&amp;vid=01CRU&amp;lang=en_US&amp;offset=0&amp;query=any,contains,991003562969702656","Catalog Record")</f>
        <v/>
      </c>
      <c r="AT901">
        <f>HYPERLINK("http://www.worldcat.org/oclc/45171969","WorldCat Record")</f>
        <v/>
      </c>
      <c r="AU901" t="inlineStr">
        <is>
          <t>367181274:eng</t>
        </is>
      </c>
      <c r="AV901" t="inlineStr">
        <is>
          <t>45171969</t>
        </is>
      </c>
      <c r="AW901" t="inlineStr">
        <is>
          <t>991003562969702656</t>
        </is>
      </c>
      <c r="AX901" t="inlineStr">
        <is>
          <t>991003562969702656</t>
        </is>
      </c>
      <c r="AY901" t="inlineStr">
        <is>
          <t>2258516570002656</t>
        </is>
      </c>
      <c r="AZ901" t="inlineStr">
        <is>
          <t>BOOK</t>
        </is>
      </c>
      <c r="BB901" t="inlineStr">
        <is>
          <t>9780867095739</t>
        </is>
      </c>
      <c r="BC901" t="inlineStr">
        <is>
          <t>32285004331285</t>
        </is>
      </c>
      <c r="BD901" t="inlineStr">
        <is>
          <t>893352894</t>
        </is>
      </c>
    </row>
    <row r="902">
      <c r="A902" t="inlineStr">
        <is>
          <t>No</t>
        </is>
      </c>
      <c r="B902" t="inlineStr">
        <is>
          <t>LB1631 .L219 2005</t>
        </is>
      </c>
      <c r="C902" t="inlineStr">
        <is>
          <t>0                      LB 1631000L  219         2005</t>
        </is>
      </c>
      <c r="D902" t="inlineStr">
        <is>
          <t>Inspired English : raising test scores and writing effectiveness through poetry and fiction / Lorraine LaCroix.</t>
        </is>
      </c>
      <c r="F902" t="inlineStr">
        <is>
          <t>No</t>
        </is>
      </c>
      <c r="G902" t="inlineStr">
        <is>
          <t>1</t>
        </is>
      </c>
      <c r="H902" t="inlineStr">
        <is>
          <t>No</t>
        </is>
      </c>
      <c r="I902" t="inlineStr">
        <is>
          <t>No</t>
        </is>
      </c>
      <c r="J902" t="inlineStr">
        <is>
          <t>0</t>
        </is>
      </c>
      <c r="K902" t="inlineStr">
        <is>
          <t>LaCroix, Lorraine.</t>
        </is>
      </c>
      <c r="L902" t="inlineStr">
        <is>
          <t>Thousand Oaks, Calif. : Corwin Press, c2005.</t>
        </is>
      </c>
      <c r="M902" t="inlineStr">
        <is>
          <t>2005</t>
        </is>
      </c>
      <c r="O902" t="inlineStr">
        <is>
          <t>eng</t>
        </is>
      </c>
      <c r="P902" t="inlineStr">
        <is>
          <t>cau</t>
        </is>
      </c>
      <c r="R902" t="inlineStr">
        <is>
          <t xml:space="preserve">LB </t>
        </is>
      </c>
      <c r="S902" t="n">
        <v>1</v>
      </c>
      <c r="T902" t="n">
        <v>1</v>
      </c>
      <c r="U902" t="inlineStr">
        <is>
          <t>2008-02-19</t>
        </is>
      </c>
      <c r="V902" t="inlineStr">
        <is>
          <t>2008-02-19</t>
        </is>
      </c>
      <c r="W902" t="inlineStr">
        <is>
          <t>2005-03-16</t>
        </is>
      </c>
      <c r="X902" t="inlineStr">
        <is>
          <t>2005-03-16</t>
        </is>
      </c>
      <c r="Y902" t="n">
        <v>188</v>
      </c>
      <c r="Z902" t="n">
        <v>157</v>
      </c>
      <c r="AA902" t="n">
        <v>158</v>
      </c>
      <c r="AB902" t="n">
        <v>2</v>
      </c>
      <c r="AC902" t="n">
        <v>2</v>
      </c>
      <c r="AD902" t="n">
        <v>8</v>
      </c>
      <c r="AE902" t="n">
        <v>8</v>
      </c>
      <c r="AF902" t="n">
        <v>2</v>
      </c>
      <c r="AG902" t="n">
        <v>2</v>
      </c>
      <c r="AH902" t="n">
        <v>2</v>
      </c>
      <c r="AI902" t="n">
        <v>2</v>
      </c>
      <c r="AJ902" t="n">
        <v>5</v>
      </c>
      <c r="AK902" t="n">
        <v>5</v>
      </c>
      <c r="AL902" t="n">
        <v>1</v>
      </c>
      <c r="AM902" t="n">
        <v>1</v>
      </c>
      <c r="AN902" t="n">
        <v>0</v>
      </c>
      <c r="AO902" t="n">
        <v>0</v>
      </c>
      <c r="AP902" t="inlineStr">
        <is>
          <t>No</t>
        </is>
      </c>
      <c r="AQ902" t="inlineStr">
        <is>
          <t>Yes</t>
        </is>
      </c>
      <c r="AR902">
        <f>HYPERLINK("http://catalog.hathitrust.org/Record/102036917","HathiTrust Record")</f>
        <v/>
      </c>
      <c r="AS902">
        <f>HYPERLINK("https://creighton-primo.hosted.exlibrisgroup.com/primo-explore/search?tab=default_tab&amp;search_scope=EVERYTHING&amp;vid=01CRU&amp;lang=en_US&amp;offset=0&amp;query=any,contains,991004497589702656","Catalog Record")</f>
        <v/>
      </c>
      <c r="AT902">
        <f>HYPERLINK("http://www.worldcat.org/oclc/56014599","WorldCat Record")</f>
        <v/>
      </c>
      <c r="AU902" t="inlineStr">
        <is>
          <t>788919:eng</t>
        </is>
      </c>
      <c r="AV902" t="inlineStr">
        <is>
          <t>56014599</t>
        </is>
      </c>
      <c r="AW902" t="inlineStr">
        <is>
          <t>991004497589702656</t>
        </is>
      </c>
      <c r="AX902" t="inlineStr">
        <is>
          <t>991004497589702656</t>
        </is>
      </c>
      <c r="AY902" t="inlineStr">
        <is>
          <t>2257270260002656</t>
        </is>
      </c>
      <c r="AZ902" t="inlineStr">
        <is>
          <t>BOOK</t>
        </is>
      </c>
      <c r="BB902" t="inlineStr">
        <is>
          <t>9780761931102</t>
        </is>
      </c>
      <c r="BC902" t="inlineStr">
        <is>
          <t>32285005042162</t>
        </is>
      </c>
      <c r="BD902" t="inlineStr">
        <is>
          <t>893807139</t>
        </is>
      </c>
    </row>
    <row r="903">
      <c r="A903" t="inlineStr">
        <is>
          <t>No</t>
        </is>
      </c>
      <c r="B903" t="inlineStr">
        <is>
          <t>LB1631 .N69 1997</t>
        </is>
      </c>
      <c r="C903" t="inlineStr">
        <is>
          <t>0                      LB 1631000N  69          1997</t>
        </is>
      </c>
      <c r="D903" t="inlineStr">
        <is>
          <t>Interdisciplinary strategies for English and social studies classrooms : toward collaborative middle and secondary teaching / Joseph John Nowicki, Kerry F. Meehan.</t>
        </is>
      </c>
      <c r="F903" t="inlineStr">
        <is>
          <t>No</t>
        </is>
      </c>
      <c r="G903" t="inlineStr">
        <is>
          <t>1</t>
        </is>
      </c>
      <c r="H903" t="inlineStr">
        <is>
          <t>No</t>
        </is>
      </c>
      <c r="I903" t="inlineStr">
        <is>
          <t>No</t>
        </is>
      </c>
      <c r="J903" t="inlineStr">
        <is>
          <t>0</t>
        </is>
      </c>
      <c r="K903" t="inlineStr">
        <is>
          <t>Nowicki, Joseph John, 1953-</t>
        </is>
      </c>
      <c r="L903" t="inlineStr">
        <is>
          <t>Boston : Allyn and Bacon, c1997.</t>
        </is>
      </c>
      <c r="M903" t="inlineStr">
        <is>
          <t>1997</t>
        </is>
      </c>
      <c r="O903" t="inlineStr">
        <is>
          <t>eng</t>
        </is>
      </c>
      <c r="P903" t="inlineStr">
        <is>
          <t>mau</t>
        </is>
      </c>
      <c r="R903" t="inlineStr">
        <is>
          <t xml:space="preserve">LB </t>
        </is>
      </c>
      <c r="S903" t="n">
        <v>2</v>
      </c>
      <c r="T903" t="n">
        <v>2</v>
      </c>
      <c r="U903" t="inlineStr">
        <is>
          <t>2007-09-05</t>
        </is>
      </c>
      <c r="V903" t="inlineStr">
        <is>
          <t>2007-09-05</t>
        </is>
      </c>
      <c r="W903" t="inlineStr">
        <is>
          <t>1997-10-22</t>
        </is>
      </c>
      <c r="X903" t="inlineStr">
        <is>
          <t>1997-10-22</t>
        </is>
      </c>
      <c r="Y903" t="n">
        <v>220</v>
      </c>
      <c r="Z903" t="n">
        <v>201</v>
      </c>
      <c r="AA903" t="n">
        <v>204</v>
      </c>
      <c r="AB903" t="n">
        <v>1</v>
      </c>
      <c r="AC903" t="n">
        <v>1</v>
      </c>
      <c r="AD903" t="n">
        <v>10</v>
      </c>
      <c r="AE903" t="n">
        <v>10</v>
      </c>
      <c r="AF903" t="n">
        <v>4</v>
      </c>
      <c r="AG903" t="n">
        <v>4</v>
      </c>
      <c r="AH903" t="n">
        <v>3</v>
      </c>
      <c r="AI903" t="n">
        <v>3</v>
      </c>
      <c r="AJ903" t="n">
        <v>5</v>
      </c>
      <c r="AK903" t="n">
        <v>5</v>
      </c>
      <c r="AL903" t="n">
        <v>0</v>
      </c>
      <c r="AM903" t="n">
        <v>0</v>
      </c>
      <c r="AN903" t="n">
        <v>0</v>
      </c>
      <c r="AO903" t="n">
        <v>0</v>
      </c>
      <c r="AP903" t="inlineStr">
        <is>
          <t>No</t>
        </is>
      </c>
      <c r="AQ903" t="inlineStr">
        <is>
          <t>Yes</t>
        </is>
      </c>
      <c r="AR903">
        <f>HYPERLINK("http://catalog.hathitrust.org/Record/003081107","HathiTrust Record")</f>
        <v/>
      </c>
      <c r="AS903">
        <f>HYPERLINK("https://creighton-primo.hosted.exlibrisgroup.com/primo-explore/search?tab=default_tab&amp;search_scope=EVERYTHING&amp;vid=01CRU&amp;lang=en_US&amp;offset=0&amp;query=any,contains,991002609349702656","Catalog Record")</f>
        <v/>
      </c>
      <c r="AT903">
        <f>HYPERLINK("http://www.worldcat.org/oclc/34190623","WorldCat Record")</f>
        <v/>
      </c>
      <c r="AU903" t="inlineStr">
        <is>
          <t>39872584:eng</t>
        </is>
      </c>
      <c r="AV903" t="inlineStr">
        <is>
          <t>34190623</t>
        </is>
      </c>
      <c r="AW903" t="inlineStr">
        <is>
          <t>991002609349702656</t>
        </is>
      </c>
      <c r="AX903" t="inlineStr">
        <is>
          <t>991002609349702656</t>
        </is>
      </c>
      <c r="AY903" t="inlineStr">
        <is>
          <t>2256382680002656</t>
        </is>
      </c>
      <c r="AZ903" t="inlineStr">
        <is>
          <t>BOOK</t>
        </is>
      </c>
      <c r="BB903" t="inlineStr">
        <is>
          <t>9780205198399</t>
        </is>
      </c>
      <c r="BC903" t="inlineStr">
        <is>
          <t>32285003257507</t>
        </is>
      </c>
      <c r="BD903" t="inlineStr">
        <is>
          <t>893685546</t>
        </is>
      </c>
    </row>
    <row r="904">
      <c r="A904" t="inlineStr">
        <is>
          <t>No</t>
        </is>
      </c>
      <c r="B904" t="inlineStr">
        <is>
          <t>LB1631 .O55 2011</t>
        </is>
      </c>
      <c r="C904" t="inlineStr">
        <is>
          <t>0                      LB 1631000O  55          2011</t>
        </is>
      </c>
      <c r="D904" t="inlineStr">
        <is>
          <t>The reading/writing connection : strategies for teaching and learning in the secondary classroom / Carol Booth Olson.</t>
        </is>
      </c>
      <c r="F904" t="inlineStr">
        <is>
          <t>No</t>
        </is>
      </c>
      <c r="G904" t="inlineStr">
        <is>
          <t>1</t>
        </is>
      </c>
      <c r="H904" t="inlineStr">
        <is>
          <t>No</t>
        </is>
      </c>
      <c r="I904" t="inlineStr">
        <is>
          <t>No</t>
        </is>
      </c>
      <c r="J904" t="inlineStr">
        <is>
          <t>0</t>
        </is>
      </c>
      <c r="K904" t="inlineStr">
        <is>
          <t>Olson, Carol Booth.</t>
        </is>
      </c>
      <c r="L904" t="inlineStr">
        <is>
          <t>Boston : Pearson, c2011.</t>
        </is>
      </c>
      <c r="M904" t="inlineStr">
        <is>
          <t>2011</t>
        </is>
      </c>
      <c r="N904" t="inlineStr">
        <is>
          <t>3rd ed.</t>
        </is>
      </c>
      <c r="O904" t="inlineStr">
        <is>
          <t>eng</t>
        </is>
      </c>
      <c r="P904" t="inlineStr">
        <is>
          <t>mau</t>
        </is>
      </c>
      <c r="R904" t="inlineStr">
        <is>
          <t xml:space="preserve">LB </t>
        </is>
      </c>
      <c r="S904" t="n">
        <v>1</v>
      </c>
      <c r="T904" t="n">
        <v>1</v>
      </c>
      <c r="U904" t="inlineStr">
        <is>
          <t>2010-08-31</t>
        </is>
      </c>
      <c r="V904" t="inlineStr">
        <is>
          <t>2010-08-31</t>
        </is>
      </c>
      <c r="W904" t="inlineStr">
        <is>
          <t>2010-08-31</t>
        </is>
      </c>
      <c r="X904" t="inlineStr">
        <is>
          <t>2010-08-31</t>
        </is>
      </c>
      <c r="Y904" t="n">
        <v>109</v>
      </c>
      <c r="Z904" t="n">
        <v>81</v>
      </c>
      <c r="AA904" t="n">
        <v>331</v>
      </c>
      <c r="AB904" t="n">
        <v>1</v>
      </c>
      <c r="AC904" t="n">
        <v>3</v>
      </c>
      <c r="AD904" t="n">
        <v>2</v>
      </c>
      <c r="AE904" t="n">
        <v>13</v>
      </c>
      <c r="AF904" t="n">
        <v>1</v>
      </c>
      <c r="AG904" t="n">
        <v>5</v>
      </c>
      <c r="AH904" t="n">
        <v>0</v>
      </c>
      <c r="AI904" t="n">
        <v>1</v>
      </c>
      <c r="AJ904" t="n">
        <v>1</v>
      </c>
      <c r="AK904" t="n">
        <v>9</v>
      </c>
      <c r="AL904" t="n">
        <v>0</v>
      </c>
      <c r="AM904" t="n">
        <v>2</v>
      </c>
      <c r="AN904" t="n">
        <v>0</v>
      </c>
      <c r="AO904" t="n">
        <v>0</v>
      </c>
      <c r="AP904" t="inlineStr">
        <is>
          <t>No</t>
        </is>
      </c>
      <c r="AQ904" t="inlineStr">
        <is>
          <t>No</t>
        </is>
      </c>
      <c r="AS904">
        <f>HYPERLINK("https://creighton-primo.hosted.exlibrisgroup.com/primo-explore/search?tab=default_tab&amp;search_scope=EVERYTHING&amp;vid=01CRU&amp;lang=en_US&amp;offset=0&amp;query=any,contains,991000076499702656","Catalog Record")</f>
        <v/>
      </c>
      <c r="AT904">
        <f>HYPERLINK("http://www.worldcat.org/oclc/457157572","WorldCat Record")</f>
        <v/>
      </c>
      <c r="AU904" t="inlineStr">
        <is>
          <t>37467753:eng</t>
        </is>
      </c>
      <c r="AV904" t="inlineStr">
        <is>
          <t>457157572</t>
        </is>
      </c>
      <c r="AW904" t="inlineStr">
        <is>
          <t>991000076499702656</t>
        </is>
      </c>
      <c r="AX904" t="inlineStr">
        <is>
          <t>991000076499702656</t>
        </is>
      </c>
      <c r="AY904" t="inlineStr">
        <is>
          <t>2271371600002656</t>
        </is>
      </c>
      <c r="AZ904" t="inlineStr">
        <is>
          <t>BOOK</t>
        </is>
      </c>
      <c r="BB904" t="inlineStr">
        <is>
          <t>9780137056071</t>
        </is>
      </c>
      <c r="BC904" t="inlineStr">
        <is>
          <t>32285005593552</t>
        </is>
      </c>
      <c r="BD904" t="inlineStr">
        <is>
          <t>893884079</t>
        </is>
      </c>
    </row>
    <row r="905">
      <c r="A905" t="inlineStr">
        <is>
          <t>No</t>
        </is>
      </c>
      <c r="B905" t="inlineStr">
        <is>
          <t>LB1631 .P25 2009</t>
        </is>
      </c>
      <c r="C905" t="inlineStr">
        <is>
          <t>0                      LB 1631000P  25          2009</t>
        </is>
      </c>
      <c r="D905" t="inlineStr">
        <is>
          <t>Parallel curriculum units for language arts, grades 6-12 / Jeanne H. Purcell, Jann H. Leppien, editors.</t>
        </is>
      </c>
      <c r="F905" t="inlineStr">
        <is>
          <t>No</t>
        </is>
      </c>
      <c r="G905" t="inlineStr">
        <is>
          <t>1</t>
        </is>
      </c>
      <c r="H905" t="inlineStr">
        <is>
          <t>No</t>
        </is>
      </c>
      <c r="I905" t="inlineStr">
        <is>
          <t>No</t>
        </is>
      </c>
      <c r="J905" t="inlineStr">
        <is>
          <t>0</t>
        </is>
      </c>
      <c r="L905" t="inlineStr">
        <is>
          <t>Thousand Oaks, Calif. : Corwin, c2009.</t>
        </is>
      </c>
      <c r="M905" t="inlineStr">
        <is>
          <t>2009</t>
        </is>
      </c>
      <c r="O905" t="inlineStr">
        <is>
          <t>eng</t>
        </is>
      </c>
      <c r="P905" t="inlineStr">
        <is>
          <t>cau</t>
        </is>
      </c>
      <c r="R905" t="inlineStr">
        <is>
          <t xml:space="preserve">LB </t>
        </is>
      </c>
      <c r="S905" t="n">
        <v>1</v>
      </c>
      <c r="T905" t="n">
        <v>1</v>
      </c>
      <c r="U905" t="inlineStr">
        <is>
          <t>2009-12-01</t>
        </is>
      </c>
      <c r="V905" t="inlineStr">
        <is>
          <t>2009-12-01</t>
        </is>
      </c>
      <c r="W905" t="inlineStr">
        <is>
          <t>2009-12-01</t>
        </is>
      </c>
      <c r="X905" t="inlineStr">
        <is>
          <t>2009-12-01</t>
        </is>
      </c>
      <c r="Y905" t="n">
        <v>138</v>
      </c>
      <c r="Z905" t="n">
        <v>114</v>
      </c>
      <c r="AA905" t="n">
        <v>133</v>
      </c>
      <c r="AB905" t="n">
        <v>2</v>
      </c>
      <c r="AC905" t="n">
        <v>3</v>
      </c>
      <c r="AD905" t="n">
        <v>4</v>
      </c>
      <c r="AE905" t="n">
        <v>6</v>
      </c>
      <c r="AF905" t="n">
        <v>1</v>
      </c>
      <c r="AG905" t="n">
        <v>2</v>
      </c>
      <c r="AH905" t="n">
        <v>1</v>
      </c>
      <c r="AI905" t="n">
        <v>2</v>
      </c>
      <c r="AJ905" t="n">
        <v>4</v>
      </c>
      <c r="AK905" t="n">
        <v>4</v>
      </c>
      <c r="AL905" t="n">
        <v>0</v>
      </c>
      <c r="AM905" t="n">
        <v>1</v>
      </c>
      <c r="AN905" t="n">
        <v>0</v>
      </c>
      <c r="AO905" t="n">
        <v>0</v>
      </c>
      <c r="AP905" t="inlineStr">
        <is>
          <t>No</t>
        </is>
      </c>
      <c r="AQ905" t="inlineStr">
        <is>
          <t>No</t>
        </is>
      </c>
      <c r="AS905">
        <f>HYPERLINK("https://creighton-primo.hosted.exlibrisgroup.com/primo-explore/search?tab=default_tab&amp;search_scope=EVERYTHING&amp;vid=01CRU&amp;lang=en_US&amp;offset=0&amp;query=any,contains,991005344139702656","Catalog Record")</f>
        <v/>
      </c>
      <c r="AT905">
        <f>HYPERLINK("http://www.worldcat.org/oclc/313654590","WorldCat Record")</f>
        <v/>
      </c>
      <c r="AU905" t="inlineStr">
        <is>
          <t>195721223:eng</t>
        </is>
      </c>
      <c r="AV905" t="inlineStr">
        <is>
          <t>313654590</t>
        </is>
      </c>
      <c r="AW905" t="inlineStr">
        <is>
          <t>991005344139702656</t>
        </is>
      </c>
      <c r="AX905" t="inlineStr">
        <is>
          <t>991005344139702656</t>
        </is>
      </c>
      <c r="AY905" t="inlineStr">
        <is>
          <t>2263155070002656</t>
        </is>
      </c>
      <c r="AZ905" t="inlineStr">
        <is>
          <t>BOOK</t>
        </is>
      </c>
      <c r="BB905" t="inlineStr">
        <is>
          <t>9781412965378</t>
        </is>
      </c>
      <c r="BC905" t="inlineStr">
        <is>
          <t>32285005552939</t>
        </is>
      </c>
      <c r="BD905" t="inlineStr">
        <is>
          <t>893625848</t>
        </is>
      </c>
    </row>
    <row r="906">
      <c r="A906" t="inlineStr">
        <is>
          <t>No</t>
        </is>
      </c>
      <c r="B906" t="inlineStr">
        <is>
          <t>LB1631 .P584 2002</t>
        </is>
      </c>
      <c r="C906" t="inlineStr">
        <is>
          <t>0                      LB 1631000P  584         2002</t>
        </is>
      </c>
      <c r="D906" t="inlineStr">
        <is>
          <t>Teenage boys and high school English / Bruce Pirie ; foreword by Deborah Appleman.</t>
        </is>
      </c>
      <c r="F906" t="inlineStr">
        <is>
          <t>No</t>
        </is>
      </c>
      <c r="G906" t="inlineStr">
        <is>
          <t>1</t>
        </is>
      </c>
      <c r="H906" t="inlineStr">
        <is>
          <t>No</t>
        </is>
      </c>
      <c r="I906" t="inlineStr">
        <is>
          <t>No</t>
        </is>
      </c>
      <c r="J906" t="inlineStr">
        <is>
          <t>0</t>
        </is>
      </c>
      <c r="K906" t="inlineStr">
        <is>
          <t>Pirie, Bruce, 1953-</t>
        </is>
      </c>
      <c r="L906" t="inlineStr">
        <is>
          <t>Portsmouth, NH : Heinemann, c2002.</t>
        </is>
      </c>
      <c r="M906" t="inlineStr">
        <is>
          <t>2002</t>
        </is>
      </c>
      <c r="O906" t="inlineStr">
        <is>
          <t>eng</t>
        </is>
      </c>
      <c r="P906" t="inlineStr">
        <is>
          <t>nhu</t>
        </is>
      </c>
      <c r="R906" t="inlineStr">
        <is>
          <t xml:space="preserve">LB </t>
        </is>
      </c>
      <c r="S906" t="n">
        <v>1</v>
      </c>
      <c r="T906" t="n">
        <v>1</v>
      </c>
      <c r="U906" t="inlineStr">
        <is>
          <t>2003-04-08</t>
        </is>
      </c>
      <c r="V906" t="inlineStr">
        <is>
          <t>2003-04-08</t>
        </is>
      </c>
      <c r="W906" t="inlineStr">
        <is>
          <t>2003-02-11</t>
        </is>
      </c>
      <c r="X906" t="inlineStr">
        <is>
          <t>2003-02-11</t>
        </is>
      </c>
      <c r="Y906" t="n">
        <v>271</v>
      </c>
      <c r="Z906" t="n">
        <v>236</v>
      </c>
      <c r="AA906" t="n">
        <v>238</v>
      </c>
      <c r="AB906" t="n">
        <v>3</v>
      </c>
      <c r="AC906" t="n">
        <v>3</v>
      </c>
      <c r="AD906" t="n">
        <v>12</v>
      </c>
      <c r="AE906" t="n">
        <v>12</v>
      </c>
      <c r="AF906" t="n">
        <v>1</v>
      </c>
      <c r="AG906" t="n">
        <v>1</v>
      </c>
      <c r="AH906" t="n">
        <v>4</v>
      </c>
      <c r="AI906" t="n">
        <v>4</v>
      </c>
      <c r="AJ906" t="n">
        <v>7</v>
      </c>
      <c r="AK906" t="n">
        <v>7</v>
      </c>
      <c r="AL906" t="n">
        <v>2</v>
      </c>
      <c r="AM906" t="n">
        <v>2</v>
      </c>
      <c r="AN906" t="n">
        <v>0</v>
      </c>
      <c r="AO906" t="n">
        <v>0</v>
      </c>
      <c r="AP906" t="inlineStr">
        <is>
          <t>No</t>
        </is>
      </c>
      <c r="AQ906" t="inlineStr">
        <is>
          <t>Yes</t>
        </is>
      </c>
      <c r="AR906">
        <f>HYPERLINK("http://catalog.hathitrust.org/Record/004308503","HathiTrust Record")</f>
        <v/>
      </c>
      <c r="AS906">
        <f>HYPERLINK("https://creighton-primo.hosted.exlibrisgroup.com/primo-explore/search?tab=default_tab&amp;search_scope=EVERYTHING&amp;vid=01CRU&amp;lang=en_US&amp;offset=0&amp;query=any,contains,991003993099702656","Catalog Record")</f>
        <v/>
      </c>
      <c r="AT906">
        <f>HYPERLINK("http://www.worldcat.org/oclc/50155832","WorldCat Record")</f>
        <v/>
      </c>
      <c r="AU906" t="inlineStr">
        <is>
          <t>1030257:eng</t>
        </is>
      </c>
      <c r="AV906" t="inlineStr">
        <is>
          <t>50155832</t>
        </is>
      </c>
      <c r="AW906" t="inlineStr">
        <is>
          <t>991003993099702656</t>
        </is>
      </c>
      <c r="AX906" t="inlineStr">
        <is>
          <t>991003993099702656</t>
        </is>
      </c>
      <c r="AY906" t="inlineStr">
        <is>
          <t>2268877610002656</t>
        </is>
      </c>
      <c r="AZ906" t="inlineStr">
        <is>
          <t>BOOK</t>
        </is>
      </c>
      <c r="BB906" t="inlineStr">
        <is>
          <t>9780867095364</t>
        </is>
      </c>
      <c r="BC906" t="inlineStr">
        <is>
          <t>32285004698022</t>
        </is>
      </c>
      <c r="BD906" t="inlineStr">
        <is>
          <t>893353149</t>
        </is>
      </c>
    </row>
    <row r="907">
      <c r="A907" t="inlineStr">
        <is>
          <t>No</t>
        </is>
      </c>
      <c r="B907" t="inlineStr">
        <is>
          <t>LB1631 .P63 2002</t>
        </is>
      </c>
      <c r="C907" t="inlineStr">
        <is>
          <t>0                      LB 1631000P  63          2002</t>
        </is>
      </c>
      <c r="D907" t="inlineStr">
        <is>
          <t>"What do I teach for 90 minutes?" : creating a successful block-scheduled English classroom / Carol Porter.</t>
        </is>
      </c>
      <c r="F907" t="inlineStr">
        <is>
          <t>No</t>
        </is>
      </c>
      <c r="G907" t="inlineStr">
        <is>
          <t>1</t>
        </is>
      </c>
      <c r="H907" t="inlineStr">
        <is>
          <t>No</t>
        </is>
      </c>
      <c r="I907" t="inlineStr">
        <is>
          <t>No</t>
        </is>
      </c>
      <c r="J907" t="inlineStr">
        <is>
          <t>0</t>
        </is>
      </c>
      <c r="K907" t="inlineStr">
        <is>
          <t>Porter, Carol (Carol J.)</t>
        </is>
      </c>
      <c r="L907" t="inlineStr">
        <is>
          <t>Urbana, Ill. : National Council of Teachers of English, c2002.</t>
        </is>
      </c>
      <c r="M907" t="inlineStr">
        <is>
          <t>2002</t>
        </is>
      </c>
      <c r="O907" t="inlineStr">
        <is>
          <t>eng</t>
        </is>
      </c>
      <c r="P907" t="inlineStr">
        <is>
          <t>ilu</t>
        </is>
      </c>
      <c r="R907" t="inlineStr">
        <is>
          <t xml:space="preserve">LB </t>
        </is>
      </c>
      <c r="S907" t="n">
        <v>4</v>
      </c>
      <c r="T907" t="n">
        <v>4</v>
      </c>
      <c r="U907" t="inlineStr">
        <is>
          <t>2005-10-25</t>
        </is>
      </c>
      <c r="V907" t="inlineStr">
        <is>
          <t>2005-10-25</t>
        </is>
      </c>
      <c r="W907" t="inlineStr">
        <is>
          <t>2002-10-22</t>
        </is>
      </c>
      <c r="X907" t="inlineStr">
        <is>
          <t>2002-10-22</t>
        </is>
      </c>
      <c r="Y907" t="n">
        <v>180</v>
      </c>
      <c r="Z907" t="n">
        <v>168</v>
      </c>
      <c r="AA907" t="n">
        <v>171</v>
      </c>
      <c r="AB907" t="n">
        <v>4</v>
      </c>
      <c r="AC907" t="n">
        <v>4</v>
      </c>
      <c r="AD907" t="n">
        <v>6</v>
      </c>
      <c r="AE907" t="n">
        <v>6</v>
      </c>
      <c r="AF907" t="n">
        <v>3</v>
      </c>
      <c r="AG907" t="n">
        <v>3</v>
      </c>
      <c r="AH907" t="n">
        <v>0</v>
      </c>
      <c r="AI907" t="n">
        <v>0</v>
      </c>
      <c r="AJ907" t="n">
        <v>1</v>
      </c>
      <c r="AK907" t="n">
        <v>1</v>
      </c>
      <c r="AL907" t="n">
        <v>3</v>
      </c>
      <c r="AM907" t="n">
        <v>3</v>
      </c>
      <c r="AN907" t="n">
        <v>0</v>
      </c>
      <c r="AO907" t="n">
        <v>0</v>
      </c>
      <c r="AP907" t="inlineStr">
        <is>
          <t>No</t>
        </is>
      </c>
      <c r="AQ907" t="inlineStr">
        <is>
          <t>No</t>
        </is>
      </c>
      <c r="AS907">
        <f>HYPERLINK("https://creighton-primo.hosted.exlibrisgroup.com/primo-explore/search?tab=default_tab&amp;search_scope=EVERYTHING&amp;vid=01CRU&amp;lang=en_US&amp;offset=0&amp;query=any,contains,991003879299702656","Catalog Record")</f>
        <v/>
      </c>
      <c r="AT907">
        <f>HYPERLINK("http://www.worldcat.org/oclc/48944486","WorldCat Record")</f>
        <v/>
      </c>
      <c r="AU907" t="inlineStr">
        <is>
          <t>3740837194:eng</t>
        </is>
      </c>
      <c r="AV907" t="inlineStr">
        <is>
          <t>48944486</t>
        </is>
      </c>
      <c r="AW907" t="inlineStr">
        <is>
          <t>991003879299702656</t>
        </is>
      </c>
      <c r="AX907" t="inlineStr">
        <is>
          <t>991003879299702656</t>
        </is>
      </c>
      <c r="AY907" t="inlineStr">
        <is>
          <t>2263158790002656</t>
        </is>
      </c>
      <c r="AZ907" t="inlineStr">
        <is>
          <t>BOOK</t>
        </is>
      </c>
      <c r="BB907" t="inlineStr">
        <is>
          <t>9780814156537</t>
        </is>
      </c>
      <c r="BC907" t="inlineStr">
        <is>
          <t>32285004657036</t>
        </is>
      </c>
      <c r="BD907" t="inlineStr">
        <is>
          <t>893617906</t>
        </is>
      </c>
    </row>
    <row r="908">
      <c r="A908" t="inlineStr">
        <is>
          <t>No</t>
        </is>
      </c>
      <c r="B908" t="inlineStr">
        <is>
          <t>LB1631 .R575 2009</t>
        </is>
      </c>
      <c r="C908" t="inlineStr">
        <is>
          <t>0                      LB 1631000R  575         2009</t>
        </is>
      </c>
      <c r="D908" t="inlineStr">
        <is>
          <t>The write to read : response journals that increase comprehension / Lesley Roessing ; foreword by Alan Lawrence Sitomer.</t>
        </is>
      </c>
      <c r="F908" t="inlineStr">
        <is>
          <t>No</t>
        </is>
      </c>
      <c r="G908" t="inlineStr">
        <is>
          <t>1</t>
        </is>
      </c>
      <c r="H908" t="inlineStr">
        <is>
          <t>No</t>
        </is>
      </c>
      <c r="I908" t="inlineStr">
        <is>
          <t>No</t>
        </is>
      </c>
      <c r="J908" t="inlineStr">
        <is>
          <t>0</t>
        </is>
      </c>
      <c r="K908" t="inlineStr">
        <is>
          <t>Roessing, Lesley.</t>
        </is>
      </c>
      <c r="L908" t="inlineStr">
        <is>
          <t>Thousand Oaks, Calif. : Corwin, c2009.</t>
        </is>
      </c>
      <c r="M908" t="inlineStr">
        <is>
          <t>2009</t>
        </is>
      </c>
      <c r="O908" t="inlineStr">
        <is>
          <t>eng</t>
        </is>
      </c>
      <c r="P908" t="inlineStr">
        <is>
          <t>cau</t>
        </is>
      </c>
      <c r="R908" t="inlineStr">
        <is>
          <t xml:space="preserve">LB </t>
        </is>
      </c>
      <c r="S908" t="n">
        <v>1</v>
      </c>
      <c r="T908" t="n">
        <v>1</v>
      </c>
      <c r="U908" t="inlineStr">
        <is>
          <t>2009-09-30</t>
        </is>
      </c>
      <c r="V908" t="inlineStr">
        <is>
          <t>2009-09-30</t>
        </is>
      </c>
      <c r="W908" t="inlineStr">
        <is>
          <t>2009-09-30</t>
        </is>
      </c>
      <c r="X908" t="inlineStr">
        <is>
          <t>2009-09-30</t>
        </is>
      </c>
      <c r="Y908" t="n">
        <v>150</v>
      </c>
      <c r="Z908" t="n">
        <v>124</v>
      </c>
      <c r="AA908" t="n">
        <v>144</v>
      </c>
      <c r="AB908" t="n">
        <v>2</v>
      </c>
      <c r="AC908" t="n">
        <v>3</v>
      </c>
      <c r="AD908" t="n">
        <v>6</v>
      </c>
      <c r="AE908" t="n">
        <v>8</v>
      </c>
      <c r="AF908" t="n">
        <v>2</v>
      </c>
      <c r="AG908" t="n">
        <v>3</v>
      </c>
      <c r="AH908" t="n">
        <v>1</v>
      </c>
      <c r="AI908" t="n">
        <v>2</v>
      </c>
      <c r="AJ908" t="n">
        <v>5</v>
      </c>
      <c r="AK908" t="n">
        <v>5</v>
      </c>
      <c r="AL908" t="n">
        <v>1</v>
      </c>
      <c r="AM908" t="n">
        <v>2</v>
      </c>
      <c r="AN908" t="n">
        <v>0</v>
      </c>
      <c r="AO908" t="n">
        <v>0</v>
      </c>
      <c r="AP908" t="inlineStr">
        <is>
          <t>No</t>
        </is>
      </c>
      <c r="AQ908" t="inlineStr">
        <is>
          <t>No</t>
        </is>
      </c>
      <c r="AS908">
        <f>HYPERLINK("https://creighton-primo.hosted.exlibrisgroup.com/primo-explore/search?tab=default_tab&amp;search_scope=EVERYTHING&amp;vid=01CRU&amp;lang=en_US&amp;offset=0&amp;query=any,contains,991005337789702656","Catalog Record")</f>
        <v/>
      </c>
      <c r="AT908">
        <f>HYPERLINK("http://www.worldcat.org/oclc/317927708","WorldCat Record")</f>
        <v/>
      </c>
      <c r="AU908" t="inlineStr">
        <is>
          <t>195193431:eng</t>
        </is>
      </c>
      <c r="AV908" t="inlineStr">
        <is>
          <t>317927708</t>
        </is>
      </c>
      <c r="AW908" t="inlineStr">
        <is>
          <t>991005337789702656</t>
        </is>
      </c>
      <c r="AX908" t="inlineStr">
        <is>
          <t>991005337789702656</t>
        </is>
      </c>
      <c r="AY908" t="inlineStr">
        <is>
          <t>2262963760002656</t>
        </is>
      </c>
      <c r="AZ908" t="inlineStr">
        <is>
          <t>BOOK</t>
        </is>
      </c>
      <c r="BB908" t="inlineStr">
        <is>
          <t>9781412974264</t>
        </is>
      </c>
      <c r="BC908" t="inlineStr">
        <is>
          <t>32285005546287</t>
        </is>
      </c>
      <c r="BD908" t="inlineStr">
        <is>
          <t>893707669</t>
        </is>
      </c>
    </row>
    <row r="909">
      <c r="A909" t="inlineStr">
        <is>
          <t>No</t>
        </is>
      </c>
      <c r="B909" t="inlineStr">
        <is>
          <t>LB1631 .R835 2010</t>
        </is>
      </c>
      <c r="C909" t="inlineStr">
        <is>
          <t>0                      LB 1631000R  835         2010</t>
        </is>
      </c>
      <c r="D909" t="inlineStr">
        <is>
          <t>Peer coaching for adolescent writers / Susan Ruckdeschel ; foreword by Diane E. DeFord.</t>
        </is>
      </c>
      <c r="F909" t="inlineStr">
        <is>
          <t>No</t>
        </is>
      </c>
      <c r="G909" t="inlineStr">
        <is>
          <t>1</t>
        </is>
      </c>
      <c r="H909" t="inlineStr">
        <is>
          <t>No</t>
        </is>
      </c>
      <c r="I909" t="inlineStr">
        <is>
          <t>No</t>
        </is>
      </c>
      <c r="J909" t="inlineStr">
        <is>
          <t>0</t>
        </is>
      </c>
      <c r="K909" t="inlineStr">
        <is>
          <t>Ruckdeschel, Susan.</t>
        </is>
      </c>
      <c r="L909" t="inlineStr">
        <is>
          <t>Thousand Oaks, Calif. : Corwin, c2010.</t>
        </is>
      </c>
      <c r="M909" t="inlineStr">
        <is>
          <t>2010</t>
        </is>
      </c>
      <c r="O909" t="inlineStr">
        <is>
          <t>eng</t>
        </is>
      </c>
      <c r="P909" t="inlineStr">
        <is>
          <t>cau</t>
        </is>
      </c>
      <c r="R909" t="inlineStr">
        <is>
          <t xml:space="preserve">LB </t>
        </is>
      </c>
      <c r="S909" t="n">
        <v>1</v>
      </c>
      <c r="T909" t="n">
        <v>1</v>
      </c>
      <c r="U909" t="inlineStr">
        <is>
          <t>2010-02-16</t>
        </is>
      </c>
      <c r="V909" t="inlineStr">
        <is>
          <t>2010-02-16</t>
        </is>
      </c>
      <c r="W909" t="inlineStr">
        <is>
          <t>2010-02-16</t>
        </is>
      </c>
      <c r="X909" t="inlineStr">
        <is>
          <t>2010-02-16</t>
        </is>
      </c>
      <c r="Y909" t="n">
        <v>136</v>
      </c>
      <c r="Z909" t="n">
        <v>104</v>
      </c>
      <c r="AA909" t="n">
        <v>126</v>
      </c>
      <c r="AB909" t="n">
        <v>2</v>
      </c>
      <c r="AC909" t="n">
        <v>3</v>
      </c>
      <c r="AD909" t="n">
        <v>5</v>
      </c>
      <c r="AE909" t="n">
        <v>7</v>
      </c>
      <c r="AF909" t="n">
        <v>2</v>
      </c>
      <c r="AG909" t="n">
        <v>3</v>
      </c>
      <c r="AH909" t="n">
        <v>1</v>
      </c>
      <c r="AI909" t="n">
        <v>2</v>
      </c>
      <c r="AJ909" t="n">
        <v>3</v>
      </c>
      <c r="AK909" t="n">
        <v>3</v>
      </c>
      <c r="AL909" t="n">
        <v>1</v>
      </c>
      <c r="AM909" t="n">
        <v>2</v>
      </c>
      <c r="AN909" t="n">
        <v>0</v>
      </c>
      <c r="AO909" t="n">
        <v>0</v>
      </c>
      <c r="AP909" t="inlineStr">
        <is>
          <t>No</t>
        </is>
      </c>
      <c r="AQ909" t="inlineStr">
        <is>
          <t>No</t>
        </is>
      </c>
      <c r="AS909">
        <f>HYPERLINK("https://creighton-primo.hosted.exlibrisgroup.com/primo-explore/search?tab=default_tab&amp;search_scope=EVERYTHING&amp;vid=01CRU&amp;lang=en_US&amp;offset=0&amp;query=any,contains,991005365889702656","Catalog Record")</f>
        <v/>
      </c>
      <c r="AT909">
        <f>HYPERLINK("http://www.worldcat.org/oclc/320805580","WorldCat Record")</f>
        <v/>
      </c>
      <c r="AU909" t="inlineStr">
        <is>
          <t>198595827:eng</t>
        </is>
      </c>
      <c r="AV909" t="inlineStr">
        <is>
          <t>320805580</t>
        </is>
      </c>
      <c r="AW909" t="inlineStr">
        <is>
          <t>991005365889702656</t>
        </is>
      </c>
      <c r="AX909" t="inlineStr">
        <is>
          <t>991005365889702656</t>
        </is>
      </c>
      <c r="AY909" t="inlineStr">
        <is>
          <t>2268692710002656</t>
        </is>
      </c>
      <c r="AZ909" t="inlineStr">
        <is>
          <t>BOOK</t>
        </is>
      </c>
      <c r="BB909" t="inlineStr">
        <is>
          <t>9781412973885</t>
        </is>
      </c>
      <c r="BC909" t="inlineStr">
        <is>
          <t>32285005574420</t>
        </is>
      </c>
      <c r="BD909" t="inlineStr">
        <is>
          <t>893254902</t>
        </is>
      </c>
    </row>
    <row r="910">
      <c r="A910" t="inlineStr">
        <is>
          <t>No</t>
        </is>
      </c>
      <c r="B910" t="inlineStr">
        <is>
          <t>LB1631 .S285 2003</t>
        </is>
      </c>
      <c r="C910" t="inlineStr">
        <is>
          <t>0                      LB 1631000S  285         2003</t>
        </is>
      </c>
      <c r="D910" t="inlineStr">
        <is>
          <t>Breaking the rules : liberating writers through innovative grammar instruction / Edgar H. Schuster.</t>
        </is>
      </c>
      <c r="F910" t="inlineStr">
        <is>
          <t>No</t>
        </is>
      </c>
      <c r="G910" t="inlineStr">
        <is>
          <t>1</t>
        </is>
      </c>
      <c r="H910" t="inlineStr">
        <is>
          <t>No</t>
        </is>
      </c>
      <c r="I910" t="inlineStr">
        <is>
          <t>No</t>
        </is>
      </c>
      <c r="J910" t="inlineStr">
        <is>
          <t>0</t>
        </is>
      </c>
      <c r="K910" t="inlineStr">
        <is>
          <t>Schuster, Edgar Howard, 1930-</t>
        </is>
      </c>
      <c r="L910" t="inlineStr">
        <is>
          <t>Portsmouth, NH : Heinemann, c2003.</t>
        </is>
      </c>
      <c r="M910" t="inlineStr">
        <is>
          <t>2003</t>
        </is>
      </c>
      <c r="O910" t="inlineStr">
        <is>
          <t>eng</t>
        </is>
      </c>
      <c r="P910" t="inlineStr">
        <is>
          <t>nhu</t>
        </is>
      </c>
      <c r="R910" t="inlineStr">
        <is>
          <t xml:space="preserve">LB </t>
        </is>
      </c>
      <c r="S910" t="n">
        <v>2</v>
      </c>
      <c r="T910" t="n">
        <v>2</v>
      </c>
      <c r="U910" t="inlineStr">
        <is>
          <t>2010-02-10</t>
        </is>
      </c>
      <c r="V910" t="inlineStr">
        <is>
          <t>2010-02-10</t>
        </is>
      </c>
      <c r="W910" t="inlineStr">
        <is>
          <t>2003-06-09</t>
        </is>
      </c>
      <c r="X910" t="inlineStr">
        <is>
          <t>2003-06-09</t>
        </is>
      </c>
      <c r="Y910" t="n">
        <v>326</v>
      </c>
      <c r="Z910" t="n">
        <v>303</v>
      </c>
      <c r="AA910" t="n">
        <v>309</v>
      </c>
      <c r="AB910" t="n">
        <v>4</v>
      </c>
      <c r="AC910" t="n">
        <v>4</v>
      </c>
      <c r="AD910" t="n">
        <v>19</v>
      </c>
      <c r="AE910" t="n">
        <v>19</v>
      </c>
      <c r="AF910" t="n">
        <v>7</v>
      </c>
      <c r="AG910" t="n">
        <v>7</v>
      </c>
      <c r="AH910" t="n">
        <v>4</v>
      </c>
      <c r="AI910" t="n">
        <v>4</v>
      </c>
      <c r="AJ910" t="n">
        <v>8</v>
      </c>
      <c r="AK910" t="n">
        <v>8</v>
      </c>
      <c r="AL910" t="n">
        <v>3</v>
      </c>
      <c r="AM910" t="n">
        <v>3</v>
      </c>
      <c r="AN910" t="n">
        <v>0</v>
      </c>
      <c r="AO910" t="n">
        <v>0</v>
      </c>
      <c r="AP910" t="inlineStr">
        <is>
          <t>No</t>
        </is>
      </c>
      <c r="AQ910" t="inlineStr">
        <is>
          <t>Yes</t>
        </is>
      </c>
      <c r="AR910">
        <f>HYPERLINK("http://catalog.hathitrust.org/Record/004308887","HathiTrust Record")</f>
        <v/>
      </c>
      <c r="AS910">
        <f>HYPERLINK("https://creighton-primo.hosted.exlibrisgroup.com/primo-explore/search?tab=default_tab&amp;search_scope=EVERYTHING&amp;vid=01CRU&amp;lang=en_US&amp;offset=0&amp;query=any,contains,991004068029702656","Catalog Record")</f>
        <v/>
      </c>
      <c r="AT910">
        <f>HYPERLINK("http://www.worldcat.org/oclc/50684241","WorldCat Record")</f>
        <v/>
      </c>
      <c r="AU910" t="inlineStr">
        <is>
          <t>1005222:eng</t>
        </is>
      </c>
      <c r="AV910" t="inlineStr">
        <is>
          <t>50684241</t>
        </is>
      </c>
      <c r="AW910" t="inlineStr">
        <is>
          <t>991004068029702656</t>
        </is>
      </c>
      <c r="AX910" t="inlineStr">
        <is>
          <t>991004068029702656</t>
        </is>
      </c>
      <c r="AY910" t="inlineStr">
        <is>
          <t>2271901630002656</t>
        </is>
      </c>
      <c r="AZ910" t="inlineStr">
        <is>
          <t>BOOK</t>
        </is>
      </c>
      <c r="BB910" t="inlineStr">
        <is>
          <t>9780325004785</t>
        </is>
      </c>
      <c r="BC910" t="inlineStr">
        <is>
          <t>32285004750955</t>
        </is>
      </c>
      <c r="BD910" t="inlineStr">
        <is>
          <t>893235015</t>
        </is>
      </c>
    </row>
    <row r="911">
      <c r="A911" t="inlineStr">
        <is>
          <t>No</t>
        </is>
      </c>
      <c r="B911" t="inlineStr">
        <is>
          <t>LB1631 .S457 2010</t>
        </is>
      </c>
      <c r="C911" t="inlineStr">
        <is>
          <t>0                      LB 1631000S  457         2010</t>
        </is>
      </c>
      <c r="D911" t="inlineStr">
        <is>
          <t>Building content literacy : strategies for the adolescent learner / Roberta L. Sejnost, Sharon M. Thiese.</t>
        </is>
      </c>
      <c r="F911" t="inlineStr">
        <is>
          <t>No</t>
        </is>
      </c>
      <c r="G911" t="inlineStr">
        <is>
          <t>1</t>
        </is>
      </c>
      <c r="H911" t="inlineStr">
        <is>
          <t>No</t>
        </is>
      </c>
      <c r="I911" t="inlineStr">
        <is>
          <t>No</t>
        </is>
      </c>
      <c r="J911" t="inlineStr">
        <is>
          <t>0</t>
        </is>
      </c>
      <c r="K911" t="inlineStr">
        <is>
          <t>Sejnost, Roberta.</t>
        </is>
      </c>
      <c r="L911" t="inlineStr">
        <is>
          <t>Thousand Oaks, Calif. : Corwin, c2010.</t>
        </is>
      </c>
      <c r="M911" t="inlineStr">
        <is>
          <t>2010</t>
        </is>
      </c>
      <c r="O911" t="inlineStr">
        <is>
          <t>eng</t>
        </is>
      </c>
      <c r="P911" t="inlineStr">
        <is>
          <t>cau</t>
        </is>
      </c>
      <c r="R911" t="inlineStr">
        <is>
          <t xml:space="preserve">LB </t>
        </is>
      </c>
      <c r="S911" t="n">
        <v>1</v>
      </c>
      <c r="T911" t="n">
        <v>1</v>
      </c>
      <c r="U911" t="inlineStr">
        <is>
          <t>2010-04-26</t>
        </is>
      </c>
      <c r="V911" t="inlineStr">
        <is>
          <t>2010-04-26</t>
        </is>
      </c>
      <c r="W911" t="inlineStr">
        <is>
          <t>2010-04-26</t>
        </is>
      </c>
      <c r="X911" t="inlineStr">
        <is>
          <t>2010-04-26</t>
        </is>
      </c>
      <c r="Y911" t="n">
        <v>171</v>
      </c>
      <c r="Z911" t="n">
        <v>132</v>
      </c>
      <c r="AA911" t="n">
        <v>426</v>
      </c>
      <c r="AB911" t="n">
        <v>3</v>
      </c>
      <c r="AC911" t="n">
        <v>6</v>
      </c>
      <c r="AD911" t="n">
        <v>9</v>
      </c>
      <c r="AE911" t="n">
        <v>23</v>
      </c>
      <c r="AF911" t="n">
        <v>2</v>
      </c>
      <c r="AG911" t="n">
        <v>7</v>
      </c>
      <c r="AH911" t="n">
        <v>1</v>
      </c>
      <c r="AI911" t="n">
        <v>6</v>
      </c>
      <c r="AJ911" t="n">
        <v>6</v>
      </c>
      <c r="AK911" t="n">
        <v>11</v>
      </c>
      <c r="AL911" t="n">
        <v>2</v>
      </c>
      <c r="AM911" t="n">
        <v>5</v>
      </c>
      <c r="AN911" t="n">
        <v>0</v>
      </c>
      <c r="AO911" t="n">
        <v>0</v>
      </c>
      <c r="AP911" t="inlineStr">
        <is>
          <t>No</t>
        </is>
      </c>
      <c r="AQ911" t="inlineStr">
        <is>
          <t>No</t>
        </is>
      </c>
      <c r="AS911">
        <f>HYPERLINK("https://creighton-primo.hosted.exlibrisgroup.com/primo-explore/search?tab=default_tab&amp;search_scope=EVERYTHING&amp;vid=01CRU&amp;lang=en_US&amp;offset=0&amp;query=any,contains,991005391909702656","Catalog Record")</f>
        <v/>
      </c>
      <c r="AT911">
        <f>HYPERLINK("http://www.worldcat.org/oclc/432993524","WorldCat Record")</f>
        <v/>
      </c>
      <c r="AU911" t="inlineStr">
        <is>
          <t>319706158:eng</t>
        </is>
      </c>
      <c r="AV911" t="inlineStr">
        <is>
          <t>432993524</t>
        </is>
      </c>
      <c r="AW911" t="inlineStr">
        <is>
          <t>991005391909702656</t>
        </is>
      </c>
      <c r="AX911" t="inlineStr">
        <is>
          <t>991005391909702656</t>
        </is>
      </c>
      <c r="AY911" t="inlineStr">
        <is>
          <t>2269180610002656</t>
        </is>
      </c>
      <c r="AZ911" t="inlineStr">
        <is>
          <t>BOOK</t>
        </is>
      </c>
      <c r="BB911" t="inlineStr">
        <is>
          <t>9781412957151</t>
        </is>
      </c>
      <c r="BC911" t="inlineStr">
        <is>
          <t>32285005567077</t>
        </is>
      </c>
      <c r="BD911" t="inlineStr">
        <is>
          <t>893443942</t>
        </is>
      </c>
    </row>
    <row r="912">
      <c r="A912" t="inlineStr">
        <is>
          <t>No</t>
        </is>
      </c>
      <c r="B912" t="inlineStr">
        <is>
          <t>LB1631 .S5155 2006</t>
        </is>
      </c>
      <c r="C912" t="inlineStr">
        <is>
          <t>0                      LB 1631000S  5155        2006</t>
        </is>
      </c>
      <c r="D912" t="inlineStr">
        <is>
          <t>Purposeful writing : genre study in the secondary writing workshop / Rebecca Bowers Sipe, Tracy Rosewarne.</t>
        </is>
      </c>
      <c r="F912" t="inlineStr">
        <is>
          <t>No</t>
        </is>
      </c>
      <c r="G912" t="inlineStr">
        <is>
          <t>1</t>
        </is>
      </c>
      <c r="H912" t="inlineStr">
        <is>
          <t>No</t>
        </is>
      </c>
      <c r="I912" t="inlineStr">
        <is>
          <t>No</t>
        </is>
      </c>
      <c r="J912" t="inlineStr">
        <is>
          <t>0</t>
        </is>
      </c>
      <c r="K912" t="inlineStr">
        <is>
          <t>Sipe, Rebecca Bowers.</t>
        </is>
      </c>
      <c r="L912" t="inlineStr">
        <is>
          <t>Portsmouth, NH : Heinemann, c2006.</t>
        </is>
      </c>
      <c r="M912" t="inlineStr">
        <is>
          <t>2006</t>
        </is>
      </c>
      <c r="O912" t="inlineStr">
        <is>
          <t>eng</t>
        </is>
      </c>
      <c r="P912" t="inlineStr">
        <is>
          <t>nhu</t>
        </is>
      </c>
      <c r="R912" t="inlineStr">
        <is>
          <t xml:space="preserve">LB </t>
        </is>
      </c>
      <c r="S912" t="n">
        <v>2</v>
      </c>
      <c r="T912" t="n">
        <v>2</v>
      </c>
      <c r="U912" t="inlineStr">
        <is>
          <t>2006-10-26</t>
        </is>
      </c>
      <c r="V912" t="inlineStr">
        <is>
          <t>2006-10-26</t>
        </is>
      </c>
      <c r="W912" t="inlineStr">
        <is>
          <t>2006-10-26</t>
        </is>
      </c>
      <c r="X912" t="inlineStr">
        <is>
          <t>2006-10-26</t>
        </is>
      </c>
      <c r="Y912" t="n">
        <v>116</v>
      </c>
      <c r="Z912" t="n">
        <v>104</v>
      </c>
      <c r="AA912" t="n">
        <v>105</v>
      </c>
      <c r="AB912" t="n">
        <v>1</v>
      </c>
      <c r="AC912" t="n">
        <v>1</v>
      </c>
      <c r="AD912" t="n">
        <v>3</v>
      </c>
      <c r="AE912" t="n">
        <v>3</v>
      </c>
      <c r="AF912" t="n">
        <v>1</v>
      </c>
      <c r="AG912" t="n">
        <v>1</v>
      </c>
      <c r="AH912" t="n">
        <v>0</v>
      </c>
      <c r="AI912" t="n">
        <v>0</v>
      </c>
      <c r="AJ912" t="n">
        <v>3</v>
      </c>
      <c r="AK912" t="n">
        <v>3</v>
      </c>
      <c r="AL912" t="n">
        <v>0</v>
      </c>
      <c r="AM912" t="n">
        <v>0</v>
      </c>
      <c r="AN912" t="n">
        <v>0</v>
      </c>
      <c r="AO912" t="n">
        <v>0</v>
      </c>
      <c r="AP912" t="inlineStr">
        <is>
          <t>No</t>
        </is>
      </c>
      <c r="AQ912" t="inlineStr">
        <is>
          <t>Yes</t>
        </is>
      </c>
      <c r="AR912">
        <f>HYPERLINK("http://catalog.hathitrust.org/Record/102047438","HathiTrust Record")</f>
        <v/>
      </c>
      <c r="AS912">
        <f>HYPERLINK("https://creighton-primo.hosted.exlibrisgroup.com/primo-explore/search?tab=default_tab&amp;search_scope=EVERYTHING&amp;vid=01CRU&amp;lang=en_US&amp;offset=0&amp;query=any,contains,991004958409702656","Catalog Record")</f>
        <v/>
      </c>
      <c r="AT912">
        <f>HYPERLINK("http://www.worldcat.org/oclc/70167598","WorldCat Record")</f>
        <v/>
      </c>
      <c r="AU912" t="inlineStr">
        <is>
          <t>55501409:eng</t>
        </is>
      </c>
      <c r="AV912" t="inlineStr">
        <is>
          <t>70167598</t>
        </is>
      </c>
      <c r="AW912" t="inlineStr">
        <is>
          <t>991004958409702656</t>
        </is>
      </c>
      <c r="AX912" t="inlineStr">
        <is>
          <t>991004958409702656</t>
        </is>
      </c>
      <c r="AY912" t="inlineStr">
        <is>
          <t>2258749790002656</t>
        </is>
      </c>
      <c r="AZ912" t="inlineStr">
        <is>
          <t>BOOK</t>
        </is>
      </c>
      <c r="BB912" t="inlineStr">
        <is>
          <t>9780325009551</t>
        </is>
      </c>
      <c r="BC912" t="inlineStr">
        <is>
          <t>32285005233407</t>
        </is>
      </c>
      <c r="BD912" t="inlineStr">
        <is>
          <t>893776628</t>
        </is>
      </c>
    </row>
    <row r="913">
      <c r="A913" t="inlineStr">
        <is>
          <t>No</t>
        </is>
      </c>
      <c r="B913" t="inlineStr">
        <is>
          <t>LB1631 .S52 1996</t>
        </is>
      </c>
      <c r="C913" t="inlineStr">
        <is>
          <t>0                      LB 1631000S  52          1996</t>
        </is>
      </c>
      <c r="D913" t="inlineStr">
        <is>
          <t>Standards in practice, grades 9-12 / Peter Smagorinsky.</t>
        </is>
      </c>
      <c r="F913" t="inlineStr">
        <is>
          <t>No</t>
        </is>
      </c>
      <c r="G913" t="inlineStr">
        <is>
          <t>1</t>
        </is>
      </c>
      <c r="H913" t="inlineStr">
        <is>
          <t>No</t>
        </is>
      </c>
      <c r="I913" t="inlineStr">
        <is>
          <t>No</t>
        </is>
      </c>
      <c r="J913" t="inlineStr">
        <is>
          <t>0</t>
        </is>
      </c>
      <c r="K913" t="inlineStr">
        <is>
          <t>Smagorinsky, Peter.</t>
        </is>
      </c>
      <c r="L913" t="inlineStr">
        <is>
          <t>Urbana, Ill. : National Council of Teachers of English, c1996.</t>
        </is>
      </c>
      <c r="M913" t="inlineStr">
        <is>
          <t>1996</t>
        </is>
      </c>
      <c r="O913" t="inlineStr">
        <is>
          <t>eng</t>
        </is>
      </c>
      <c r="P913" t="inlineStr">
        <is>
          <t>ilu</t>
        </is>
      </c>
      <c r="R913" t="inlineStr">
        <is>
          <t xml:space="preserve">LB </t>
        </is>
      </c>
      <c r="S913" t="n">
        <v>4</v>
      </c>
      <c r="T913" t="n">
        <v>4</v>
      </c>
      <c r="U913" t="inlineStr">
        <is>
          <t>2006-10-15</t>
        </is>
      </c>
      <c r="V913" t="inlineStr">
        <is>
          <t>2006-10-15</t>
        </is>
      </c>
      <c r="W913" t="inlineStr">
        <is>
          <t>1997-10-16</t>
        </is>
      </c>
      <c r="X913" t="inlineStr">
        <is>
          <t>1997-10-16</t>
        </is>
      </c>
      <c r="Y913" t="n">
        <v>301</v>
      </c>
      <c r="Z913" t="n">
        <v>288</v>
      </c>
      <c r="AA913" t="n">
        <v>291</v>
      </c>
      <c r="AB913" t="n">
        <v>2</v>
      </c>
      <c r="AC913" t="n">
        <v>2</v>
      </c>
      <c r="AD913" t="n">
        <v>12</v>
      </c>
      <c r="AE913" t="n">
        <v>12</v>
      </c>
      <c r="AF913" t="n">
        <v>4</v>
      </c>
      <c r="AG913" t="n">
        <v>4</v>
      </c>
      <c r="AH913" t="n">
        <v>3</v>
      </c>
      <c r="AI913" t="n">
        <v>3</v>
      </c>
      <c r="AJ913" t="n">
        <v>6</v>
      </c>
      <c r="AK913" t="n">
        <v>6</v>
      </c>
      <c r="AL913" t="n">
        <v>1</v>
      </c>
      <c r="AM913" t="n">
        <v>1</v>
      </c>
      <c r="AN913" t="n">
        <v>0</v>
      </c>
      <c r="AO913" t="n">
        <v>0</v>
      </c>
      <c r="AP913" t="inlineStr">
        <is>
          <t>No</t>
        </is>
      </c>
      <c r="AQ913" t="inlineStr">
        <is>
          <t>No</t>
        </is>
      </c>
      <c r="AS913">
        <f>HYPERLINK("https://creighton-primo.hosted.exlibrisgroup.com/primo-explore/search?tab=default_tab&amp;search_scope=EVERYTHING&amp;vid=01CRU&amp;lang=en_US&amp;offset=0&amp;query=any,contains,991002584239702656","Catalog Record")</f>
        <v/>
      </c>
      <c r="AT913">
        <f>HYPERLINK("http://www.worldcat.org/oclc/33864853","WorldCat Record")</f>
        <v/>
      </c>
      <c r="AU913" t="inlineStr">
        <is>
          <t>4017849822:eng</t>
        </is>
      </c>
      <c r="AV913" t="inlineStr">
        <is>
          <t>33864853</t>
        </is>
      </c>
      <c r="AW913" t="inlineStr">
        <is>
          <t>991002584239702656</t>
        </is>
      </c>
      <c r="AX913" t="inlineStr">
        <is>
          <t>991002584239702656</t>
        </is>
      </c>
      <c r="AY913" t="inlineStr">
        <is>
          <t>2265731820002656</t>
        </is>
      </c>
      <c r="AZ913" t="inlineStr">
        <is>
          <t>BOOK</t>
        </is>
      </c>
      <c r="BB913" t="inlineStr">
        <is>
          <t>9780814146958</t>
        </is>
      </c>
      <c r="BC913" t="inlineStr">
        <is>
          <t>32285003255493</t>
        </is>
      </c>
      <c r="BD913" t="inlineStr">
        <is>
          <t>893257483</t>
        </is>
      </c>
    </row>
    <row r="914">
      <c r="A914" t="inlineStr">
        <is>
          <t>No</t>
        </is>
      </c>
      <c r="B914" t="inlineStr">
        <is>
          <t>LB1631 .S733 2002</t>
        </is>
      </c>
      <c r="C914" t="inlineStr">
        <is>
          <t>0                      LB 1631000S  733         2002</t>
        </is>
      </c>
      <c r="D914" t="inlineStr">
        <is>
          <t>Reading &amp; writing together : collaborative literacy in action / Nancy Steineke ; foreword by Harvey Daniels.</t>
        </is>
      </c>
      <c r="F914" t="inlineStr">
        <is>
          <t>No</t>
        </is>
      </c>
      <c r="G914" t="inlineStr">
        <is>
          <t>1</t>
        </is>
      </c>
      <c r="H914" t="inlineStr">
        <is>
          <t>No</t>
        </is>
      </c>
      <c r="I914" t="inlineStr">
        <is>
          <t>No</t>
        </is>
      </c>
      <c r="J914" t="inlineStr">
        <is>
          <t>0</t>
        </is>
      </c>
      <c r="K914" t="inlineStr">
        <is>
          <t>Steineke, Nancy.</t>
        </is>
      </c>
      <c r="L914" t="inlineStr">
        <is>
          <t>Portsmouth, NH : Heinemann, c2002.</t>
        </is>
      </c>
      <c r="M914" t="inlineStr">
        <is>
          <t>2002</t>
        </is>
      </c>
      <c r="O914" t="inlineStr">
        <is>
          <t>eng</t>
        </is>
      </c>
      <c r="P914" t="inlineStr">
        <is>
          <t>nhu</t>
        </is>
      </c>
      <c r="R914" t="inlineStr">
        <is>
          <t xml:space="preserve">LB </t>
        </is>
      </c>
      <c r="S914" t="n">
        <v>8</v>
      </c>
      <c r="T914" t="n">
        <v>8</v>
      </c>
      <c r="U914" t="inlineStr">
        <is>
          <t>2008-02-20</t>
        </is>
      </c>
      <c r="V914" t="inlineStr">
        <is>
          <t>2008-02-20</t>
        </is>
      </c>
      <c r="W914" t="inlineStr">
        <is>
          <t>2003-02-11</t>
        </is>
      </c>
      <c r="X914" t="inlineStr">
        <is>
          <t>2003-02-11</t>
        </is>
      </c>
      <c r="Y914" t="n">
        <v>212</v>
      </c>
      <c r="Z914" t="n">
        <v>188</v>
      </c>
      <c r="AA914" t="n">
        <v>191</v>
      </c>
      <c r="AB914" t="n">
        <v>2</v>
      </c>
      <c r="AC914" t="n">
        <v>2</v>
      </c>
      <c r="AD914" t="n">
        <v>9</v>
      </c>
      <c r="AE914" t="n">
        <v>9</v>
      </c>
      <c r="AF914" t="n">
        <v>1</v>
      </c>
      <c r="AG914" t="n">
        <v>1</v>
      </c>
      <c r="AH914" t="n">
        <v>3</v>
      </c>
      <c r="AI914" t="n">
        <v>3</v>
      </c>
      <c r="AJ914" t="n">
        <v>5</v>
      </c>
      <c r="AK914" t="n">
        <v>5</v>
      </c>
      <c r="AL914" t="n">
        <v>1</v>
      </c>
      <c r="AM914" t="n">
        <v>1</v>
      </c>
      <c r="AN914" t="n">
        <v>0</v>
      </c>
      <c r="AO914" t="n">
        <v>0</v>
      </c>
      <c r="AP914" t="inlineStr">
        <is>
          <t>No</t>
        </is>
      </c>
      <c r="AQ914" t="inlineStr">
        <is>
          <t>Yes</t>
        </is>
      </c>
      <c r="AR914">
        <f>HYPERLINK("http://catalog.hathitrust.org/Record/004302633","HathiTrust Record")</f>
        <v/>
      </c>
      <c r="AS914">
        <f>HYPERLINK("https://creighton-primo.hosted.exlibrisgroup.com/primo-explore/search?tab=default_tab&amp;search_scope=EVERYTHING&amp;vid=01CRU&amp;lang=en_US&amp;offset=0&amp;query=any,contains,991003993139702656","Catalog Record")</f>
        <v/>
      </c>
      <c r="AT914">
        <f>HYPERLINK("http://www.worldcat.org/oclc/49619092","WorldCat Record")</f>
        <v/>
      </c>
      <c r="AU914" t="inlineStr">
        <is>
          <t>478291783:eng</t>
        </is>
      </c>
      <c r="AV914" t="inlineStr">
        <is>
          <t>49619092</t>
        </is>
      </c>
      <c r="AW914" t="inlineStr">
        <is>
          <t>991003993139702656</t>
        </is>
      </c>
      <c r="AX914" t="inlineStr">
        <is>
          <t>991003993139702656</t>
        </is>
      </c>
      <c r="AY914" t="inlineStr">
        <is>
          <t>2269050760002656</t>
        </is>
      </c>
      <c r="AZ914" t="inlineStr">
        <is>
          <t>BOOK</t>
        </is>
      </c>
      <c r="BB914" t="inlineStr">
        <is>
          <t>9780325004433</t>
        </is>
      </c>
      <c r="BC914" t="inlineStr">
        <is>
          <t>32285004698030</t>
        </is>
      </c>
      <c r="BD914" t="inlineStr">
        <is>
          <t>893253117</t>
        </is>
      </c>
    </row>
    <row r="915">
      <c r="A915" t="inlineStr">
        <is>
          <t>No</t>
        </is>
      </c>
      <c r="B915" t="inlineStr">
        <is>
          <t>LB1631 .T27 1983</t>
        </is>
      </c>
      <c r="C915" t="inlineStr">
        <is>
          <t>0                      LB 1631000T  27          1983</t>
        </is>
      </c>
      <c r="D915" t="inlineStr">
        <is>
          <t>Teaching writing in the content areas : senior high school / Stephen N. Tchudi and Joanne Yates.</t>
        </is>
      </c>
      <c r="F915" t="inlineStr">
        <is>
          <t>No</t>
        </is>
      </c>
      <c r="G915" t="inlineStr">
        <is>
          <t>1</t>
        </is>
      </c>
      <c r="H915" t="inlineStr">
        <is>
          <t>No</t>
        </is>
      </c>
      <c r="I915" t="inlineStr">
        <is>
          <t>Yes</t>
        </is>
      </c>
      <c r="J915" t="inlineStr">
        <is>
          <t>0</t>
        </is>
      </c>
      <c r="K915" t="inlineStr">
        <is>
          <t>Tchudi, Stephen, 1942-</t>
        </is>
      </c>
      <c r="L915" t="inlineStr">
        <is>
          <t>Washington, D.C. : NEA Professional Library, c1983.</t>
        </is>
      </c>
      <c r="M915" t="inlineStr">
        <is>
          <t>1983</t>
        </is>
      </c>
      <c r="O915" t="inlineStr">
        <is>
          <t>eng</t>
        </is>
      </c>
      <c r="P915" t="inlineStr">
        <is>
          <t>dcu</t>
        </is>
      </c>
      <c r="R915" t="inlineStr">
        <is>
          <t xml:space="preserve">LB </t>
        </is>
      </c>
      <c r="S915" t="n">
        <v>1</v>
      </c>
      <c r="T915" t="n">
        <v>1</v>
      </c>
      <c r="U915" t="inlineStr">
        <is>
          <t>2002-02-08</t>
        </is>
      </c>
      <c r="V915" t="inlineStr">
        <is>
          <t>2002-02-08</t>
        </is>
      </c>
      <c r="W915" t="inlineStr">
        <is>
          <t>1993-02-02</t>
        </is>
      </c>
      <c r="X915" t="inlineStr">
        <is>
          <t>1993-02-02</t>
        </is>
      </c>
      <c r="Y915" t="n">
        <v>466</v>
      </c>
      <c r="Z915" t="n">
        <v>440</v>
      </c>
      <c r="AA915" t="n">
        <v>646</v>
      </c>
      <c r="AB915" t="n">
        <v>4</v>
      </c>
      <c r="AC915" t="n">
        <v>8</v>
      </c>
      <c r="AD915" t="n">
        <v>15</v>
      </c>
      <c r="AE915" t="n">
        <v>26</v>
      </c>
      <c r="AF915" t="n">
        <v>6</v>
      </c>
      <c r="AG915" t="n">
        <v>9</v>
      </c>
      <c r="AH915" t="n">
        <v>2</v>
      </c>
      <c r="AI915" t="n">
        <v>3</v>
      </c>
      <c r="AJ915" t="n">
        <v>8</v>
      </c>
      <c r="AK915" t="n">
        <v>13</v>
      </c>
      <c r="AL915" t="n">
        <v>3</v>
      </c>
      <c r="AM915" t="n">
        <v>6</v>
      </c>
      <c r="AN915" t="n">
        <v>0</v>
      </c>
      <c r="AO915" t="n">
        <v>0</v>
      </c>
      <c r="AP915" t="inlineStr">
        <is>
          <t>No</t>
        </is>
      </c>
      <c r="AQ915" t="inlineStr">
        <is>
          <t>No</t>
        </is>
      </c>
      <c r="AS915">
        <f>HYPERLINK("https://creighton-primo.hosted.exlibrisgroup.com/primo-explore/search?tab=default_tab&amp;search_scope=EVERYTHING&amp;vid=01CRU&amp;lang=en_US&amp;offset=0&amp;query=any,contains,991000132659702656","Catalog Record")</f>
        <v/>
      </c>
      <c r="AT915">
        <f>HYPERLINK("http://www.worldcat.org/oclc/9112261","WorldCat Record")</f>
        <v/>
      </c>
      <c r="AU915" t="inlineStr">
        <is>
          <t>1075760:eng</t>
        </is>
      </c>
      <c r="AV915" t="inlineStr">
        <is>
          <t>9112261</t>
        </is>
      </c>
      <c r="AW915" t="inlineStr">
        <is>
          <t>991000132659702656</t>
        </is>
      </c>
      <c r="AX915" t="inlineStr">
        <is>
          <t>991000132659702656</t>
        </is>
      </c>
      <c r="AY915" t="inlineStr">
        <is>
          <t>2265282300002656</t>
        </is>
      </c>
      <c r="AZ915" t="inlineStr">
        <is>
          <t>BOOK</t>
        </is>
      </c>
      <c r="BB915" t="inlineStr">
        <is>
          <t>9780810632288</t>
        </is>
      </c>
      <c r="BC915" t="inlineStr">
        <is>
          <t>32285001480747</t>
        </is>
      </c>
      <c r="BD915" t="inlineStr">
        <is>
          <t>893320840</t>
        </is>
      </c>
    </row>
    <row r="916">
      <c r="A916" t="inlineStr">
        <is>
          <t>No</t>
        </is>
      </c>
      <c r="B916" t="inlineStr">
        <is>
          <t>LB1631 .T33 2001</t>
        </is>
      </c>
      <c r="C916" t="inlineStr">
        <is>
          <t>0                      LB 1631000T  33          2001</t>
        </is>
      </c>
      <c r="D916" t="inlineStr">
        <is>
          <t>Teaching secondary English : readings and applications / [edited by] Daniel Sheridan.</t>
        </is>
      </c>
      <c r="F916" t="inlineStr">
        <is>
          <t>No</t>
        </is>
      </c>
      <c r="G916" t="inlineStr">
        <is>
          <t>1</t>
        </is>
      </c>
      <c r="H916" t="inlineStr">
        <is>
          <t>No</t>
        </is>
      </c>
      <c r="I916" t="inlineStr">
        <is>
          <t>No</t>
        </is>
      </c>
      <c r="J916" t="inlineStr">
        <is>
          <t>0</t>
        </is>
      </c>
      <c r="L916" t="inlineStr">
        <is>
          <t>Mahwah, N.J. : L. Erlbaum Associates, 2001.</t>
        </is>
      </c>
      <c r="M916" t="inlineStr">
        <is>
          <t>2001</t>
        </is>
      </c>
      <c r="N916" t="inlineStr">
        <is>
          <t>2nd ed.</t>
        </is>
      </c>
      <c r="O916" t="inlineStr">
        <is>
          <t>eng</t>
        </is>
      </c>
      <c r="P916" t="inlineStr">
        <is>
          <t>nju</t>
        </is>
      </c>
      <c r="R916" t="inlineStr">
        <is>
          <t xml:space="preserve">LB </t>
        </is>
      </c>
      <c r="S916" t="n">
        <v>3</v>
      </c>
      <c r="T916" t="n">
        <v>3</v>
      </c>
      <c r="U916" t="inlineStr">
        <is>
          <t>2002-02-08</t>
        </is>
      </c>
      <c r="V916" t="inlineStr">
        <is>
          <t>2002-02-08</t>
        </is>
      </c>
      <c r="W916" t="inlineStr">
        <is>
          <t>2001-03-01</t>
        </is>
      </c>
      <c r="X916" t="inlineStr">
        <is>
          <t>2001-03-01</t>
        </is>
      </c>
      <c r="Y916" t="n">
        <v>193</v>
      </c>
      <c r="Z916" t="n">
        <v>156</v>
      </c>
      <c r="AA916" t="n">
        <v>1255</v>
      </c>
      <c r="AB916" t="n">
        <v>3</v>
      </c>
      <c r="AC916" t="n">
        <v>47</v>
      </c>
      <c r="AD916" t="n">
        <v>11</v>
      </c>
      <c r="AE916" t="n">
        <v>45</v>
      </c>
      <c r="AF916" t="n">
        <v>4</v>
      </c>
      <c r="AG916" t="n">
        <v>16</v>
      </c>
      <c r="AH916" t="n">
        <v>2</v>
      </c>
      <c r="AI916" t="n">
        <v>6</v>
      </c>
      <c r="AJ916" t="n">
        <v>4</v>
      </c>
      <c r="AK916" t="n">
        <v>14</v>
      </c>
      <c r="AL916" t="n">
        <v>2</v>
      </c>
      <c r="AM916" t="n">
        <v>15</v>
      </c>
      <c r="AN916" t="n">
        <v>0</v>
      </c>
      <c r="AO916" t="n">
        <v>1</v>
      </c>
      <c r="AP916" t="inlineStr">
        <is>
          <t>No</t>
        </is>
      </c>
      <c r="AQ916" t="inlineStr">
        <is>
          <t>No</t>
        </is>
      </c>
      <c r="AS916">
        <f>HYPERLINK("https://creighton-primo.hosted.exlibrisgroup.com/primo-explore/search?tab=default_tab&amp;search_scope=EVERYTHING&amp;vid=01CRU&amp;lang=en_US&amp;offset=0&amp;query=any,contains,991003488229702656","Catalog Record")</f>
        <v/>
      </c>
      <c r="AT916">
        <f>HYPERLINK("http://www.worldcat.org/oclc/45668829","WorldCat Record")</f>
        <v/>
      </c>
      <c r="AU916" t="inlineStr">
        <is>
          <t>799538622:eng</t>
        </is>
      </c>
      <c r="AV916" t="inlineStr">
        <is>
          <t>45668829</t>
        </is>
      </c>
      <c r="AW916" t="inlineStr">
        <is>
          <t>991003488229702656</t>
        </is>
      </c>
      <c r="AX916" t="inlineStr">
        <is>
          <t>991003488229702656</t>
        </is>
      </c>
      <c r="AY916" t="inlineStr">
        <is>
          <t>2271634790002656</t>
        </is>
      </c>
      <c r="AZ916" t="inlineStr">
        <is>
          <t>BOOK</t>
        </is>
      </c>
      <c r="BB916" t="inlineStr">
        <is>
          <t>9780805828719</t>
        </is>
      </c>
      <c r="BC916" t="inlineStr">
        <is>
          <t>32285004298864</t>
        </is>
      </c>
      <c r="BD916" t="inlineStr">
        <is>
          <t>893874798</t>
        </is>
      </c>
    </row>
    <row r="917">
      <c r="A917" t="inlineStr">
        <is>
          <t>No</t>
        </is>
      </c>
      <c r="B917" t="inlineStr">
        <is>
          <t>LB1631 .T337 2008</t>
        </is>
      </c>
      <c r="C917" t="inlineStr">
        <is>
          <t>0                      LB 1631000T  337         2008</t>
        </is>
      </c>
      <c r="D917" t="inlineStr">
        <is>
          <t>Teaching vocabulary : 50 creative strategies, grades 6-12 / [edited by] Gail E. Tompkins, Cathy Blanchfield.</t>
        </is>
      </c>
      <c r="F917" t="inlineStr">
        <is>
          <t>No</t>
        </is>
      </c>
      <c r="G917" t="inlineStr">
        <is>
          <t>1</t>
        </is>
      </c>
      <c r="H917" t="inlineStr">
        <is>
          <t>No</t>
        </is>
      </c>
      <c r="I917" t="inlineStr">
        <is>
          <t>No</t>
        </is>
      </c>
      <c r="J917" t="inlineStr">
        <is>
          <t>0</t>
        </is>
      </c>
      <c r="L917" t="inlineStr">
        <is>
          <t>Upper Saddle River, N.J. : Pearson/Merrill Prentice Hall, c2008.</t>
        </is>
      </c>
      <c r="M917" t="inlineStr">
        <is>
          <t>2008</t>
        </is>
      </c>
      <c r="N917" t="inlineStr">
        <is>
          <t>2nd ed.</t>
        </is>
      </c>
      <c r="O917" t="inlineStr">
        <is>
          <t>eng</t>
        </is>
      </c>
      <c r="P917" t="inlineStr">
        <is>
          <t>nju</t>
        </is>
      </c>
      <c r="R917" t="inlineStr">
        <is>
          <t xml:space="preserve">LB </t>
        </is>
      </c>
      <c r="S917" t="n">
        <v>1</v>
      </c>
      <c r="T917" t="n">
        <v>1</v>
      </c>
      <c r="U917" t="inlineStr">
        <is>
          <t>2007-08-01</t>
        </is>
      </c>
      <c r="V917" t="inlineStr">
        <is>
          <t>2007-08-01</t>
        </is>
      </c>
      <c r="W917" t="inlineStr">
        <is>
          <t>2007-08-01</t>
        </is>
      </c>
      <c r="X917" t="inlineStr">
        <is>
          <t>2007-08-01</t>
        </is>
      </c>
      <c r="Y917" t="n">
        <v>124</v>
      </c>
      <c r="Z917" t="n">
        <v>100</v>
      </c>
      <c r="AA917" t="n">
        <v>101</v>
      </c>
      <c r="AB917" t="n">
        <v>1</v>
      </c>
      <c r="AC917" t="n">
        <v>1</v>
      </c>
      <c r="AD917" t="n">
        <v>7</v>
      </c>
      <c r="AE917" t="n">
        <v>7</v>
      </c>
      <c r="AF917" t="n">
        <v>3</v>
      </c>
      <c r="AG917" t="n">
        <v>3</v>
      </c>
      <c r="AH917" t="n">
        <v>1</v>
      </c>
      <c r="AI917" t="n">
        <v>1</v>
      </c>
      <c r="AJ917" t="n">
        <v>6</v>
      </c>
      <c r="AK917" t="n">
        <v>6</v>
      </c>
      <c r="AL917" t="n">
        <v>0</v>
      </c>
      <c r="AM917" t="n">
        <v>0</v>
      </c>
      <c r="AN917" t="n">
        <v>0</v>
      </c>
      <c r="AO917" t="n">
        <v>0</v>
      </c>
      <c r="AP917" t="inlineStr">
        <is>
          <t>No</t>
        </is>
      </c>
      <c r="AQ917" t="inlineStr">
        <is>
          <t>Yes</t>
        </is>
      </c>
      <c r="AR917">
        <f>HYPERLINK("http://catalog.hathitrust.org/Record/102053810","HathiTrust Record")</f>
        <v/>
      </c>
      <c r="AS917">
        <f>HYPERLINK("https://creighton-primo.hosted.exlibrisgroup.com/primo-explore/search?tab=default_tab&amp;search_scope=EVERYTHING&amp;vid=01CRU&amp;lang=en_US&amp;offset=0&amp;query=any,contains,991005103519702656","Catalog Record")</f>
        <v/>
      </c>
      <c r="AT917">
        <f>HYPERLINK("http://www.worldcat.org/oclc/123390990","WorldCat Record")</f>
        <v/>
      </c>
      <c r="AU917" t="inlineStr">
        <is>
          <t>657535:eng</t>
        </is>
      </c>
      <c r="AV917" t="inlineStr">
        <is>
          <t>123390990</t>
        </is>
      </c>
      <c r="AW917" t="inlineStr">
        <is>
          <t>991005103519702656</t>
        </is>
      </c>
      <c r="AX917" t="inlineStr">
        <is>
          <t>991005103519702656</t>
        </is>
      </c>
      <c r="AY917" t="inlineStr">
        <is>
          <t>2266511230002656</t>
        </is>
      </c>
      <c r="AZ917" t="inlineStr">
        <is>
          <t>BOOK</t>
        </is>
      </c>
      <c r="BB917" t="inlineStr">
        <is>
          <t>9780132243025</t>
        </is>
      </c>
      <c r="BC917" t="inlineStr">
        <is>
          <t>32285005321764</t>
        </is>
      </c>
      <c r="BD917" t="inlineStr">
        <is>
          <t>893719768</t>
        </is>
      </c>
    </row>
    <row r="918">
      <c r="A918" t="inlineStr">
        <is>
          <t>No</t>
        </is>
      </c>
      <c r="B918" t="inlineStr">
        <is>
          <t>LB1631 .T78 2001</t>
        </is>
      </c>
      <c r="C918" t="inlineStr">
        <is>
          <t>0                      LB 1631000T  78          2001</t>
        </is>
      </c>
      <c r="D918" t="inlineStr">
        <is>
          <t>Lighting fires : how the passionate teacher engages adolescent writers / Joseph I. Tsujimoto.</t>
        </is>
      </c>
      <c r="F918" t="inlineStr">
        <is>
          <t>No</t>
        </is>
      </c>
      <c r="G918" t="inlineStr">
        <is>
          <t>1</t>
        </is>
      </c>
      <c r="H918" t="inlineStr">
        <is>
          <t>No</t>
        </is>
      </c>
      <c r="I918" t="inlineStr">
        <is>
          <t>No</t>
        </is>
      </c>
      <c r="J918" t="inlineStr">
        <is>
          <t>0</t>
        </is>
      </c>
      <c r="K918" t="inlineStr">
        <is>
          <t>Tsujimoto, Joseph I., 1946-</t>
        </is>
      </c>
      <c r="L918" t="inlineStr">
        <is>
          <t>Portsmouth, NH : Boynton/Cook Publishers, Heinemann, c2001.</t>
        </is>
      </c>
      <c r="M918" t="inlineStr">
        <is>
          <t>2001</t>
        </is>
      </c>
      <c r="O918" t="inlineStr">
        <is>
          <t>eng</t>
        </is>
      </c>
      <c r="P918" t="inlineStr">
        <is>
          <t>nhu</t>
        </is>
      </c>
      <c r="R918" t="inlineStr">
        <is>
          <t xml:space="preserve">LB </t>
        </is>
      </c>
      <c r="S918" t="n">
        <v>1</v>
      </c>
      <c r="T918" t="n">
        <v>1</v>
      </c>
      <c r="U918" t="inlineStr">
        <is>
          <t>2001-07-10</t>
        </is>
      </c>
      <c r="V918" t="inlineStr">
        <is>
          <t>2001-07-10</t>
        </is>
      </c>
      <c r="W918" t="inlineStr">
        <is>
          <t>2001-07-10</t>
        </is>
      </c>
      <c r="X918" t="inlineStr">
        <is>
          <t>2001-07-10</t>
        </is>
      </c>
      <c r="Y918" t="n">
        <v>183</v>
      </c>
      <c r="Z918" t="n">
        <v>166</v>
      </c>
      <c r="AA918" t="n">
        <v>166</v>
      </c>
      <c r="AB918" t="n">
        <v>3</v>
      </c>
      <c r="AC918" t="n">
        <v>3</v>
      </c>
      <c r="AD918" t="n">
        <v>4</v>
      </c>
      <c r="AE918" t="n">
        <v>4</v>
      </c>
      <c r="AF918" t="n">
        <v>1</v>
      </c>
      <c r="AG918" t="n">
        <v>1</v>
      </c>
      <c r="AH918" t="n">
        <v>0</v>
      </c>
      <c r="AI918" t="n">
        <v>0</v>
      </c>
      <c r="AJ918" t="n">
        <v>2</v>
      </c>
      <c r="AK918" t="n">
        <v>2</v>
      </c>
      <c r="AL918" t="n">
        <v>2</v>
      </c>
      <c r="AM918" t="n">
        <v>2</v>
      </c>
      <c r="AN918" t="n">
        <v>0</v>
      </c>
      <c r="AO918" t="n">
        <v>0</v>
      </c>
      <c r="AP918" t="inlineStr">
        <is>
          <t>No</t>
        </is>
      </c>
      <c r="AQ918" t="inlineStr">
        <is>
          <t>No</t>
        </is>
      </c>
      <c r="AS918">
        <f>HYPERLINK("https://creighton-primo.hosted.exlibrisgroup.com/primo-explore/search?tab=default_tab&amp;search_scope=EVERYTHING&amp;vid=01CRU&amp;lang=en_US&amp;offset=0&amp;query=any,contains,991003562869702656","Catalog Record")</f>
        <v/>
      </c>
      <c r="AT918">
        <f>HYPERLINK("http://www.worldcat.org/oclc/45103012","WorldCat Record")</f>
        <v/>
      </c>
      <c r="AU918" t="inlineStr">
        <is>
          <t>929024:eng</t>
        </is>
      </c>
      <c r="AV918" t="inlineStr">
        <is>
          <t>45103012</t>
        </is>
      </c>
      <c r="AW918" t="inlineStr">
        <is>
          <t>991003562869702656</t>
        </is>
      </c>
      <c r="AX918" t="inlineStr">
        <is>
          <t>991003562869702656</t>
        </is>
      </c>
      <c r="AY918" t="inlineStr">
        <is>
          <t>2268458180002656</t>
        </is>
      </c>
      <c r="AZ918" t="inlineStr">
        <is>
          <t>BOOK</t>
        </is>
      </c>
      <c r="BB918" t="inlineStr">
        <is>
          <t>9780867095043</t>
        </is>
      </c>
      <c r="BC918" t="inlineStr">
        <is>
          <t>32285004331293</t>
        </is>
      </c>
      <c r="BD918" t="inlineStr">
        <is>
          <t>893781134</t>
        </is>
      </c>
    </row>
    <row r="919">
      <c r="A919" t="inlineStr">
        <is>
          <t>No</t>
        </is>
      </c>
      <c r="B919" t="inlineStr">
        <is>
          <t>LB1631 .U73 2006</t>
        </is>
      </c>
      <c r="C919" t="inlineStr">
        <is>
          <t>0                      LB 1631000U  73          2006</t>
        </is>
      </c>
      <c r="D919" t="inlineStr">
        <is>
          <t>Using the workshop approach in the high school English classroom : modeling effective writing, reading, and thinking strategies for student success / Cynthia D. Urbanski.</t>
        </is>
      </c>
      <c r="F919" t="inlineStr">
        <is>
          <t>No</t>
        </is>
      </c>
      <c r="G919" t="inlineStr">
        <is>
          <t>1</t>
        </is>
      </c>
      <c r="H919" t="inlineStr">
        <is>
          <t>No</t>
        </is>
      </c>
      <c r="I919" t="inlineStr">
        <is>
          <t>No</t>
        </is>
      </c>
      <c r="J919" t="inlineStr">
        <is>
          <t>0</t>
        </is>
      </c>
      <c r="K919" t="inlineStr">
        <is>
          <t>Urbanski, Cynthia D.</t>
        </is>
      </c>
      <c r="L919" t="inlineStr">
        <is>
          <t>Thousand Oaks, Calif. : Corwin Press, c2006.</t>
        </is>
      </c>
      <c r="M919" t="inlineStr">
        <is>
          <t>2006</t>
        </is>
      </c>
      <c r="O919" t="inlineStr">
        <is>
          <t>eng</t>
        </is>
      </c>
      <c r="P919" t="inlineStr">
        <is>
          <t>cau</t>
        </is>
      </c>
      <c r="R919" t="inlineStr">
        <is>
          <t xml:space="preserve">LB </t>
        </is>
      </c>
      <c r="S919" t="n">
        <v>1</v>
      </c>
      <c r="T919" t="n">
        <v>1</v>
      </c>
      <c r="U919" t="inlineStr">
        <is>
          <t>2005-12-07</t>
        </is>
      </c>
      <c r="V919" t="inlineStr">
        <is>
          <t>2005-12-07</t>
        </is>
      </c>
      <c r="W919" t="inlineStr">
        <is>
          <t>2005-12-07</t>
        </is>
      </c>
      <c r="X919" t="inlineStr">
        <is>
          <t>2005-12-07</t>
        </is>
      </c>
      <c r="Y919" t="n">
        <v>214</v>
      </c>
      <c r="Z919" t="n">
        <v>184</v>
      </c>
      <c r="AA919" t="n">
        <v>223</v>
      </c>
      <c r="AB919" t="n">
        <v>3</v>
      </c>
      <c r="AC919" t="n">
        <v>3</v>
      </c>
      <c r="AD919" t="n">
        <v>10</v>
      </c>
      <c r="AE919" t="n">
        <v>13</v>
      </c>
      <c r="AF919" t="n">
        <v>3</v>
      </c>
      <c r="AG919" t="n">
        <v>4</v>
      </c>
      <c r="AH919" t="n">
        <v>2</v>
      </c>
      <c r="AI919" t="n">
        <v>3</v>
      </c>
      <c r="AJ919" t="n">
        <v>5</v>
      </c>
      <c r="AK919" t="n">
        <v>7</v>
      </c>
      <c r="AL919" t="n">
        <v>2</v>
      </c>
      <c r="AM919" t="n">
        <v>2</v>
      </c>
      <c r="AN919" t="n">
        <v>0</v>
      </c>
      <c r="AO919" t="n">
        <v>0</v>
      </c>
      <c r="AP919" t="inlineStr">
        <is>
          <t>No</t>
        </is>
      </c>
      <c r="AQ919" t="inlineStr">
        <is>
          <t>Yes</t>
        </is>
      </c>
      <c r="AR919">
        <f>HYPERLINK("http://catalog.hathitrust.org/Record/005104330","HathiTrust Record")</f>
        <v/>
      </c>
      <c r="AS919">
        <f>HYPERLINK("https://creighton-primo.hosted.exlibrisgroup.com/primo-explore/search?tab=default_tab&amp;search_scope=EVERYTHING&amp;vid=01CRU&amp;lang=en_US&amp;offset=0&amp;query=any,contains,991004701879702656","Catalog Record")</f>
        <v/>
      </c>
      <c r="AT919">
        <f>HYPERLINK("http://www.worldcat.org/oclc/60791614","WorldCat Record")</f>
        <v/>
      </c>
      <c r="AU919" t="inlineStr">
        <is>
          <t>1218640089:eng</t>
        </is>
      </c>
      <c r="AV919" t="inlineStr">
        <is>
          <t>60791614</t>
        </is>
      </c>
      <c r="AW919" t="inlineStr">
        <is>
          <t>991004701879702656</t>
        </is>
      </c>
      <c r="AX919" t="inlineStr">
        <is>
          <t>991004701879702656</t>
        </is>
      </c>
      <c r="AY919" t="inlineStr">
        <is>
          <t>2261196790002656</t>
        </is>
      </c>
      <c r="AZ919" t="inlineStr">
        <is>
          <t>BOOK</t>
        </is>
      </c>
      <c r="BB919" t="inlineStr">
        <is>
          <t>9781412925488</t>
        </is>
      </c>
      <c r="BC919" t="inlineStr">
        <is>
          <t>32285005151518</t>
        </is>
      </c>
      <c r="BD919" t="inlineStr">
        <is>
          <t>893536166</t>
        </is>
      </c>
    </row>
    <row r="920">
      <c r="A920" t="inlineStr">
        <is>
          <t>No</t>
        </is>
      </c>
      <c r="B920" t="inlineStr">
        <is>
          <t>LB1631 .W233 2009</t>
        </is>
      </c>
      <c r="C920" t="inlineStr">
        <is>
          <t>0                      LB 1631000W  233         2009</t>
        </is>
      </c>
      <c r="D920" t="inlineStr">
        <is>
          <t>Writing for understanding : strategies to increase content learning / Donovan R. Walling.</t>
        </is>
      </c>
      <c r="F920" t="inlineStr">
        <is>
          <t>No</t>
        </is>
      </c>
      <c r="G920" t="inlineStr">
        <is>
          <t>1</t>
        </is>
      </c>
      <c r="H920" t="inlineStr">
        <is>
          <t>No</t>
        </is>
      </c>
      <c r="I920" t="inlineStr">
        <is>
          <t>No</t>
        </is>
      </c>
      <c r="J920" t="inlineStr">
        <is>
          <t>0</t>
        </is>
      </c>
      <c r="K920" t="inlineStr">
        <is>
          <t>Walling, Donovan R., 1948-</t>
        </is>
      </c>
      <c r="L920" t="inlineStr">
        <is>
          <t>Thousand Oaks, Calif. : Corwin, c2009.</t>
        </is>
      </c>
      <c r="M920" t="inlineStr">
        <is>
          <t>2009</t>
        </is>
      </c>
      <c r="O920" t="inlineStr">
        <is>
          <t>eng</t>
        </is>
      </c>
      <c r="P920" t="inlineStr">
        <is>
          <t>cau</t>
        </is>
      </c>
      <c r="R920" t="inlineStr">
        <is>
          <t xml:space="preserve">LB </t>
        </is>
      </c>
      <c r="S920" t="n">
        <v>1</v>
      </c>
      <c r="T920" t="n">
        <v>1</v>
      </c>
      <c r="U920" t="inlineStr">
        <is>
          <t>2009-11-30</t>
        </is>
      </c>
      <c r="V920" t="inlineStr">
        <is>
          <t>2009-11-30</t>
        </is>
      </c>
      <c r="W920" t="inlineStr">
        <is>
          <t>2009-11-30</t>
        </is>
      </c>
      <c r="X920" t="inlineStr">
        <is>
          <t>2009-11-30</t>
        </is>
      </c>
      <c r="Y920" t="n">
        <v>179</v>
      </c>
      <c r="Z920" t="n">
        <v>139</v>
      </c>
      <c r="AA920" t="n">
        <v>160</v>
      </c>
      <c r="AB920" t="n">
        <v>1</v>
      </c>
      <c r="AC920" t="n">
        <v>2</v>
      </c>
      <c r="AD920" t="n">
        <v>5</v>
      </c>
      <c r="AE920" t="n">
        <v>7</v>
      </c>
      <c r="AF920" t="n">
        <v>1</v>
      </c>
      <c r="AG920" t="n">
        <v>2</v>
      </c>
      <c r="AH920" t="n">
        <v>2</v>
      </c>
      <c r="AI920" t="n">
        <v>3</v>
      </c>
      <c r="AJ920" t="n">
        <v>4</v>
      </c>
      <c r="AK920" t="n">
        <v>4</v>
      </c>
      <c r="AL920" t="n">
        <v>0</v>
      </c>
      <c r="AM920" t="n">
        <v>1</v>
      </c>
      <c r="AN920" t="n">
        <v>0</v>
      </c>
      <c r="AO920" t="n">
        <v>0</v>
      </c>
      <c r="AP920" t="inlineStr">
        <is>
          <t>No</t>
        </is>
      </c>
      <c r="AQ920" t="inlineStr">
        <is>
          <t>No</t>
        </is>
      </c>
      <c r="AS920">
        <f>HYPERLINK("https://creighton-primo.hosted.exlibrisgroup.com/primo-explore/search?tab=default_tab&amp;search_scope=EVERYTHING&amp;vid=01CRU&amp;lang=en_US&amp;offset=0&amp;query=any,contains,991005344149702656","Catalog Record")</f>
        <v/>
      </c>
      <c r="AT920">
        <f>HYPERLINK("http://www.worldcat.org/oclc/313654554","WorldCat Record")</f>
        <v/>
      </c>
      <c r="AU920" t="inlineStr">
        <is>
          <t>192151609:eng</t>
        </is>
      </c>
      <c r="AV920" t="inlineStr">
        <is>
          <t>313654554</t>
        </is>
      </c>
      <c r="AW920" t="inlineStr">
        <is>
          <t>991005344149702656</t>
        </is>
      </c>
      <c r="AX920" t="inlineStr">
        <is>
          <t>991005344149702656</t>
        </is>
      </c>
      <c r="AY920" t="inlineStr">
        <is>
          <t>2263179500002656</t>
        </is>
      </c>
      <c r="AZ920" t="inlineStr">
        <is>
          <t>BOOK</t>
        </is>
      </c>
      <c r="BB920" t="inlineStr">
        <is>
          <t>9781412964340</t>
        </is>
      </c>
      <c r="BC920" t="inlineStr">
        <is>
          <t>32285005552558</t>
        </is>
      </c>
      <c r="BD920" t="inlineStr">
        <is>
          <t>893508005</t>
        </is>
      </c>
    </row>
    <row r="921">
      <c r="A921" t="inlineStr">
        <is>
          <t>No</t>
        </is>
      </c>
      <c r="B921" t="inlineStr">
        <is>
          <t>LB1631 .W347 2008</t>
        </is>
      </c>
      <c r="C921" t="inlineStr">
        <is>
          <t>0                      LB 1631000W  347         2008</t>
        </is>
      </c>
      <c r="D921" t="inlineStr">
        <is>
          <t>Grammar to enrich &amp; enhance writing / Constance Weaver ; with Jonathan Bush.</t>
        </is>
      </c>
      <c r="F921" t="inlineStr">
        <is>
          <t>No</t>
        </is>
      </c>
      <c r="G921" t="inlineStr">
        <is>
          <t>1</t>
        </is>
      </c>
      <c r="H921" t="inlineStr">
        <is>
          <t>No</t>
        </is>
      </c>
      <c r="I921" t="inlineStr">
        <is>
          <t>No</t>
        </is>
      </c>
      <c r="J921" t="inlineStr">
        <is>
          <t>0</t>
        </is>
      </c>
      <c r="K921" t="inlineStr">
        <is>
          <t>Weaver, Constance.</t>
        </is>
      </c>
      <c r="L921" t="inlineStr">
        <is>
          <t>Portsmouth, NH : Heinnemann, c2008.</t>
        </is>
      </c>
      <c r="M921" t="inlineStr">
        <is>
          <t>2008</t>
        </is>
      </c>
      <c r="O921" t="inlineStr">
        <is>
          <t>eng</t>
        </is>
      </c>
      <c r="P921" t="inlineStr">
        <is>
          <t>nhu</t>
        </is>
      </c>
      <c r="R921" t="inlineStr">
        <is>
          <t xml:space="preserve">LB </t>
        </is>
      </c>
      <c r="S921" t="n">
        <v>1</v>
      </c>
      <c r="T921" t="n">
        <v>1</v>
      </c>
      <c r="U921" t="inlineStr">
        <is>
          <t>2009-12-16</t>
        </is>
      </c>
      <c r="V921" t="inlineStr">
        <is>
          <t>2009-12-16</t>
        </is>
      </c>
      <c r="W921" t="inlineStr">
        <is>
          <t>2008-03-03</t>
        </is>
      </c>
      <c r="X921" t="inlineStr">
        <is>
          <t>2008-03-03</t>
        </is>
      </c>
      <c r="Y921" t="n">
        <v>263</v>
      </c>
      <c r="Z921" t="n">
        <v>234</v>
      </c>
      <c r="AA921" t="n">
        <v>239</v>
      </c>
      <c r="AB921" t="n">
        <v>2</v>
      </c>
      <c r="AC921" t="n">
        <v>2</v>
      </c>
      <c r="AD921" t="n">
        <v>12</v>
      </c>
      <c r="AE921" t="n">
        <v>12</v>
      </c>
      <c r="AF921" t="n">
        <v>4</v>
      </c>
      <c r="AG921" t="n">
        <v>4</v>
      </c>
      <c r="AH921" t="n">
        <v>2</v>
      </c>
      <c r="AI921" t="n">
        <v>2</v>
      </c>
      <c r="AJ921" t="n">
        <v>8</v>
      </c>
      <c r="AK921" t="n">
        <v>8</v>
      </c>
      <c r="AL921" t="n">
        <v>1</v>
      </c>
      <c r="AM921" t="n">
        <v>1</v>
      </c>
      <c r="AN921" t="n">
        <v>0</v>
      </c>
      <c r="AO921" t="n">
        <v>0</v>
      </c>
      <c r="AP921" t="inlineStr">
        <is>
          <t>No</t>
        </is>
      </c>
      <c r="AQ921" t="inlineStr">
        <is>
          <t>No</t>
        </is>
      </c>
      <c r="AS921">
        <f>HYPERLINK("https://creighton-primo.hosted.exlibrisgroup.com/primo-explore/search?tab=default_tab&amp;search_scope=EVERYTHING&amp;vid=01CRU&amp;lang=en_US&amp;offset=0&amp;query=any,contains,991005187639702656","Catalog Record")</f>
        <v/>
      </c>
      <c r="AT921">
        <f>HYPERLINK("http://www.worldcat.org/oclc/159822389","WorldCat Record")</f>
        <v/>
      </c>
      <c r="AU921" t="inlineStr">
        <is>
          <t>107962097:eng</t>
        </is>
      </c>
      <c r="AV921" t="inlineStr">
        <is>
          <t>159822389</t>
        </is>
      </c>
      <c r="AW921" t="inlineStr">
        <is>
          <t>991005187639702656</t>
        </is>
      </c>
      <c r="AX921" t="inlineStr">
        <is>
          <t>991005187639702656</t>
        </is>
      </c>
      <c r="AY921" t="inlineStr">
        <is>
          <t>2263906270002656</t>
        </is>
      </c>
      <c r="AZ921" t="inlineStr">
        <is>
          <t>BOOK</t>
        </is>
      </c>
      <c r="BB921" t="inlineStr">
        <is>
          <t>9780325007588</t>
        </is>
      </c>
      <c r="BC921" t="inlineStr">
        <is>
          <t>32285005395271</t>
        </is>
      </c>
      <c r="BD921" t="inlineStr">
        <is>
          <t>893527068</t>
        </is>
      </c>
    </row>
    <row r="922">
      <c r="A922" t="inlineStr">
        <is>
          <t>No</t>
        </is>
      </c>
      <c r="B922" t="inlineStr">
        <is>
          <t>LB1631 F668 2008</t>
        </is>
      </c>
      <c r="C922" t="inlineStr">
        <is>
          <t>0                      LB 1631000F  668         2008</t>
        </is>
      </c>
      <c r="D922" t="inlineStr">
        <is>
          <t>America's unseen kids : teaching English/language arts in today's forgotten high schools / Harold M. Foster, Megan C. Nosol ; foreword by Kylene Beers ; afterword by Robert E. Probst.</t>
        </is>
      </c>
      <c r="F922" t="inlineStr">
        <is>
          <t>No</t>
        </is>
      </c>
      <c r="G922" t="inlineStr">
        <is>
          <t>1</t>
        </is>
      </c>
      <c r="H922" t="inlineStr">
        <is>
          <t>No</t>
        </is>
      </c>
      <c r="I922" t="inlineStr">
        <is>
          <t>No</t>
        </is>
      </c>
      <c r="J922" t="inlineStr">
        <is>
          <t>0</t>
        </is>
      </c>
      <c r="K922" t="inlineStr">
        <is>
          <t>Foster, Harold M.</t>
        </is>
      </c>
      <c r="L922" t="inlineStr">
        <is>
          <t>Portsmouth, NH : Heinemann, c2008.</t>
        </is>
      </c>
      <c r="M922" t="inlineStr">
        <is>
          <t>2008</t>
        </is>
      </c>
      <c r="O922" t="inlineStr">
        <is>
          <t>eng</t>
        </is>
      </c>
      <c r="P922" t="inlineStr">
        <is>
          <t>nhu</t>
        </is>
      </c>
      <c r="R922" t="inlineStr">
        <is>
          <t xml:space="preserve">LB </t>
        </is>
      </c>
      <c r="S922" t="n">
        <v>4</v>
      </c>
      <c r="T922" t="n">
        <v>4</v>
      </c>
      <c r="U922" t="inlineStr">
        <is>
          <t>2009-11-16</t>
        </is>
      </c>
      <c r="V922" t="inlineStr">
        <is>
          <t>2009-11-16</t>
        </is>
      </c>
      <c r="W922" t="inlineStr">
        <is>
          <t>2008-05-05</t>
        </is>
      </c>
      <c r="X922" t="inlineStr">
        <is>
          <t>2008-05-05</t>
        </is>
      </c>
      <c r="Y922" t="n">
        <v>168</v>
      </c>
      <c r="Z922" t="n">
        <v>154</v>
      </c>
      <c r="AA922" t="n">
        <v>159</v>
      </c>
      <c r="AB922" t="n">
        <v>2</v>
      </c>
      <c r="AC922" t="n">
        <v>2</v>
      </c>
      <c r="AD922" t="n">
        <v>6</v>
      </c>
      <c r="AE922" t="n">
        <v>6</v>
      </c>
      <c r="AF922" t="n">
        <v>1</v>
      </c>
      <c r="AG922" t="n">
        <v>1</v>
      </c>
      <c r="AH922" t="n">
        <v>2</v>
      </c>
      <c r="AI922" t="n">
        <v>2</v>
      </c>
      <c r="AJ922" t="n">
        <v>3</v>
      </c>
      <c r="AK922" t="n">
        <v>3</v>
      </c>
      <c r="AL922" t="n">
        <v>1</v>
      </c>
      <c r="AM922" t="n">
        <v>1</v>
      </c>
      <c r="AN922" t="n">
        <v>0</v>
      </c>
      <c r="AO922" t="n">
        <v>0</v>
      </c>
      <c r="AP922" t="inlineStr">
        <is>
          <t>No</t>
        </is>
      </c>
      <c r="AQ922" t="inlineStr">
        <is>
          <t>No</t>
        </is>
      </c>
      <c r="AS922">
        <f>HYPERLINK("https://creighton-primo.hosted.exlibrisgroup.com/primo-explore/search?tab=default_tab&amp;search_scope=EVERYTHING&amp;vid=01CRU&amp;lang=en_US&amp;offset=0&amp;query=any,contains,991005215619702656","Catalog Record")</f>
        <v/>
      </c>
      <c r="AT922">
        <f>HYPERLINK("http://www.worldcat.org/oclc/212908738","WorldCat Record")</f>
        <v/>
      </c>
      <c r="AU922" t="inlineStr">
        <is>
          <t>10488043444:eng</t>
        </is>
      </c>
      <c r="AV922" t="inlineStr">
        <is>
          <t>212908738</t>
        </is>
      </c>
      <c r="AW922" t="inlineStr">
        <is>
          <t>991005215619702656</t>
        </is>
      </c>
      <c r="AX922" t="inlineStr">
        <is>
          <t>991005215619702656</t>
        </is>
      </c>
      <c r="AY922" t="inlineStr">
        <is>
          <t>2258792730002656</t>
        </is>
      </c>
      <c r="AZ922" t="inlineStr">
        <is>
          <t>BOOK</t>
        </is>
      </c>
      <c r="BB922" t="inlineStr">
        <is>
          <t>9780325010601</t>
        </is>
      </c>
      <c r="BC922" t="inlineStr">
        <is>
          <t>32285005405252</t>
        </is>
      </c>
      <c r="BD922" t="inlineStr">
        <is>
          <t>893431061</t>
        </is>
      </c>
    </row>
    <row r="923">
      <c r="A923" t="inlineStr">
        <is>
          <t>No</t>
        </is>
      </c>
      <c r="B923" t="inlineStr">
        <is>
          <t>LB1631.H67 C7</t>
        </is>
      </c>
      <c r="C923" t="inlineStr">
        <is>
          <t>0                      LB 1631000H  67                 C  7</t>
        </is>
      </c>
      <c r="D923" t="inlineStr">
        <is>
          <t>Creative bulletin boards for junior high English.</t>
        </is>
      </c>
      <c r="F923" t="inlineStr">
        <is>
          <t>No</t>
        </is>
      </c>
      <c r="G923" t="inlineStr">
        <is>
          <t>1</t>
        </is>
      </c>
      <c r="H923" t="inlineStr">
        <is>
          <t>No</t>
        </is>
      </c>
      <c r="I923" t="inlineStr">
        <is>
          <t>No</t>
        </is>
      </c>
      <c r="J923" t="inlineStr">
        <is>
          <t>0</t>
        </is>
      </c>
      <c r="K923" t="inlineStr">
        <is>
          <t>Hornick, Joanne G.</t>
        </is>
      </c>
      <c r="L923" t="inlineStr">
        <is>
          <t>New York, Citation Press, 1968.</t>
        </is>
      </c>
      <c r="M923" t="inlineStr">
        <is>
          <t>1968</t>
        </is>
      </c>
      <c r="O923" t="inlineStr">
        <is>
          <t>eng</t>
        </is>
      </c>
      <c r="P923" t="inlineStr">
        <is>
          <t xml:space="preserve">xx </t>
        </is>
      </c>
      <c r="R923" t="inlineStr">
        <is>
          <t xml:space="preserve">LB </t>
        </is>
      </c>
      <c r="S923" t="n">
        <v>2</v>
      </c>
      <c r="T923" t="n">
        <v>2</v>
      </c>
      <c r="U923" t="inlineStr">
        <is>
          <t>2009-08-12</t>
        </is>
      </c>
      <c r="V923" t="inlineStr">
        <is>
          <t>2009-08-12</t>
        </is>
      </c>
      <c r="W923" t="inlineStr">
        <is>
          <t>1997-05-13</t>
        </is>
      </c>
      <c r="X923" t="inlineStr">
        <is>
          <t>1997-05-13</t>
        </is>
      </c>
      <c r="Y923" t="n">
        <v>115</v>
      </c>
      <c r="Z923" t="n">
        <v>113</v>
      </c>
      <c r="AA923" t="n">
        <v>116</v>
      </c>
      <c r="AB923" t="n">
        <v>3</v>
      </c>
      <c r="AC923" t="n">
        <v>3</v>
      </c>
      <c r="AD923" t="n">
        <v>2</v>
      </c>
      <c r="AE923" t="n">
        <v>2</v>
      </c>
      <c r="AF923" t="n">
        <v>0</v>
      </c>
      <c r="AG923" t="n">
        <v>0</v>
      </c>
      <c r="AH923" t="n">
        <v>0</v>
      </c>
      <c r="AI923" t="n">
        <v>0</v>
      </c>
      <c r="AJ923" t="n">
        <v>1</v>
      </c>
      <c r="AK923" t="n">
        <v>1</v>
      </c>
      <c r="AL923" t="n">
        <v>1</v>
      </c>
      <c r="AM923" t="n">
        <v>1</v>
      </c>
      <c r="AN923" t="n">
        <v>0</v>
      </c>
      <c r="AO923" t="n">
        <v>0</v>
      </c>
      <c r="AP923" t="inlineStr">
        <is>
          <t>No</t>
        </is>
      </c>
      <c r="AQ923" t="inlineStr">
        <is>
          <t>Yes</t>
        </is>
      </c>
      <c r="AR923">
        <f>HYPERLINK("http://catalog.hathitrust.org/Record/009923686","HathiTrust Record")</f>
        <v/>
      </c>
      <c r="AS923">
        <f>HYPERLINK("https://creighton-primo.hosted.exlibrisgroup.com/primo-explore/search?tab=default_tab&amp;search_scope=EVERYTHING&amp;vid=01CRU&amp;lang=en_US&amp;offset=0&amp;query=any,contains,991001930539702656","Catalog Record")</f>
        <v/>
      </c>
      <c r="AT923">
        <f>HYPERLINK("http://www.worldcat.org/oclc/248598","WorldCat Record")</f>
        <v/>
      </c>
      <c r="AU923" t="inlineStr">
        <is>
          <t>1409185:eng</t>
        </is>
      </c>
      <c r="AV923" t="inlineStr">
        <is>
          <t>248598</t>
        </is>
      </c>
      <c r="AW923" t="inlineStr">
        <is>
          <t>991001930539702656</t>
        </is>
      </c>
      <c r="AX923" t="inlineStr">
        <is>
          <t>991001930539702656</t>
        </is>
      </c>
      <c r="AY923" t="inlineStr">
        <is>
          <t>2257818850002656</t>
        </is>
      </c>
      <c r="AZ923" t="inlineStr">
        <is>
          <t>BOOK</t>
        </is>
      </c>
      <c r="BC923" t="inlineStr">
        <is>
          <t>32285002667086</t>
        </is>
      </c>
      <c r="BD923" t="inlineStr">
        <is>
          <t>893715846</t>
        </is>
      </c>
    </row>
    <row r="924">
      <c r="A924" t="inlineStr">
        <is>
          <t>No</t>
        </is>
      </c>
      <c r="B924" t="inlineStr">
        <is>
          <t>LB1632 .A23 2010</t>
        </is>
      </c>
      <c r="C924" t="inlineStr">
        <is>
          <t>0                      LB 1632000A  23          2010</t>
        </is>
      </c>
      <c r="D924" t="inlineStr">
        <is>
          <t>Academic language/literacy strategies for adolescents : a "how to" manual for educators / Debra L. Cook Hirai ... [et al.] ; with Deborrah Wakelee, Vicki Murray, grammar specialists.</t>
        </is>
      </c>
      <c r="F924" t="inlineStr">
        <is>
          <t>No</t>
        </is>
      </c>
      <c r="G924" t="inlineStr">
        <is>
          <t>1</t>
        </is>
      </c>
      <c r="H924" t="inlineStr">
        <is>
          <t>No</t>
        </is>
      </c>
      <c r="I924" t="inlineStr">
        <is>
          <t>No</t>
        </is>
      </c>
      <c r="J924" t="inlineStr">
        <is>
          <t>0</t>
        </is>
      </c>
      <c r="L924" t="inlineStr">
        <is>
          <t>New York : Routledge, 2010.</t>
        </is>
      </c>
      <c r="M924" t="inlineStr">
        <is>
          <t>2010</t>
        </is>
      </c>
      <c r="O924" t="inlineStr">
        <is>
          <t>eng</t>
        </is>
      </c>
      <c r="P924" t="inlineStr">
        <is>
          <t>nyu</t>
        </is>
      </c>
      <c r="R924" t="inlineStr">
        <is>
          <t xml:space="preserve">LB </t>
        </is>
      </c>
      <c r="S924" t="n">
        <v>1</v>
      </c>
      <c r="T924" t="n">
        <v>1</v>
      </c>
      <c r="U924" t="inlineStr">
        <is>
          <t>2009-12-16</t>
        </is>
      </c>
      <c r="V924" t="inlineStr">
        <is>
          <t>2009-12-16</t>
        </is>
      </c>
      <c r="W924" t="inlineStr">
        <is>
          <t>2009-12-16</t>
        </is>
      </c>
      <c r="X924" t="inlineStr">
        <is>
          <t>2009-12-16</t>
        </is>
      </c>
      <c r="Y924" t="n">
        <v>459</v>
      </c>
      <c r="Z924" t="n">
        <v>401</v>
      </c>
      <c r="AA924" t="n">
        <v>719</v>
      </c>
      <c r="AB924" t="n">
        <v>3</v>
      </c>
      <c r="AC924" t="n">
        <v>6</v>
      </c>
      <c r="AD924" t="n">
        <v>21</v>
      </c>
      <c r="AE924" t="n">
        <v>37</v>
      </c>
      <c r="AF924" t="n">
        <v>10</v>
      </c>
      <c r="AG924" t="n">
        <v>15</v>
      </c>
      <c r="AH924" t="n">
        <v>5</v>
      </c>
      <c r="AI924" t="n">
        <v>8</v>
      </c>
      <c r="AJ924" t="n">
        <v>11</v>
      </c>
      <c r="AK924" t="n">
        <v>16</v>
      </c>
      <c r="AL924" t="n">
        <v>2</v>
      </c>
      <c r="AM924" t="n">
        <v>5</v>
      </c>
      <c r="AN924" t="n">
        <v>0</v>
      </c>
      <c r="AO924" t="n">
        <v>1</v>
      </c>
      <c r="AP924" t="inlineStr">
        <is>
          <t>No</t>
        </is>
      </c>
      <c r="AQ924" t="inlineStr">
        <is>
          <t>No</t>
        </is>
      </c>
      <c r="AS924">
        <f>HYPERLINK("https://creighton-primo.hosted.exlibrisgroup.com/primo-explore/search?tab=default_tab&amp;search_scope=EVERYTHING&amp;vid=01CRU&amp;lang=en_US&amp;offset=0&amp;query=any,contains,991005346179702656","Catalog Record")</f>
        <v/>
      </c>
      <c r="AT924">
        <f>HYPERLINK("http://www.worldcat.org/oclc/176946437","WorldCat Record")</f>
        <v/>
      </c>
      <c r="AU924" t="inlineStr">
        <is>
          <t>866290534:eng</t>
        </is>
      </c>
      <c r="AV924" t="inlineStr">
        <is>
          <t>176946437</t>
        </is>
      </c>
      <c r="AW924" t="inlineStr">
        <is>
          <t>991005346179702656</t>
        </is>
      </c>
      <c r="AX924" t="inlineStr">
        <is>
          <t>991005346179702656</t>
        </is>
      </c>
      <c r="AY924" t="inlineStr">
        <is>
          <t>2264794050002656</t>
        </is>
      </c>
      <c r="AZ924" t="inlineStr">
        <is>
          <t>BOOK</t>
        </is>
      </c>
      <c r="BB924" t="inlineStr">
        <is>
          <t>9780415999656</t>
        </is>
      </c>
      <c r="BC924" t="inlineStr">
        <is>
          <t>32285005554497</t>
        </is>
      </c>
      <c r="BD924" t="inlineStr">
        <is>
          <t>893514464</t>
        </is>
      </c>
    </row>
    <row r="925">
      <c r="A925" t="inlineStr">
        <is>
          <t>No</t>
        </is>
      </c>
      <c r="B925" t="inlineStr">
        <is>
          <t>LB1632 .A57 2009</t>
        </is>
      </c>
      <c r="C925" t="inlineStr">
        <is>
          <t>0                      LB 1632000A  57          2009</t>
        </is>
      </c>
      <c r="D925" t="inlineStr">
        <is>
          <t>Middle school readers : helping them read widely, helping them read well / Nancy Allison ; foreword by Laura Robb.</t>
        </is>
      </c>
      <c r="F925" t="inlineStr">
        <is>
          <t>No</t>
        </is>
      </c>
      <c r="G925" t="inlineStr">
        <is>
          <t>1</t>
        </is>
      </c>
      <c r="H925" t="inlineStr">
        <is>
          <t>No</t>
        </is>
      </c>
      <c r="I925" t="inlineStr">
        <is>
          <t>No</t>
        </is>
      </c>
      <c r="J925" t="inlineStr">
        <is>
          <t>0</t>
        </is>
      </c>
      <c r="K925" t="inlineStr">
        <is>
          <t>Allison, Nancy, 1954-</t>
        </is>
      </c>
      <c r="L925" t="inlineStr">
        <is>
          <t>Portsmouth, NH : Heinemann, c2009.</t>
        </is>
      </c>
      <c r="M925" t="inlineStr">
        <is>
          <t>2009</t>
        </is>
      </c>
      <c r="O925" t="inlineStr">
        <is>
          <t>eng</t>
        </is>
      </c>
      <c r="P925" t="inlineStr">
        <is>
          <t>nhu</t>
        </is>
      </c>
      <c r="R925" t="inlineStr">
        <is>
          <t xml:space="preserve">LB </t>
        </is>
      </c>
      <c r="S925" t="n">
        <v>1</v>
      </c>
      <c r="T925" t="n">
        <v>1</v>
      </c>
      <c r="U925" t="inlineStr">
        <is>
          <t>2010-01-21</t>
        </is>
      </c>
      <c r="V925" t="inlineStr">
        <is>
          <t>2010-01-21</t>
        </is>
      </c>
      <c r="W925" t="inlineStr">
        <is>
          <t>2009-12-10</t>
        </is>
      </c>
      <c r="X925" t="inlineStr">
        <is>
          <t>2009-12-10</t>
        </is>
      </c>
      <c r="Y925" t="n">
        <v>129</v>
      </c>
      <c r="Z925" t="n">
        <v>120</v>
      </c>
      <c r="AA925" t="n">
        <v>120</v>
      </c>
      <c r="AB925" t="n">
        <v>1</v>
      </c>
      <c r="AC925" t="n">
        <v>1</v>
      </c>
      <c r="AD925" t="n">
        <v>7</v>
      </c>
      <c r="AE925" t="n">
        <v>7</v>
      </c>
      <c r="AF925" t="n">
        <v>4</v>
      </c>
      <c r="AG925" t="n">
        <v>4</v>
      </c>
      <c r="AH925" t="n">
        <v>1</v>
      </c>
      <c r="AI925" t="n">
        <v>1</v>
      </c>
      <c r="AJ925" t="n">
        <v>6</v>
      </c>
      <c r="AK925" t="n">
        <v>6</v>
      </c>
      <c r="AL925" t="n">
        <v>0</v>
      </c>
      <c r="AM925" t="n">
        <v>0</v>
      </c>
      <c r="AN925" t="n">
        <v>0</v>
      </c>
      <c r="AO925" t="n">
        <v>0</v>
      </c>
      <c r="AP925" t="inlineStr">
        <is>
          <t>No</t>
        </is>
      </c>
      <c r="AQ925" t="inlineStr">
        <is>
          <t>No</t>
        </is>
      </c>
      <c r="AS925">
        <f>HYPERLINK("https://creighton-primo.hosted.exlibrisgroup.com/primo-explore/search?tab=default_tab&amp;search_scope=EVERYTHING&amp;vid=01CRU&amp;lang=en_US&amp;offset=0&amp;query=any,contains,991005345349702656","Catalog Record")</f>
        <v/>
      </c>
      <c r="AT925">
        <f>HYPERLINK("http://www.worldcat.org/oclc/320696459","WorldCat Record")</f>
        <v/>
      </c>
      <c r="AU925" t="inlineStr">
        <is>
          <t>5353183953:eng</t>
        </is>
      </c>
      <c r="AV925" t="inlineStr">
        <is>
          <t>320696459</t>
        </is>
      </c>
      <c r="AW925" t="inlineStr">
        <is>
          <t>991005345349702656</t>
        </is>
      </c>
      <c r="AX925" t="inlineStr">
        <is>
          <t>991005345349702656</t>
        </is>
      </c>
      <c r="AY925" t="inlineStr">
        <is>
          <t>2263673360002656</t>
        </is>
      </c>
      <c r="AZ925" t="inlineStr">
        <is>
          <t>BOOK</t>
        </is>
      </c>
      <c r="BB925" t="inlineStr">
        <is>
          <t>9780325028149</t>
        </is>
      </c>
      <c r="BC925" t="inlineStr">
        <is>
          <t>32285005554257</t>
        </is>
      </c>
      <c r="BD925" t="inlineStr">
        <is>
          <t>893777233</t>
        </is>
      </c>
    </row>
    <row r="926">
      <c r="A926" t="inlineStr">
        <is>
          <t>No</t>
        </is>
      </c>
      <c r="B926" t="inlineStr">
        <is>
          <t>LB1632 .D8</t>
        </is>
      </c>
      <c r="C926" t="inlineStr">
        <is>
          <t>0                      LB 1632000D  8</t>
        </is>
      </c>
      <c r="D926" t="inlineStr">
        <is>
          <t>Teaching reading for human values in high school.</t>
        </is>
      </c>
      <c r="F926" t="inlineStr">
        <is>
          <t>No</t>
        </is>
      </c>
      <c r="G926" t="inlineStr">
        <is>
          <t>1</t>
        </is>
      </c>
      <c r="H926" t="inlineStr">
        <is>
          <t>No</t>
        </is>
      </c>
      <c r="I926" t="inlineStr">
        <is>
          <t>No</t>
        </is>
      </c>
      <c r="J926" t="inlineStr">
        <is>
          <t>0</t>
        </is>
      </c>
      <c r="K926" t="inlineStr">
        <is>
          <t>Duggins, James, compiler.</t>
        </is>
      </c>
      <c r="L926" t="inlineStr">
        <is>
          <t>Columbus, Ohio : Merrill, [1972]</t>
        </is>
      </c>
      <c r="M926" t="inlineStr">
        <is>
          <t>1972</t>
        </is>
      </c>
      <c r="O926" t="inlineStr">
        <is>
          <t>eng</t>
        </is>
      </c>
      <c r="P926" t="inlineStr">
        <is>
          <t>ohu</t>
        </is>
      </c>
      <c r="Q926" t="inlineStr">
        <is>
          <t>The Charles E. Merrill comprehensive reading program</t>
        </is>
      </c>
      <c r="R926" t="inlineStr">
        <is>
          <t xml:space="preserve">LB </t>
        </is>
      </c>
      <c r="S926" t="n">
        <v>4</v>
      </c>
      <c r="T926" t="n">
        <v>4</v>
      </c>
      <c r="U926" t="inlineStr">
        <is>
          <t>2005-10-11</t>
        </is>
      </c>
      <c r="V926" t="inlineStr">
        <is>
          <t>2005-10-11</t>
        </is>
      </c>
      <c r="W926" t="inlineStr">
        <is>
          <t>1992-08-13</t>
        </is>
      </c>
      <c r="X926" t="inlineStr">
        <is>
          <t>1992-08-13</t>
        </is>
      </c>
      <c r="Y926" t="n">
        <v>346</v>
      </c>
      <c r="Z926" t="n">
        <v>304</v>
      </c>
      <c r="AA926" t="n">
        <v>305</v>
      </c>
      <c r="AB926" t="n">
        <v>2</v>
      </c>
      <c r="AC926" t="n">
        <v>2</v>
      </c>
      <c r="AD926" t="n">
        <v>11</v>
      </c>
      <c r="AE926" t="n">
        <v>11</v>
      </c>
      <c r="AF926" t="n">
        <v>2</v>
      </c>
      <c r="AG926" t="n">
        <v>2</v>
      </c>
      <c r="AH926" t="n">
        <v>3</v>
      </c>
      <c r="AI926" t="n">
        <v>3</v>
      </c>
      <c r="AJ926" t="n">
        <v>8</v>
      </c>
      <c r="AK926" t="n">
        <v>8</v>
      </c>
      <c r="AL926" t="n">
        <v>1</v>
      </c>
      <c r="AM926" t="n">
        <v>1</v>
      </c>
      <c r="AN926" t="n">
        <v>0</v>
      </c>
      <c r="AO926" t="n">
        <v>0</v>
      </c>
      <c r="AP926" t="inlineStr">
        <is>
          <t>No</t>
        </is>
      </c>
      <c r="AQ926" t="inlineStr">
        <is>
          <t>No</t>
        </is>
      </c>
      <c r="AS926">
        <f>HYPERLINK("https://creighton-primo.hosted.exlibrisgroup.com/primo-explore/search?tab=default_tab&amp;search_scope=EVERYTHING&amp;vid=01CRU&amp;lang=en_US&amp;offset=0&amp;query=any,contains,991002295509702656","Catalog Record")</f>
        <v/>
      </c>
      <c r="AT926">
        <f>HYPERLINK("http://www.worldcat.org/oclc/315248","WorldCat Record")</f>
        <v/>
      </c>
      <c r="AU926" t="inlineStr">
        <is>
          <t>1384015:eng</t>
        </is>
      </c>
      <c r="AV926" t="inlineStr">
        <is>
          <t>315248</t>
        </is>
      </c>
      <c r="AW926" t="inlineStr">
        <is>
          <t>991002295509702656</t>
        </is>
      </c>
      <c r="AX926" t="inlineStr">
        <is>
          <t>991002295509702656</t>
        </is>
      </c>
      <c r="AY926" t="inlineStr">
        <is>
          <t>2270889090002656</t>
        </is>
      </c>
      <c r="AZ926" t="inlineStr">
        <is>
          <t>BOOK</t>
        </is>
      </c>
      <c r="BB926" t="inlineStr">
        <is>
          <t>9780675091336</t>
        </is>
      </c>
      <c r="BC926" t="inlineStr">
        <is>
          <t>32285001244192</t>
        </is>
      </c>
      <c r="BD926" t="inlineStr">
        <is>
          <t>893792294</t>
        </is>
      </c>
    </row>
    <row r="927">
      <c r="A927" t="inlineStr">
        <is>
          <t>No</t>
        </is>
      </c>
      <c r="B927" t="inlineStr">
        <is>
          <t>LB1632 .E27 2006</t>
        </is>
      </c>
      <c r="C927" t="inlineStr">
        <is>
          <t>0                      LB 1632000E  27          2006</t>
        </is>
      </c>
      <c r="D927" t="inlineStr">
        <is>
          <t>How does it mean? : engaging reluctant readers through literary theory / Lisa Schade Eckert ; foreword by Leila Christenbury.</t>
        </is>
      </c>
      <c r="F927" t="inlineStr">
        <is>
          <t>No</t>
        </is>
      </c>
      <c r="G927" t="inlineStr">
        <is>
          <t>1</t>
        </is>
      </c>
      <c r="H927" t="inlineStr">
        <is>
          <t>No</t>
        </is>
      </c>
      <c r="I927" t="inlineStr">
        <is>
          <t>No</t>
        </is>
      </c>
      <c r="J927" t="inlineStr">
        <is>
          <t>0</t>
        </is>
      </c>
      <c r="K927" t="inlineStr">
        <is>
          <t>Eckert, Lisa Schade.</t>
        </is>
      </c>
      <c r="L927" t="inlineStr">
        <is>
          <t>Portsmouth, NH : Heinemann, c2006.</t>
        </is>
      </c>
      <c r="M927" t="inlineStr">
        <is>
          <t>2006</t>
        </is>
      </c>
      <c r="O927" t="inlineStr">
        <is>
          <t>eng</t>
        </is>
      </c>
      <c r="P927" t="inlineStr">
        <is>
          <t>nhu</t>
        </is>
      </c>
      <c r="R927" t="inlineStr">
        <is>
          <t xml:space="preserve">LB </t>
        </is>
      </c>
      <c r="S927" t="n">
        <v>2</v>
      </c>
      <c r="T927" t="n">
        <v>2</v>
      </c>
      <c r="U927" t="inlineStr">
        <is>
          <t>2007-02-15</t>
        </is>
      </c>
      <c r="V927" t="inlineStr">
        <is>
          <t>2007-02-15</t>
        </is>
      </c>
      <c r="W927" t="inlineStr">
        <is>
          <t>2006-09-28</t>
        </is>
      </c>
      <c r="X927" t="inlineStr">
        <is>
          <t>2006-09-28</t>
        </is>
      </c>
      <c r="Y927" t="n">
        <v>126</v>
      </c>
      <c r="Z927" t="n">
        <v>113</v>
      </c>
      <c r="AA927" t="n">
        <v>113</v>
      </c>
      <c r="AB927" t="n">
        <v>1</v>
      </c>
      <c r="AC927" t="n">
        <v>1</v>
      </c>
      <c r="AD927" t="n">
        <v>3</v>
      </c>
      <c r="AE927" t="n">
        <v>3</v>
      </c>
      <c r="AF927" t="n">
        <v>2</v>
      </c>
      <c r="AG927" t="n">
        <v>2</v>
      </c>
      <c r="AH927" t="n">
        <v>0</v>
      </c>
      <c r="AI927" t="n">
        <v>0</v>
      </c>
      <c r="AJ927" t="n">
        <v>2</v>
      </c>
      <c r="AK927" t="n">
        <v>2</v>
      </c>
      <c r="AL927" t="n">
        <v>0</v>
      </c>
      <c r="AM927" t="n">
        <v>0</v>
      </c>
      <c r="AN927" t="n">
        <v>0</v>
      </c>
      <c r="AO927" t="n">
        <v>0</v>
      </c>
      <c r="AP927" t="inlineStr">
        <is>
          <t>No</t>
        </is>
      </c>
      <c r="AQ927" t="inlineStr">
        <is>
          <t>No</t>
        </is>
      </c>
      <c r="AS927">
        <f>HYPERLINK("https://creighton-primo.hosted.exlibrisgroup.com/primo-explore/search?tab=default_tab&amp;search_scope=EVERYTHING&amp;vid=01CRU&amp;lang=en_US&amp;offset=0&amp;query=any,contains,991004934169702656","Catalog Record")</f>
        <v/>
      </c>
      <c r="AT927">
        <f>HYPERLINK("http://www.worldcat.org/oclc/65301911","WorldCat Record")</f>
        <v/>
      </c>
      <c r="AU927" t="inlineStr">
        <is>
          <t>49123275:eng</t>
        </is>
      </c>
      <c r="AV927" t="inlineStr">
        <is>
          <t>65301911</t>
        </is>
      </c>
      <c r="AW927" t="inlineStr">
        <is>
          <t>991004934169702656</t>
        </is>
      </c>
      <c r="AX927" t="inlineStr">
        <is>
          <t>991004934169702656</t>
        </is>
      </c>
      <c r="AY927" t="inlineStr">
        <is>
          <t>2265733070002656</t>
        </is>
      </c>
      <c r="AZ927" t="inlineStr">
        <is>
          <t>BOOK</t>
        </is>
      </c>
      <c r="BB927" t="inlineStr">
        <is>
          <t>9780325009742</t>
        </is>
      </c>
      <c r="BC927" t="inlineStr">
        <is>
          <t>32285005226773</t>
        </is>
      </c>
      <c r="BD927" t="inlineStr">
        <is>
          <t>893713240</t>
        </is>
      </c>
    </row>
    <row r="928">
      <c r="A928" t="inlineStr">
        <is>
          <t>No</t>
        </is>
      </c>
      <c r="B928" t="inlineStr">
        <is>
          <t>LB1632 .I79 2007</t>
        </is>
      </c>
      <c r="C928" t="inlineStr">
        <is>
          <t>0                      LB 1632000I  79          2007</t>
        </is>
      </c>
      <c r="D928" t="inlineStr">
        <is>
          <t>Is literacy enough? : pathways to academic success for adolescents / by Catherine E. Snow ... [et al.].</t>
        </is>
      </c>
      <c r="F928" t="inlineStr">
        <is>
          <t>No</t>
        </is>
      </c>
      <c r="G928" t="inlineStr">
        <is>
          <t>1</t>
        </is>
      </c>
      <c r="H928" t="inlineStr">
        <is>
          <t>No</t>
        </is>
      </c>
      <c r="I928" t="inlineStr">
        <is>
          <t>No</t>
        </is>
      </c>
      <c r="J928" t="inlineStr">
        <is>
          <t>0</t>
        </is>
      </c>
      <c r="L928" t="inlineStr">
        <is>
          <t>Baltimore : Paul H. Brookes, c2007.</t>
        </is>
      </c>
      <c r="M928" t="inlineStr">
        <is>
          <t>2007</t>
        </is>
      </c>
      <c r="O928" t="inlineStr">
        <is>
          <t>eng</t>
        </is>
      </c>
      <c r="P928" t="inlineStr">
        <is>
          <t>mdu</t>
        </is>
      </c>
      <c r="R928" t="inlineStr">
        <is>
          <t xml:space="preserve">LB </t>
        </is>
      </c>
      <c r="S928" t="n">
        <v>1</v>
      </c>
      <c r="T928" t="n">
        <v>1</v>
      </c>
      <c r="U928" t="inlineStr">
        <is>
          <t>2007-12-05</t>
        </is>
      </c>
      <c r="V928" t="inlineStr">
        <is>
          <t>2007-12-05</t>
        </is>
      </c>
      <c r="W928" t="inlineStr">
        <is>
          <t>2007-12-05</t>
        </is>
      </c>
      <c r="X928" t="inlineStr">
        <is>
          <t>2007-12-05</t>
        </is>
      </c>
      <c r="Y928" t="n">
        <v>276</v>
      </c>
      <c r="Z928" t="n">
        <v>230</v>
      </c>
      <c r="AA928" t="n">
        <v>236</v>
      </c>
      <c r="AB928" t="n">
        <v>3</v>
      </c>
      <c r="AC928" t="n">
        <v>3</v>
      </c>
      <c r="AD928" t="n">
        <v>13</v>
      </c>
      <c r="AE928" t="n">
        <v>13</v>
      </c>
      <c r="AF928" t="n">
        <v>4</v>
      </c>
      <c r="AG928" t="n">
        <v>4</v>
      </c>
      <c r="AH928" t="n">
        <v>1</v>
      </c>
      <c r="AI928" t="n">
        <v>1</v>
      </c>
      <c r="AJ928" t="n">
        <v>9</v>
      </c>
      <c r="AK928" t="n">
        <v>9</v>
      </c>
      <c r="AL928" t="n">
        <v>2</v>
      </c>
      <c r="AM928" t="n">
        <v>2</v>
      </c>
      <c r="AN928" t="n">
        <v>0</v>
      </c>
      <c r="AO928" t="n">
        <v>0</v>
      </c>
      <c r="AP928" t="inlineStr">
        <is>
          <t>No</t>
        </is>
      </c>
      <c r="AQ928" t="inlineStr">
        <is>
          <t>No</t>
        </is>
      </c>
      <c r="AS928">
        <f>HYPERLINK("https://creighton-primo.hosted.exlibrisgroup.com/primo-explore/search?tab=default_tab&amp;search_scope=EVERYTHING&amp;vid=01CRU&amp;lang=en_US&amp;offset=0&amp;query=any,contains,991005156299702656","Catalog Record")</f>
        <v/>
      </c>
      <c r="AT928">
        <f>HYPERLINK("http://www.worldcat.org/oclc/82673661","WorldCat Record")</f>
        <v/>
      </c>
      <c r="AU928" t="inlineStr">
        <is>
          <t>795818683:eng</t>
        </is>
      </c>
      <c r="AV928" t="inlineStr">
        <is>
          <t>82673661</t>
        </is>
      </c>
      <c r="AW928" t="inlineStr">
        <is>
          <t>991005156299702656</t>
        </is>
      </c>
      <c r="AX928" t="inlineStr">
        <is>
          <t>991005156299702656</t>
        </is>
      </c>
      <c r="AY928" t="inlineStr">
        <is>
          <t>2268971630002656</t>
        </is>
      </c>
      <c r="AZ928" t="inlineStr">
        <is>
          <t>BOOK</t>
        </is>
      </c>
      <c r="BB928" t="inlineStr">
        <is>
          <t>9781557669131</t>
        </is>
      </c>
      <c r="BC928" t="inlineStr">
        <is>
          <t>32285005370050</t>
        </is>
      </c>
      <c r="BD928" t="inlineStr">
        <is>
          <t>893625530</t>
        </is>
      </c>
    </row>
    <row r="929">
      <c r="A929" t="inlineStr">
        <is>
          <t>No</t>
        </is>
      </c>
      <c r="B929" t="inlineStr">
        <is>
          <t>LB1632 .J64 2008</t>
        </is>
      </c>
      <c r="C929" t="inlineStr">
        <is>
          <t>0                      LB 1632000J  64          2008</t>
        </is>
      </c>
      <c r="D929" t="inlineStr">
        <is>
          <t>Building reading confidence in adolescents : key elements that enhance proficiency / Holly Johnson, Lauren Freedman, Karen F. Thomas.</t>
        </is>
      </c>
      <c r="F929" t="inlineStr">
        <is>
          <t>No</t>
        </is>
      </c>
      <c r="G929" t="inlineStr">
        <is>
          <t>1</t>
        </is>
      </c>
      <c r="H929" t="inlineStr">
        <is>
          <t>No</t>
        </is>
      </c>
      <c r="I929" t="inlineStr">
        <is>
          <t>No</t>
        </is>
      </c>
      <c r="J929" t="inlineStr">
        <is>
          <t>0</t>
        </is>
      </c>
      <c r="K929" t="inlineStr">
        <is>
          <t>Johnson, Holly, 1956-</t>
        </is>
      </c>
      <c r="L929" t="inlineStr">
        <is>
          <t>Thousand Oaks, CA : Corwin Press, c2008.</t>
        </is>
      </c>
      <c r="M929" t="inlineStr">
        <is>
          <t>2008</t>
        </is>
      </c>
      <c r="O929" t="inlineStr">
        <is>
          <t>eng</t>
        </is>
      </c>
      <c r="P929" t="inlineStr">
        <is>
          <t>cau</t>
        </is>
      </c>
      <c r="R929" t="inlineStr">
        <is>
          <t xml:space="preserve">LB </t>
        </is>
      </c>
      <c r="S929" t="n">
        <v>1</v>
      </c>
      <c r="T929" t="n">
        <v>1</v>
      </c>
      <c r="U929" t="inlineStr">
        <is>
          <t>2008-02-25</t>
        </is>
      </c>
      <c r="V929" t="inlineStr">
        <is>
          <t>2008-02-25</t>
        </is>
      </c>
      <c r="W929" t="inlineStr">
        <is>
          <t>2008-02-25</t>
        </is>
      </c>
      <c r="X929" t="inlineStr">
        <is>
          <t>2008-02-25</t>
        </is>
      </c>
      <c r="Y929" t="n">
        <v>192</v>
      </c>
      <c r="Z929" t="n">
        <v>146</v>
      </c>
      <c r="AA929" t="n">
        <v>168</v>
      </c>
      <c r="AB929" t="n">
        <v>2</v>
      </c>
      <c r="AC929" t="n">
        <v>3</v>
      </c>
      <c r="AD929" t="n">
        <v>7</v>
      </c>
      <c r="AE929" t="n">
        <v>9</v>
      </c>
      <c r="AF929" t="n">
        <v>1</v>
      </c>
      <c r="AG929" t="n">
        <v>2</v>
      </c>
      <c r="AH929" t="n">
        <v>2</v>
      </c>
      <c r="AI929" t="n">
        <v>3</v>
      </c>
      <c r="AJ929" t="n">
        <v>5</v>
      </c>
      <c r="AK929" t="n">
        <v>5</v>
      </c>
      <c r="AL929" t="n">
        <v>1</v>
      </c>
      <c r="AM929" t="n">
        <v>2</v>
      </c>
      <c r="AN929" t="n">
        <v>0</v>
      </c>
      <c r="AO929" t="n">
        <v>0</v>
      </c>
      <c r="AP929" t="inlineStr">
        <is>
          <t>No</t>
        </is>
      </c>
      <c r="AQ929" t="inlineStr">
        <is>
          <t>No</t>
        </is>
      </c>
      <c r="AS929">
        <f>HYPERLINK("https://creighton-primo.hosted.exlibrisgroup.com/primo-explore/search?tab=default_tab&amp;search_scope=EVERYTHING&amp;vid=01CRU&amp;lang=en_US&amp;offset=0&amp;query=any,contains,991005183879702656","Catalog Record")</f>
        <v/>
      </c>
      <c r="AT929">
        <f>HYPERLINK("http://www.worldcat.org/oclc/173683698","WorldCat Record")</f>
        <v/>
      </c>
      <c r="AU929" t="inlineStr">
        <is>
          <t>909697412:eng</t>
        </is>
      </c>
      <c r="AV929" t="inlineStr">
        <is>
          <t>173683698</t>
        </is>
      </c>
      <c r="AW929" t="inlineStr">
        <is>
          <t>991005183879702656</t>
        </is>
      </c>
      <c r="AX929" t="inlineStr">
        <is>
          <t>991005183879702656</t>
        </is>
      </c>
      <c r="AY929" t="inlineStr">
        <is>
          <t>2268999280002656</t>
        </is>
      </c>
      <c r="AZ929" t="inlineStr">
        <is>
          <t>BOOK</t>
        </is>
      </c>
      <c r="BB929" t="inlineStr">
        <is>
          <t>9781412953528</t>
        </is>
      </c>
      <c r="BC929" t="inlineStr">
        <is>
          <t>32285005394365</t>
        </is>
      </c>
      <c r="BD929" t="inlineStr">
        <is>
          <t>893536448</t>
        </is>
      </c>
    </row>
    <row r="930">
      <c r="A930" t="inlineStr">
        <is>
          <t>No</t>
        </is>
      </c>
      <c r="B930" t="inlineStr">
        <is>
          <t>LB1632 .K3 1984</t>
        </is>
      </c>
      <c r="C930" t="inlineStr">
        <is>
          <t>0                      LB 1632000K  3           1984</t>
        </is>
      </c>
      <c r="D930" t="inlineStr">
        <is>
          <t>Teaching reading in high school : improving reading in the content areas / Robert Karlin.</t>
        </is>
      </c>
      <c r="F930" t="inlineStr">
        <is>
          <t>No</t>
        </is>
      </c>
      <c r="G930" t="inlineStr">
        <is>
          <t>1</t>
        </is>
      </c>
      <c r="H930" t="inlineStr">
        <is>
          <t>No</t>
        </is>
      </c>
      <c r="I930" t="inlineStr">
        <is>
          <t>No</t>
        </is>
      </c>
      <c r="J930" t="inlineStr">
        <is>
          <t>0</t>
        </is>
      </c>
      <c r="K930" t="inlineStr">
        <is>
          <t>Karlin, Robert.</t>
        </is>
      </c>
      <c r="L930" t="inlineStr">
        <is>
          <t>New York : Harper &amp; Row, c1984.</t>
        </is>
      </c>
      <c r="M930" t="inlineStr">
        <is>
          <t>1984</t>
        </is>
      </c>
      <c r="N930" t="inlineStr">
        <is>
          <t>4th ed.</t>
        </is>
      </c>
      <c r="O930" t="inlineStr">
        <is>
          <t>eng</t>
        </is>
      </c>
      <c r="P930" t="inlineStr">
        <is>
          <t>nyu</t>
        </is>
      </c>
      <c r="R930" t="inlineStr">
        <is>
          <t xml:space="preserve">LB </t>
        </is>
      </c>
      <c r="S930" t="n">
        <v>1</v>
      </c>
      <c r="T930" t="n">
        <v>1</v>
      </c>
      <c r="U930" t="inlineStr">
        <is>
          <t>2000-06-07</t>
        </is>
      </c>
      <c r="V930" t="inlineStr">
        <is>
          <t>2000-06-07</t>
        </is>
      </c>
      <c r="W930" t="inlineStr">
        <is>
          <t>1993-02-02</t>
        </is>
      </c>
      <c r="X930" t="inlineStr">
        <is>
          <t>1993-02-02</t>
        </is>
      </c>
      <c r="Y930" t="n">
        <v>264</v>
      </c>
      <c r="Z930" t="n">
        <v>222</v>
      </c>
      <c r="AA930" t="n">
        <v>662</v>
      </c>
      <c r="AB930" t="n">
        <v>3</v>
      </c>
      <c r="AC930" t="n">
        <v>8</v>
      </c>
      <c r="AD930" t="n">
        <v>8</v>
      </c>
      <c r="AE930" t="n">
        <v>28</v>
      </c>
      <c r="AF930" t="n">
        <v>2</v>
      </c>
      <c r="AG930" t="n">
        <v>8</v>
      </c>
      <c r="AH930" t="n">
        <v>2</v>
      </c>
      <c r="AI930" t="n">
        <v>5</v>
      </c>
      <c r="AJ930" t="n">
        <v>4</v>
      </c>
      <c r="AK930" t="n">
        <v>15</v>
      </c>
      <c r="AL930" t="n">
        <v>2</v>
      </c>
      <c r="AM930" t="n">
        <v>7</v>
      </c>
      <c r="AN930" t="n">
        <v>0</v>
      </c>
      <c r="AO930" t="n">
        <v>0</v>
      </c>
      <c r="AP930" t="inlineStr">
        <is>
          <t>No</t>
        </is>
      </c>
      <c r="AQ930" t="inlineStr">
        <is>
          <t>No</t>
        </is>
      </c>
      <c r="AS930">
        <f>HYPERLINK("https://creighton-primo.hosted.exlibrisgroup.com/primo-explore/search?tab=default_tab&amp;search_scope=EVERYTHING&amp;vid=01CRU&amp;lang=en_US&amp;offset=0&amp;query=any,contains,991000345559702656","Catalog Record")</f>
        <v/>
      </c>
      <c r="AT930">
        <f>HYPERLINK("http://www.worldcat.org/oclc/10277670","WorldCat Record")</f>
        <v/>
      </c>
      <c r="AU930" t="inlineStr">
        <is>
          <t>1327758:eng</t>
        </is>
      </c>
      <c r="AV930" t="inlineStr">
        <is>
          <t>10277670</t>
        </is>
      </c>
      <c r="AW930" t="inlineStr">
        <is>
          <t>991000345559702656</t>
        </is>
      </c>
      <c r="AX930" t="inlineStr">
        <is>
          <t>991000345559702656</t>
        </is>
      </c>
      <c r="AY930" t="inlineStr">
        <is>
          <t>2265294150002656</t>
        </is>
      </c>
      <c r="AZ930" t="inlineStr">
        <is>
          <t>BOOK</t>
        </is>
      </c>
      <c r="BB930" t="inlineStr">
        <is>
          <t>9780060435158</t>
        </is>
      </c>
      <c r="BC930" t="inlineStr">
        <is>
          <t>32285001480804</t>
        </is>
      </c>
      <c r="BD930" t="inlineStr">
        <is>
          <t>893502411</t>
        </is>
      </c>
    </row>
    <row r="931">
      <c r="A931" t="inlineStr">
        <is>
          <t>No</t>
        </is>
      </c>
      <c r="B931" t="inlineStr">
        <is>
          <t>LB1632 .K53 2005</t>
        </is>
      </c>
      <c r="C931" t="inlineStr">
        <is>
          <t>0                      LB 1632000K  53          2005</t>
        </is>
      </c>
      <c r="D931" t="inlineStr">
        <is>
          <t>When text meets text : helping high school readers make connections in literature / Barbara King-Shaver.</t>
        </is>
      </c>
      <c r="F931" t="inlineStr">
        <is>
          <t>No</t>
        </is>
      </c>
      <c r="G931" t="inlineStr">
        <is>
          <t>1</t>
        </is>
      </c>
      <c r="H931" t="inlineStr">
        <is>
          <t>No</t>
        </is>
      </c>
      <c r="I931" t="inlineStr">
        <is>
          <t>No</t>
        </is>
      </c>
      <c r="J931" t="inlineStr">
        <is>
          <t>0</t>
        </is>
      </c>
      <c r="K931" t="inlineStr">
        <is>
          <t>King-Shaver, Barbara.</t>
        </is>
      </c>
      <c r="L931" t="inlineStr">
        <is>
          <t>Portsmouth, NH : Heinemann, c2005.</t>
        </is>
      </c>
      <c r="M931" t="inlineStr">
        <is>
          <t>2005</t>
        </is>
      </c>
      <c r="O931" t="inlineStr">
        <is>
          <t>eng</t>
        </is>
      </c>
      <c r="P931" t="inlineStr">
        <is>
          <t>nhu</t>
        </is>
      </c>
      <c r="R931" t="inlineStr">
        <is>
          <t xml:space="preserve">LB </t>
        </is>
      </c>
      <c r="S931" t="n">
        <v>4</v>
      </c>
      <c r="T931" t="n">
        <v>4</v>
      </c>
      <c r="U931" t="inlineStr">
        <is>
          <t>2007-10-04</t>
        </is>
      </c>
      <c r="V931" t="inlineStr">
        <is>
          <t>2007-10-04</t>
        </is>
      </c>
      <c r="W931" t="inlineStr">
        <is>
          <t>2006-01-16</t>
        </is>
      </c>
      <c r="X931" t="inlineStr">
        <is>
          <t>2006-01-16</t>
        </is>
      </c>
      <c r="Y931" t="n">
        <v>158</v>
      </c>
      <c r="Z931" t="n">
        <v>145</v>
      </c>
      <c r="AA931" t="n">
        <v>146</v>
      </c>
      <c r="AB931" t="n">
        <v>2</v>
      </c>
      <c r="AC931" t="n">
        <v>2</v>
      </c>
      <c r="AD931" t="n">
        <v>7</v>
      </c>
      <c r="AE931" t="n">
        <v>7</v>
      </c>
      <c r="AF931" t="n">
        <v>2</v>
      </c>
      <c r="AG931" t="n">
        <v>2</v>
      </c>
      <c r="AH931" t="n">
        <v>1</v>
      </c>
      <c r="AI931" t="n">
        <v>1</v>
      </c>
      <c r="AJ931" t="n">
        <v>5</v>
      </c>
      <c r="AK931" t="n">
        <v>5</v>
      </c>
      <c r="AL931" t="n">
        <v>1</v>
      </c>
      <c r="AM931" t="n">
        <v>1</v>
      </c>
      <c r="AN931" t="n">
        <v>0</v>
      </c>
      <c r="AO931" t="n">
        <v>0</v>
      </c>
      <c r="AP931" t="inlineStr">
        <is>
          <t>No</t>
        </is>
      </c>
      <c r="AQ931" t="inlineStr">
        <is>
          <t>Yes</t>
        </is>
      </c>
      <c r="AR931">
        <f>HYPERLINK("http://catalog.hathitrust.org/Record/102042234","HathiTrust Record")</f>
        <v/>
      </c>
      <c r="AS931">
        <f>HYPERLINK("https://creighton-primo.hosted.exlibrisgroup.com/primo-explore/search?tab=default_tab&amp;search_scope=EVERYTHING&amp;vid=01CRU&amp;lang=en_US&amp;offset=0&amp;query=any,contains,991004712749702656","Catalog Record")</f>
        <v/>
      </c>
      <c r="AT931">
        <f>HYPERLINK("http://www.worldcat.org/oclc/60311748","WorldCat Record")</f>
        <v/>
      </c>
      <c r="AU931" t="inlineStr">
        <is>
          <t>4235992583:eng</t>
        </is>
      </c>
      <c r="AV931" t="inlineStr">
        <is>
          <t>60311748</t>
        </is>
      </c>
      <c r="AW931" t="inlineStr">
        <is>
          <t>991004712749702656</t>
        </is>
      </c>
      <c r="AX931" t="inlineStr">
        <is>
          <t>991004712749702656</t>
        </is>
      </c>
      <c r="AY931" t="inlineStr">
        <is>
          <t>2259152190002656</t>
        </is>
      </c>
      <c r="AZ931" t="inlineStr">
        <is>
          <t>BOOK</t>
        </is>
      </c>
      <c r="BB931" t="inlineStr">
        <is>
          <t>9780325007601</t>
        </is>
      </c>
      <c r="BC931" t="inlineStr">
        <is>
          <t>32285005155246</t>
        </is>
      </c>
      <c r="BD931" t="inlineStr">
        <is>
          <t>893319555</t>
        </is>
      </c>
    </row>
    <row r="932">
      <c r="A932" t="inlineStr">
        <is>
          <t>No</t>
        </is>
      </c>
      <c r="B932" t="inlineStr">
        <is>
          <t>LB1632 .M62 2003</t>
        </is>
      </c>
      <c r="C932" t="inlineStr">
        <is>
          <t>0                      LB 1632000M  62          2003</t>
        </is>
      </c>
      <c r="D932" t="inlineStr">
        <is>
          <t>Starting out : a guide to teaching adolescents who struggle with reading / David W. Moore, Kathleen A. Hinchman.</t>
        </is>
      </c>
      <c r="F932" t="inlineStr">
        <is>
          <t>No</t>
        </is>
      </c>
      <c r="G932" t="inlineStr">
        <is>
          <t>1</t>
        </is>
      </c>
      <c r="H932" t="inlineStr">
        <is>
          <t>No</t>
        </is>
      </c>
      <c r="I932" t="inlineStr">
        <is>
          <t>No</t>
        </is>
      </c>
      <c r="J932" t="inlineStr">
        <is>
          <t>0</t>
        </is>
      </c>
      <c r="K932" t="inlineStr">
        <is>
          <t>Moore, David W.</t>
        </is>
      </c>
      <c r="L932" t="inlineStr">
        <is>
          <t>Boston : Allyn and Bacon, c2003.</t>
        </is>
      </c>
      <c r="M932" t="inlineStr">
        <is>
          <t>2003</t>
        </is>
      </c>
      <c r="O932" t="inlineStr">
        <is>
          <t>eng</t>
        </is>
      </c>
      <c r="P932" t="inlineStr">
        <is>
          <t>mau</t>
        </is>
      </c>
      <c r="R932" t="inlineStr">
        <is>
          <t xml:space="preserve">LB </t>
        </is>
      </c>
      <c r="S932" t="n">
        <v>1</v>
      </c>
      <c r="T932" t="n">
        <v>1</v>
      </c>
      <c r="U932" t="inlineStr">
        <is>
          <t>2005-01-25</t>
        </is>
      </c>
      <c r="V932" t="inlineStr">
        <is>
          <t>2005-01-25</t>
        </is>
      </c>
      <c r="W932" t="inlineStr">
        <is>
          <t>2002-11-20</t>
        </is>
      </c>
      <c r="X932" t="inlineStr">
        <is>
          <t>2002-11-20</t>
        </is>
      </c>
      <c r="Y932" t="n">
        <v>235</v>
      </c>
      <c r="Z932" t="n">
        <v>201</v>
      </c>
      <c r="AA932" t="n">
        <v>207</v>
      </c>
      <c r="AB932" t="n">
        <v>3</v>
      </c>
      <c r="AC932" t="n">
        <v>3</v>
      </c>
      <c r="AD932" t="n">
        <v>11</v>
      </c>
      <c r="AE932" t="n">
        <v>11</v>
      </c>
      <c r="AF932" t="n">
        <v>4</v>
      </c>
      <c r="AG932" t="n">
        <v>4</v>
      </c>
      <c r="AH932" t="n">
        <v>3</v>
      </c>
      <c r="AI932" t="n">
        <v>3</v>
      </c>
      <c r="AJ932" t="n">
        <v>6</v>
      </c>
      <c r="AK932" t="n">
        <v>6</v>
      </c>
      <c r="AL932" t="n">
        <v>2</v>
      </c>
      <c r="AM932" t="n">
        <v>2</v>
      </c>
      <c r="AN932" t="n">
        <v>0</v>
      </c>
      <c r="AO932" t="n">
        <v>0</v>
      </c>
      <c r="AP932" t="inlineStr">
        <is>
          <t>No</t>
        </is>
      </c>
      <c r="AQ932" t="inlineStr">
        <is>
          <t>Yes</t>
        </is>
      </c>
      <c r="AR932">
        <f>HYPERLINK("http://catalog.hathitrust.org/Record/004286920","HathiTrust Record")</f>
        <v/>
      </c>
      <c r="AS932">
        <f>HYPERLINK("https://creighton-primo.hosted.exlibrisgroup.com/primo-explore/search?tab=default_tab&amp;search_scope=EVERYTHING&amp;vid=01CRU&amp;lang=en_US&amp;offset=0&amp;query=any,contains,991003946459702656","Catalog Record")</f>
        <v/>
      </c>
      <c r="AT932">
        <f>HYPERLINK("http://www.worldcat.org/oclc/49530040","WorldCat Record")</f>
        <v/>
      </c>
      <c r="AU932" t="inlineStr">
        <is>
          <t>988395872:eng</t>
        </is>
      </c>
      <c r="AV932" t="inlineStr">
        <is>
          <t>49530040</t>
        </is>
      </c>
      <c r="AW932" t="inlineStr">
        <is>
          <t>991003946459702656</t>
        </is>
      </c>
      <c r="AX932" t="inlineStr">
        <is>
          <t>991003946459702656</t>
        </is>
      </c>
      <c r="AY932" t="inlineStr">
        <is>
          <t>2268000030002656</t>
        </is>
      </c>
      <c r="AZ932" t="inlineStr">
        <is>
          <t>BOOK</t>
        </is>
      </c>
      <c r="BB932" t="inlineStr">
        <is>
          <t>9780321078100</t>
        </is>
      </c>
      <c r="BC932" t="inlineStr">
        <is>
          <t>32285004665369</t>
        </is>
      </c>
      <c r="BD932" t="inlineStr">
        <is>
          <t>893605434</t>
        </is>
      </c>
    </row>
    <row r="933">
      <c r="A933" t="inlineStr">
        <is>
          <t>No</t>
        </is>
      </c>
      <c r="B933" t="inlineStr">
        <is>
          <t>LB1632 .P395 2009</t>
        </is>
      </c>
      <c r="C933" t="inlineStr">
        <is>
          <t>0                      LB 1632000P  395         2009</t>
        </is>
      </c>
      <c r="D933" t="inlineStr">
        <is>
          <t>Reading to learn in secondary classrooms : increasing comprehension and understanding / Daniel M. Perna, Sarah F. Mahurt.</t>
        </is>
      </c>
      <c r="F933" t="inlineStr">
        <is>
          <t>No</t>
        </is>
      </c>
      <c r="G933" t="inlineStr">
        <is>
          <t>1</t>
        </is>
      </c>
      <c r="H933" t="inlineStr">
        <is>
          <t>No</t>
        </is>
      </c>
      <c r="I933" t="inlineStr">
        <is>
          <t>No</t>
        </is>
      </c>
      <c r="J933" t="inlineStr">
        <is>
          <t>0</t>
        </is>
      </c>
      <c r="K933" t="inlineStr">
        <is>
          <t>Perna, Daniel M.</t>
        </is>
      </c>
      <c r="L933" t="inlineStr">
        <is>
          <t>Thousand Oaks, Calif. : Corwin Press, c2009.</t>
        </is>
      </c>
      <c r="M933" t="inlineStr">
        <is>
          <t>2009</t>
        </is>
      </c>
      <c r="O933" t="inlineStr">
        <is>
          <t>eng</t>
        </is>
      </c>
      <c r="P933" t="inlineStr">
        <is>
          <t>cau</t>
        </is>
      </c>
      <c r="R933" t="inlineStr">
        <is>
          <t xml:space="preserve">LB </t>
        </is>
      </c>
      <c r="S933" t="n">
        <v>1</v>
      </c>
      <c r="T933" t="n">
        <v>1</v>
      </c>
      <c r="U933" t="inlineStr">
        <is>
          <t>2009-08-31</t>
        </is>
      </c>
      <c r="V933" t="inlineStr">
        <is>
          <t>2009-08-31</t>
        </is>
      </c>
      <c r="W933" t="inlineStr">
        <is>
          <t>2009-08-31</t>
        </is>
      </c>
      <c r="X933" t="inlineStr">
        <is>
          <t>2009-08-31</t>
        </is>
      </c>
      <c r="Y933" t="n">
        <v>167</v>
      </c>
      <c r="Z933" t="n">
        <v>134</v>
      </c>
      <c r="AA933" t="n">
        <v>159</v>
      </c>
      <c r="AB933" t="n">
        <v>2</v>
      </c>
      <c r="AC933" t="n">
        <v>3</v>
      </c>
      <c r="AD933" t="n">
        <v>4</v>
      </c>
      <c r="AE933" t="n">
        <v>6</v>
      </c>
      <c r="AF933" t="n">
        <v>2</v>
      </c>
      <c r="AG933" t="n">
        <v>3</v>
      </c>
      <c r="AH933" t="n">
        <v>1</v>
      </c>
      <c r="AI933" t="n">
        <v>2</v>
      </c>
      <c r="AJ933" t="n">
        <v>3</v>
      </c>
      <c r="AK933" t="n">
        <v>3</v>
      </c>
      <c r="AL933" t="n">
        <v>1</v>
      </c>
      <c r="AM933" t="n">
        <v>2</v>
      </c>
      <c r="AN933" t="n">
        <v>0</v>
      </c>
      <c r="AO933" t="n">
        <v>0</v>
      </c>
      <c r="AP933" t="inlineStr">
        <is>
          <t>No</t>
        </is>
      </c>
      <c r="AQ933" t="inlineStr">
        <is>
          <t>No</t>
        </is>
      </c>
      <c r="AS933">
        <f>HYPERLINK("https://creighton-primo.hosted.exlibrisgroup.com/primo-explore/search?tab=default_tab&amp;search_scope=EVERYTHING&amp;vid=01CRU&amp;lang=en_US&amp;offset=0&amp;query=any,contains,991005332649702656","Catalog Record")</f>
        <v/>
      </c>
      <c r="AT933">
        <f>HYPERLINK("http://www.worldcat.org/oclc/299709978","WorldCat Record")</f>
        <v/>
      </c>
      <c r="AU933" t="inlineStr">
        <is>
          <t>180344779:eng</t>
        </is>
      </c>
      <c r="AV933" t="inlineStr">
        <is>
          <t>299709978</t>
        </is>
      </c>
      <c r="AW933" t="inlineStr">
        <is>
          <t>991005332649702656</t>
        </is>
      </c>
      <c r="AX933" t="inlineStr">
        <is>
          <t>991005332649702656</t>
        </is>
      </c>
      <c r="AY933" t="inlineStr">
        <is>
          <t>2255011340002656</t>
        </is>
      </c>
      <c r="AZ933" t="inlineStr">
        <is>
          <t>BOOK</t>
        </is>
      </c>
      <c r="BB933" t="inlineStr">
        <is>
          <t>9781412956116</t>
        </is>
      </c>
      <c r="BC933" t="inlineStr">
        <is>
          <t>32285005542948</t>
        </is>
      </c>
      <c r="BD933" t="inlineStr">
        <is>
          <t>893905381</t>
        </is>
      </c>
    </row>
    <row r="934">
      <c r="A934" t="inlineStr">
        <is>
          <t>No</t>
        </is>
      </c>
      <c r="B934" t="inlineStr">
        <is>
          <t>LB1632 .R46 2004</t>
        </is>
      </c>
      <c r="C934" t="inlineStr">
        <is>
          <t>0                      LB 1632000R  46          2004</t>
        </is>
      </c>
      <c r="D934" t="inlineStr">
        <is>
          <t>I won't read and you can't make me : reaching reluctant teen readers / Marilyn Reynolds.</t>
        </is>
      </c>
      <c r="F934" t="inlineStr">
        <is>
          <t>No</t>
        </is>
      </c>
      <c r="G934" t="inlineStr">
        <is>
          <t>1</t>
        </is>
      </c>
      <c r="H934" t="inlineStr">
        <is>
          <t>No</t>
        </is>
      </c>
      <c r="I934" t="inlineStr">
        <is>
          <t>No</t>
        </is>
      </c>
      <c r="J934" t="inlineStr">
        <is>
          <t>0</t>
        </is>
      </c>
      <c r="K934" t="inlineStr">
        <is>
          <t>Reynolds, Marilyn, 1935-</t>
        </is>
      </c>
      <c r="L934" t="inlineStr">
        <is>
          <t>Portsmouth, NH : Heinemann, c2004.</t>
        </is>
      </c>
      <c r="M934" t="inlineStr">
        <is>
          <t>2004</t>
        </is>
      </c>
      <c r="O934" t="inlineStr">
        <is>
          <t>eng</t>
        </is>
      </c>
      <c r="P934" t="inlineStr">
        <is>
          <t>nhu</t>
        </is>
      </c>
      <c r="R934" t="inlineStr">
        <is>
          <t xml:space="preserve">LB </t>
        </is>
      </c>
      <c r="S934" t="n">
        <v>3</v>
      </c>
      <c r="T934" t="n">
        <v>3</v>
      </c>
      <c r="U934" t="inlineStr">
        <is>
          <t>2007-04-16</t>
        </is>
      </c>
      <c r="V934" t="inlineStr">
        <is>
          <t>2007-04-16</t>
        </is>
      </c>
      <c r="W934" t="inlineStr">
        <is>
          <t>2004-06-07</t>
        </is>
      </c>
      <c r="X934" t="inlineStr">
        <is>
          <t>2004-06-07</t>
        </is>
      </c>
      <c r="Y934" t="n">
        <v>355</v>
      </c>
      <c r="Z934" t="n">
        <v>322</v>
      </c>
      <c r="AA934" t="n">
        <v>323</v>
      </c>
      <c r="AB934" t="n">
        <v>3</v>
      </c>
      <c r="AC934" t="n">
        <v>3</v>
      </c>
      <c r="AD934" t="n">
        <v>12</v>
      </c>
      <c r="AE934" t="n">
        <v>12</v>
      </c>
      <c r="AF934" t="n">
        <v>4</v>
      </c>
      <c r="AG934" t="n">
        <v>4</v>
      </c>
      <c r="AH934" t="n">
        <v>2</v>
      </c>
      <c r="AI934" t="n">
        <v>2</v>
      </c>
      <c r="AJ934" t="n">
        <v>5</v>
      </c>
      <c r="AK934" t="n">
        <v>5</v>
      </c>
      <c r="AL934" t="n">
        <v>2</v>
      </c>
      <c r="AM934" t="n">
        <v>2</v>
      </c>
      <c r="AN934" t="n">
        <v>0</v>
      </c>
      <c r="AO934" t="n">
        <v>0</v>
      </c>
      <c r="AP934" t="inlineStr">
        <is>
          <t>No</t>
        </is>
      </c>
      <c r="AQ934" t="inlineStr">
        <is>
          <t>Yes</t>
        </is>
      </c>
      <c r="AR934">
        <f>HYPERLINK("http://catalog.hathitrust.org/Record/009933425","HathiTrust Record")</f>
        <v/>
      </c>
      <c r="AS934">
        <f>HYPERLINK("https://creighton-primo.hosted.exlibrisgroup.com/primo-explore/search?tab=default_tab&amp;search_scope=EVERYTHING&amp;vid=01CRU&amp;lang=en_US&amp;offset=0&amp;query=any,contains,991004302499702656","Catalog Record")</f>
        <v/>
      </c>
      <c r="AT934">
        <f>HYPERLINK("http://www.worldcat.org/oclc/53287680","WorldCat Record")</f>
        <v/>
      </c>
      <c r="AU934" t="inlineStr">
        <is>
          <t>902463263:eng</t>
        </is>
      </c>
      <c r="AV934" t="inlineStr">
        <is>
          <t>53287680</t>
        </is>
      </c>
      <c r="AW934" t="inlineStr">
        <is>
          <t>991004302499702656</t>
        </is>
      </c>
      <c r="AX934" t="inlineStr">
        <is>
          <t>991004302499702656</t>
        </is>
      </c>
      <c r="AY934" t="inlineStr">
        <is>
          <t>2259268170002656</t>
        </is>
      </c>
      <c r="AZ934" t="inlineStr">
        <is>
          <t>BOOK</t>
        </is>
      </c>
      <c r="BB934" t="inlineStr">
        <is>
          <t>9780325006055</t>
        </is>
      </c>
      <c r="BC934" t="inlineStr">
        <is>
          <t>32285004907688</t>
        </is>
      </c>
      <c r="BD934" t="inlineStr">
        <is>
          <t>893894827</t>
        </is>
      </c>
    </row>
    <row r="935">
      <c r="A935" t="inlineStr">
        <is>
          <t>No</t>
        </is>
      </c>
      <c r="B935" t="inlineStr">
        <is>
          <t>LB1632 .R52 2006</t>
        </is>
      </c>
      <c r="C935" t="inlineStr">
        <is>
          <t>0                      LB 1632000R  52          2006</t>
        </is>
      </c>
      <c r="D935" t="inlineStr">
        <is>
          <t>Theme-sets for secondary students : how to scaffold core literature / Jeannine Richison, Anita Hernandez, Marcia Carter.</t>
        </is>
      </c>
      <c r="F935" t="inlineStr">
        <is>
          <t>No</t>
        </is>
      </c>
      <c r="G935" t="inlineStr">
        <is>
          <t>1</t>
        </is>
      </c>
      <c r="H935" t="inlineStr">
        <is>
          <t>No</t>
        </is>
      </c>
      <c r="I935" t="inlineStr">
        <is>
          <t>No</t>
        </is>
      </c>
      <c r="J935" t="inlineStr">
        <is>
          <t>0</t>
        </is>
      </c>
      <c r="K935" t="inlineStr">
        <is>
          <t>Richison, Jeannine D.</t>
        </is>
      </c>
      <c r="L935" t="inlineStr">
        <is>
          <t>Portsmouth, NH : Heinemann, c2006.</t>
        </is>
      </c>
      <c r="M935" t="inlineStr">
        <is>
          <t>2006</t>
        </is>
      </c>
      <c r="O935" t="inlineStr">
        <is>
          <t>eng</t>
        </is>
      </c>
      <c r="P935" t="inlineStr">
        <is>
          <t>nhu</t>
        </is>
      </c>
      <c r="R935" t="inlineStr">
        <is>
          <t xml:space="preserve">LB </t>
        </is>
      </c>
      <c r="S935" t="n">
        <v>2</v>
      </c>
      <c r="T935" t="n">
        <v>2</v>
      </c>
      <c r="U935" t="inlineStr">
        <is>
          <t>2007-10-04</t>
        </is>
      </c>
      <c r="V935" t="inlineStr">
        <is>
          <t>2007-10-04</t>
        </is>
      </c>
      <c r="W935" t="inlineStr">
        <is>
          <t>2006-03-23</t>
        </is>
      </c>
      <c r="X935" t="inlineStr">
        <is>
          <t>2006-03-23</t>
        </is>
      </c>
      <c r="Y935" t="n">
        <v>168</v>
      </c>
      <c r="Z935" t="n">
        <v>151</v>
      </c>
      <c r="AA935" t="n">
        <v>151</v>
      </c>
      <c r="AB935" t="n">
        <v>2</v>
      </c>
      <c r="AC935" t="n">
        <v>2</v>
      </c>
      <c r="AD935" t="n">
        <v>6</v>
      </c>
      <c r="AE935" t="n">
        <v>6</v>
      </c>
      <c r="AF935" t="n">
        <v>1</v>
      </c>
      <c r="AG935" t="n">
        <v>1</v>
      </c>
      <c r="AH935" t="n">
        <v>1</v>
      </c>
      <c r="AI935" t="n">
        <v>1</v>
      </c>
      <c r="AJ935" t="n">
        <v>4</v>
      </c>
      <c r="AK935" t="n">
        <v>4</v>
      </c>
      <c r="AL935" t="n">
        <v>1</v>
      </c>
      <c r="AM935" t="n">
        <v>1</v>
      </c>
      <c r="AN935" t="n">
        <v>0</v>
      </c>
      <c r="AO935" t="n">
        <v>0</v>
      </c>
      <c r="AP935" t="inlineStr">
        <is>
          <t>No</t>
        </is>
      </c>
      <c r="AQ935" t="inlineStr">
        <is>
          <t>No</t>
        </is>
      </c>
      <c r="AS935">
        <f>HYPERLINK("https://creighton-primo.hosted.exlibrisgroup.com/primo-explore/search?tab=default_tab&amp;search_scope=EVERYTHING&amp;vid=01CRU&amp;lang=en_US&amp;offset=0&amp;query=any,contains,991004770599702656","Catalog Record")</f>
        <v/>
      </c>
      <c r="AT935">
        <f>HYPERLINK("http://www.worldcat.org/oclc/62421149","WorldCat Record")</f>
        <v/>
      </c>
      <c r="AU935" t="inlineStr">
        <is>
          <t>46779955:eng</t>
        </is>
      </c>
      <c r="AV935" t="inlineStr">
        <is>
          <t>62421149</t>
        </is>
      </c>
      <c r="AW935" t="inlineStr">
        <is>
          <t>991004770599702656</t>
        </is>
      </c>
      <c r="AX935" t="inlineStr">
        <is>
          <t>991004770599702656</t>
        </is>
      </c>
      <c r="AY935" t="inlineStr">
        <is>
          <t>2258279810002656</t>
        </is>
      </c>
      <c r="AZ935" t="inlineStr">
        <is>
          <t>BOOK</t>
        </is>
      </c>
      <c r="BB935" t="inlineStr">
        <is>
          <t>9780325009148</t>
        </is>
      </c>
      <c r="BC935" t="inlineStr">
        <is>
          <t>32285005167001</t>
        </is>
      </c>
      <c r="BD935" t="inlineStr">
        <is>
          <t>893870090</t>
        </is>
      </c>
    </row>
    <row r="936">
      <c r="A936" t="inlineStr">
        <is>
          <t>No</t>
        </is>
      </c>
      <c r="B936" t="inlineStr">
        <is>
          <t>LB1632 .Z57 2001</t>
        </is>
      </c>
      <c r="C936" t="inlineStr">
        <is>
          <t>0                      LB 1632000Z  57          2001</t>
        </is>
      </c>
      <c r="D936" t="inlineStr">
        <is>
          <t>A classroom of teenaged readers : nurturing reading processes in senior high English / Driek Zirinsky, Shirley A. Rau.</t>
        </is>
      </c>
      <c r="F936" t="inlineStr">
        <is>
          <t>No</t>
        </is>
      </c>
      <c r="G936" t="inlineStr">
        <is>
          <t>1</t>
        </is>
      </c>
      <c r="H936" t="inlineStr">
        <is>
          <t>No</t>
        </is>
      </c>
      <c r="I936" t="inlineStr">
        <is>
          <t>No</t>
        </is>
      </c>
      <c r="J936" t="inlineStr">
        <is>
          <t>0</t>
        </is>
      </c>
      <c r="K936" t="inlineStr">
        <is>
          <t>Zirinsky, Driek.</t>
        </is>
      </c>
      <c r="L936" t="inlineStr">
        <is>
          <t>New York : Longman c2001.</t>
        </is>
      </c>
      <c r="M936" t="inlineStr">
        <is>
          <t>2001</t>
        </is>
      </c>
      <c r="O936" t="inlineStr">
        <is>
          <t>eng</t>
        </is>
      </c>
      <c r="P936" t="inlineStr">
        <is>
          <t>nyu</t>
        </is>
      </c>
      <c r="R936" t="inlineStr">
        <is>
          <t xml:space="preserve">LB </t>
        </is>
      </c>
      <c r="S936" t="n">
        <v>4</v>
      </c>
      <c r="T936" t="n">
        <v>4</v>
      </c>
      <c r="U936" t="inlineStr">
        <is>
          <t>2001-08-28</t>
        </is>
      </c>
      <c r="V936" t="inlineStr">
        <is>
          <t>2001-08-28</t>
        </is>
      </c>
      <c r="W936" t="inlineStr">
        <is>
          <t>2001-06-04</t>
        </is>
      </c>
      <c r="X936" t="inlineStr">
        <is>
          <t>2001-06-04</t>
        </is>
      </c>
      <c r="Y936" t="n">
        <v>229</v>
      </c>
      <c r="Z936" t="n">
        <v>196</v>
      </c>
      <c r="AA936" t="n">
        <v>202</v>
      </c>
      <c r="AB936" t="n">
        <v>3</v>
      </c>
      <c r="AC936" t="n">
        <v>3</v>
      </c>
      <c r="AD936" t="n">
        <v>14</v>
      </c>
      <c r="AE936" t="n">
        <v>14</v>
      </c>
      <c r="AF936" t="n">
        <v>4</v>
      </c>
      <c r="AG936" t="n">
        <v>4</v>
      </c>
      <c r="AH936" t="n">
        <v>3</v>
      </c>
      <c r="AI936" t="n">
        <v>3</v>
      </c>
      <c r="AJ936" t="n">
        <v>9</v>
      </c>
      <c r="AK936" t="n">
        <v>9</v>
      </c>
      <c r="AL936" t="n">
        <v>2</v>
      </c>
      <c r="AM936" t="n">
        <v>2</v>
      </c>
      <c r="AN936" t="n">
        <v>0</v>
      </c>
      <c r="AO936" t="n">
        <v>0</v>
      </c>
      <c r="AP936" t="inlineStr">
        <is>
          <t>No</t>
        </is>
      </c>
      <c r="AQ936" t="inlineStr">
        <is>
          <t>Yes</t>
        </is>
      </c>
      <c r="AR936">
        <f>HYPERLINK("http://catalog.hathitrust.org/Record/004165484","HathiTrust Record")</f>
        <v/>
      </c>
      <c r="AS936">
        <f>HYPERLINK("https://creighton-primo.hosted.exlibrisgroup.com/primo-explore/search?tab=default_tab&amp;search_scope=EVERYTHING&amp;vid=01CRU&amp;lang=en_US&amp;offset=0&amp;query=any,contains,991003543779702656","Catalog Record")</f>
        <v/>
      </c>
      <c r="AT936">
        <f>HYPERLINK("http://www.worldcat.org/oclc/44768936","WorldCat Record")</f>
        <v/>
      </c>
      <c r="AU936" t="inlineStr">
        <is>
          <t>340997637:eng</t>
        </is>
      </c>
      <c r="AV936" t="inlineStr">
        <is>
          <t>44768936</t>
        </is>
      </c>
      <c r="AW936" t="inlineStr">
        <is>
          <t>991003543779702656</t>
        </is>
      </c>
      <c r="AX936" t="inlineStr">
        <is>
          <t>991003543779702656</t>
        </is>
      </c>
      <c r="AY936" t="inlineStr">
        <is>
          <t>2258410810002656</t>
        </is>
      </c>
      <c r="AZ936" t="inlineStr">
        <is>
          <t>BOOK</t>
        </is>
      </c>
      <c r="BB936" t="inlineStr">
        <is>
          <t>9780801330889</t>
        </is>
      </c>
      <c r="BC936" t="inlineStr">
        <is>
          <t>32285004319835</t>
        </is>
      </c>
      <c r="BD936" t="inlineStr">
        <is>
          <t>893258542</t>
        </is>
      </c>
    </row>
    <row r="937">
      <c r="A937" t="inlineStr">
        <is>
          <t>No</t>
        </is>
      </c>
      <c r="B937" t="inlineStr">
        <is>
          <t>LB1642.U5 N37 1996</t>
        </is>
      </c>
      <c r="C937" t="inlineStr">
        <is>
          <t>0                      LB 1642000U  5                  N  37          1996</t>
        </is>
      </c>
      <c r="D937" t="inlineStr">
        <is>
          <t>National standards for history / National Center for History in the Schools.</t>
        </is>
      </c>
      <c r="F937" t="inlineStr">
        <is>
          <t>No</t>
        </is>
      </c>
      <c r="G937" t="inlineStr">
        <is>
          <t>1</t>
        </is>
      </c>
      <c r="H937" t="inlineStr">
        <is>
          <t>No</t>
        </is>
      </c>
      <c r="I937" t="inlineStr">
        <is>
          <t>No</t>
        </is>
      </c>
      <c r="J937" t="inlineStr">
        <is>
          <t>0</t>
        </is>
      </c>
      <c r="K937" t="inlineStr">
        <is>
          <t>National Center for History in the Schools (U.S.)</t>
        </is>
      </c>
      <c r="L937" t="inlineStr">
        <is>
          <t>Los Angeles, CA : National Center for History in the Schools, 1996.</t>
        </is>
      </c>
      <c r="M937" t="inlineStr">
        <is>
          <t>1996</t>
        </is>
      </c>
      <c r="N937" t="inlineStr">
        <is>
          <t>Basic ed.</t>
        </is>
      </c>
      <c r="O937" t="inlineStr">
        <is>
          <t>eng</t>
        </is>
      </c>
      <c r="P937" t="inlineStr">
        <is>
          <t>cau</t>
        </is>
      </c>
      <c r="R937" t="inlineStr">
        <is>
          <t xml:space="preserve">LB </t>
        </is>
      </c>
      <c r="S937" t="n">
        <v>5</v>
      </c>
      <c r="T937" t="n">
        <v>5</v>
      </c>
      <c r="U937" t="inlineStr">
        <is>
          <t>2007-04-29</t>
        </is>
      </c>
      <c r="V937" t="inlineStr">
        <is>
          <t>2007-04-29</t>
        </is>
      </c>
      <c r="W937" t="inlineStr">
        <is>
          <t>1997-02-13</t>
        </is>
      </c>
      <c r="X937" t="inlineStr">
        <is>
          <t>1997-02-13</t>
        </is>
      </c>
      <c r="Y937" t="n">
        <v>359</v>
      </c>
      <c r="Z937" t="n">
        <v>350</v>
      </c>
      <c r="AA937" t="n">
        <v>360</v>
      </c>
      <c r="AB937" t="n">
        <v>6</v>
      </c>
      <c r="AC937" t="n">
        <v>6</v>
      </c>
      <c r="AD937" t="n">
        <v>19</v>
      </c>
      <c r="AE937" t="n">
        <v>20</v>
      </c>
      <c r="AF937" t="n">
        <v>8</v>
      </c>
      <c r="AG937" t="n">
        <v>8</v>
      </c>
      <c r="AH937" t="n">
        <v>2</v>
      </c>
      <c r="AI937" t="n">
        <v>3</v>
      </c>
      <c r="AJ937" t="n">
        <v>9</v>
      </c>
      <c r="AK937" t="n">
        <v>10</v>
      </c>
      <c r="AL937" t="n">
        <v>4</v>
      </c>
      <c r="AM937" t="n">
        <v>4</v>
      </c>
      <c r="AN937" t="n">
        <v>0</v>
      </c>
      <c r="AO937" t="n">
        <v>0</v>
      </c>
      <c r="AP937" t="inlineStr">
        <is>
          <t>No</t>
        </is>
      </c>
      <c r="AQ937" t="inlineStr">
        <is>
          <t>Yes</t>
        </is>
      </c>
      <c r="AR937">
        <f>HYPERLINK("http://catalog.hathitrust.org/Record/003093078","HathiTrust Record")</f>
        <v/>
      </c>
      <c r="AS937">
        <f>HYPERLINK("https://creighton-primo.hosted.exlibrisgroup.com/primo-explore/search?tab=default_tab&amp;search_scope=EVERYTHING&amp;vid=01CRU&amp;lang=en_US&amp;offset=0&amp;query=any,contains,991002647899702656","Catalog Record")</f>
        <v/>
      </c>
      <c r="AT937">
        <f>HYPERLINK("http://www.worldcat.org/oclc/34646012","WorldCat Record")</f>
        <v/>
      </c>
      <c r="AU937" t="inlineStr">
        <is>
          <t>3856601721:eng</t>
        </is>
      </c>
      <c r="AV937" t="inlineStr">
        <is>
          <t>34646012</t>
        </is>
      </c>
      <c r="AW937" t="inlineStr">
        <is>
          <t>991002647899702656</t>
        </is>
      </c>
      <c r="AX937" t="inlineStr">
        <is>
          <t>991002647899702656</t>
        </is>
      </c>
      <c r="AY937" t="inlineStr">
        <is>
          <t>2259245970002656</t>
        </is>
      </c>
      <c r="AZ937" t="inlineStr">
        <is>
          <t>BOOK</t>
        </is>
      </c>
      <c r="BB937" t="inlineStr">
        <is>
          <t>9780963321848</t>
        </is>
      </c>
      <c r="BC937" t="inlineStr">
        <is>
          <t>32285002430915</t>
        </is>
      </c>
      <c r="BD937" t="inlineStr">
        <is>
          <t>893698059</t>
        </is>
      </c>
    </row>
    <row r="938">
      <c r="A938" t="inlineStr">
        <is>
          <t>No</t>
        </is>
      </c>
      <c r="B938" t="inlineStr">
        <is>
          <t>LB1695.6 .W6 1997</t>
        </is>
      </c>
      <c r="C938" t="inlineStr">
        <is>
          <t>0                      LB 1695600W  6           1997</t>
        </is>
      </c>
      <c r="D938" t="inlineStr">
        <is>
          <t>Workforce preparedness / prepared for Amway and Junior Achievement.</t>
        </is>
      </c>
      <c r="F938" t="inlineStr">
        <is>
          <t>No</t>
        </is>
      </c>
      <c r="G938" t="inlineStr">
        <is>
          <t>1</t>
        </is>
      </c>
      <c r="H938" t="inlineStr">
        <is>
          <t>No</t>
        </is>
      </c>
      <c r="I938" t="inlineStr">
        <is>
          <t>No</t>
        </is>
      </c>
      <c r="J938" t="inlineStr">
        <is>
          <t>0</t>
        </is>
      </c>
      <c r="L938" t="inlineStr">
        <is>
          <t>[S.l.] : Roper Starch, 1997.</t>
        </is>
      </c>
      <c r="M938" t="inlineStr">
        <is>
          <t>1997</t>
        </is>
      </c>
      <c r="O938" t="inlineStr">
        <is>
          <t>eng</t>
        </is>
      </c>
      <c r="P938" t="inlineStr">
        <is>
          <t xml:space="preserve">xx </t>
        </is>
      </c>
      <c r="R938" t="inlineStr">
        <is>
          <t xml:space="preserve">LB </t>
        </is>
      </c>
      <c r="S938" t="n">
        <v>1</v>
      </c>
      <c r="T938" t="n">
        <v>1</v>
      </c>
      <c r="U938" t="inlineStr">
        <is>
          <t>2010-04-22</t>
        </is>
      </c>
      <c r="V938" t="inlineStr">
        <is>
          <t>2010-04-22</t>
        </is>
      </c>
      <c r="W938" t="inlineStr">
        <is>
          <t>1997-08-28</t>
        </is>
      </c>
      <c r="X938" t="inlineStr">
        <is>
          <t>1997-08-28</t>
        </is>
      </c>
      <c r="Y938" t="n">
        <v>78</v>
      </c>
      <c r="Z938" t="n">
        <v>78</v>
      </c>
      <c r="AA938" t="n">
        <v>81</v>
      </c>
      <c r="AB938" t="n">
        <v>2</v>
      </c>
      <c r="AC938" t="n">
        <v>2</v>
      </c>
      <c r="AD938" t="n">
        <v>7</v>
      </c>
      <c r="AE938" t="n">
        <v>7</v>
      </c>
      <c r="AF938" t="n">
        <v>3</v>
      </c>
      <c r="AG938" t="n">
        <v>3</v>
      </c>
      <c r="AH938" t="n">
        <v>1</v>
      </c>
      <c r="AI938" t="n">
        <v>1</v>
      </c>
      <c r="AJ938" t="n">
        <v>3</v>
      </c>
      <c r="AK938" t="n">
        <v>3</v>
      </c>
      <c r="AL938" t="n">
        <v>1</v>
      </c>
      <c r="AM938" t="n">
        <v>1</v>
      </c>
      <c r="AN938" t="n">
        <v>0</v>
      </c>
      <c r="AO938" t="n">
        <v>0</v>
      </c>
      <c r="AP938" t="inlineStr">
        <is>
          <t>No</t>
        </is>
      </c>
      <c r="AQ938" t="inlineStr">
        <is>
          <t>Yes</t>
        </is>
      </c>
      <c r="AR938">
        <f>HYPERLINK("http://catalog.hathitrust.org/Record/009924222","HathiTrust Record")</f>
        <v/>
      </c>
      <c r="AS938">
        <f>HYPERLINK("https://creighton-primo.hosted.exlibrisgroup.com/primo-explore/search?tab=default_tab&amp;search_scope=EVERYTHING&amp;vid=01CRU&amp;lang=en_US&amp;offset=0&amp;query=any,contains,991002847209702656","Catalog Record")</f>
        <v/>
      </c>
      <c r="AT938">
        <f>HYPERLINK("http://www.worldcat.org/oclc/37514516","WorldCat Record")</f>
        <v/>
      </c>
      <c r="AU938" t="inlineStr">
        <is>
          <t>45319539:eng</t>
        </is>
      </c>
      <c r="AV938" t="inlineStr">
        <is>
          <t>37514516</t>
        </is>
      </c>
      <c r="AW938" t="inlineStr">
        <is>
          <t>991002847209702656</t>
        </is>
      </c>
      <c r="AX938" t="inlineStr">
        <is>
          <t>991002847209702656</t>
        </is>
      </c>
      <c r="AY938" t="inlineStr">
        <is>
          <t>2271836270002656</t>
        </is>
      </c>
      <c r="AZ938" t="inlineStr">
        <is>
          <t>BOOK</t>
        </is>
      </c>
      <c r="BC938" t="inlineStr">
        <is>
          <t>32285003002499</t>
        </is>
      </c>
      <c r="BD938" t="inlineStr">
        <is>
          <t>893610377</t>
        </is>
      </c>
    </row>
    <row r="939">
      <c r="A939" t="inlineStr">
        <is>
          <t>No</t>
        </is>
      </c>
      <c r="B939" t="inlineStr">
        <is>
          <t>LB17 .B27 1981b</t>
        </is>
      </c>
      <c r="C939" t="inlineStr">
        <is>
          <t>0                      LB 0017000B  27          1981b</t>
        </is>
      </c>
      <c r="D939" t="inlineStr">
        <is>
          <t>The philosophy of schooling / Robin Barrow.</t>
        </is>
      </c>
      <c r="F939" t="inlineStr">
        <is>
          <t>No</t>
        </is>
      </c>
      <c r="G939" t="inlineStr">
        <is>
          <t>1</t>
        </is>
      </c>
      <c r="H939" t="inlineStr">
        <is>
          <t>No</t>
        </is>
      </c>
      <c r="I939" t="inlineStr">
        <is>
          <t>No</t>
        </is>
      </c>
      <c r="J939" t="inlineStr">
        <is>
          <t>0</t>
        </is>
      </c>
      <c r="K939" t="inlineStr">
        <is>
          <t>Barrow, Robin.</t>
        </is>
      </c>
      <c r="L939" t="inlineStr">
        <is>
          <t>Brighton, Sussex : Wheatsheaf, c1981, 1984 printing.</t>
        </is>
      </c>
      <c r="M939" t="inlineStr">
        <is>
          <t>1981</t>
        </is>
      </c>
      <c r="O939" t="inlineStr">
        <is>
          <t>eng</t>
        </is>
      </c>
      <c r="P939" t="inlineStr">
        <is>
          <t>enk</t>
        </is>
      </c>
      <c r="R939" t="inlineStr">
        <is>
          <t xml:space="preserve">LB </t>
        </is>
      </c>
      <c r="S939" t="n">
        <v>9</v>
      </c>
      <c r="T939" t="n">
        <v>9</v>
      </c>
      <c r="U939" t="inlineStr">
        <is>
          <t>2008-08-08</t>
        </is>
      </c>
      <c r="V939" t="inlineStr">
        <is>
          <t>2008-08-08</t>
        </is>
      </c>
      <c r="W939" t="inlineStr">
        <is>
          <t>1992-10-15</t>
        </is>
      </c>
      <c r="X939" t="inlineStr">
        <is>
          <t>1992-10-15</t>
        </is>
      </c>
      <c r="Y939" t="n">
        <v>169</v>
      </c>
      <c r="Z939" t="n">
        <v>40</v>
      </c>
      <c r="AA939" t="n">
        <v>225</v>
      </c>
      <c r="AB939" t="n">
        <v>1</v>
      </c>
      <c r="AC939" t="n">
        <v>2</v>
      </c>
      <c r="AD939" t="n">
        <v>2</v>
      </c>
      <c r="AE939" t="n">
        <v>6</v>
      </c>
      <c r="AF939" t="n">
        <v>1</v>
      </c>
      <c r="AG939" t="n">
        <v>2</v>
      </c>
      <c r="AH939" t="n">
        <v>0</v>
      </c>
      <c r="AI939" t="n">
        <v>1</v>
      </c>
      <c r="AJ939" t="n">
        <v>2</v>
      </c>
      <c r="AK939" t="n">
        <v>4</v>
      </c>
      <c r="AL939" t="n">
        <v>0</v>
      </c>
      <c r="AM939" t="n">
        <v>1</v>
      </c>
      <c r="AN939" t="n">
        <v>0</v>
      </c>
      <c r="AO939" t="n">
        <v>0</v>
      </c>
      <c r="AP939" t="inlineStr">
        <is>
          <t>No</t>
        </is>
      </c>
      <c r="AQ939" t="inlineStr">
        <is>
          <t>Yes</t>
        </is>
      </c>
      <c r="AR939">
        <f>HYPERLINK("http://catalog.hathitrust.org/Record/000101499","HathiTrust Record")</f>
        <v/>
      </c>
      <c r="AS939">
        <f>HYPERLINK("https://creighton-primo.hosted.exlibrisgroup.com/primo-explore/search?tab=default_tab&amp;search_scope=EVERYTHING&amp;vid=01CRU&amp;lang=en_US&amp;offset=0&amp;query=any,contains,991005235309702656","Catalog Record")</f>
        <v/>
      </c>
      <c r="AT939">
        <f>HYPERLINK("http://www.worldcat.org/oclc/8372625","WorldCat Record")</f>
        <v/>
      </c>
      <c r="AU939" t="inlineStr">
        <is>
          <t>445865:eng</t>
        </is>
      </c>
      <c r="AV939" t="inlineStr">
        <is>
          <t>8372625</t>
        </is>
      </c>
      <c r="AW939" t="inlineStr">
        <is>
          <t>991005235309702656</t>
        </is>
      </c>
      <c r="AX939" t="inlineStr">
        <is>
          <t>991005235309702656</t>
        </is>
      </c>
      <c r="AY939" t="inlineStr">
        <is>
          <t>2267676770002656</t>
        </is>
      </c>
      <c r="AZ939" t="inlineStr">
        <is>
          <t>BOOK</t>
        </is>
      </c>
      <c r="BB939" t="inlineStr">
        <is>
          <t>9780710801050</t>
        </is>
      </c>
      <c r="BC939" t="inlineStr">
        <is>
          <t>32285001350122</t>
        </is>
      </c>
      <c r="BD939" t="inlineStr">
        <is>
          <t>893870737</t>
        </is>
      </c>
    </row>
    <row r="940">
      <c r="A940" t="inlineStr">
        <is>
          <t>No</t>
        </is>
      </c>
      <c r="B940" t="inlineStr">
        <is>
          <t>LB17 .C49 1990</t>
        </is>
      </c>
      <c r="C940" t="inlineStr">
        <is>
          <t>0                      LB 0017000C  49          1990</t>
        </is>
      </c>
      <c r="D940" t="inlineStr">
        <is>
          <t>Understanding schooling : the foundations of education / Gary K. Clabaugh, Edward G. Rozycki.</t>
        </is>
      </c>
      <c r="F940" t="inlineStr">
        <is>
          <t>No</t>
        </is>
      </c>
      <c r="G940" t="inlineStr">
        <is>
          <t>1</t>
        </is>
      </c>
      <c r="H940" t="inlineStr">
        <is>
          <t>No</t>
        </is>
      </c>
      <c r="I940" t="inlineStr">
        <is>
          <t>No</t>
        </is>
      </c>
      <c r="J940" t="inlineStr">
        <is>
          <t>0</t>
        </is>
      </c>
      <c r="K940" t="inlineStr">
        <is>
          <t>Clabaugh, Gary K.</t>
        </is>
      </c>
      <c r="L940" t="inlineStr">
        <is>
          <t>New York : Harper &amp; Row, c1990.</t>
        </is>
      </c>
      <c r="M940" t="inlineStr">
        <is>
          <t>1990</t>
        </is>
      </c>
      <c r="O940" t="inlineStr">
        <is>
          <t>eng</t>
        </is>
      </c>
      <c r="P940" t="inlineStr">
        <is>
          <t>nyu</t>
        </is>
      </c>
      <c r="R940" t="inlineStr">
        <is>
          <t xml:space="preserve">LB </t>
        </is>
      </c>
      <c r="S940" t="n">
        <v>8</v>
      </c>
      <c r="T940" t="n">
        <v>8</v>
      </c>
      <c r="U940" t="inlineStr">
        <is>
          <t>2010-09-26</t>
        </is>
      </c>
      <c r="V940" t="inlineStr">
        <is>
          <t>2010-09-26</t>
        </is>
      </c>
      <c r="W940" t="inlineStr">
        <is>
          <t>1990-12-19</t>
        </is>
      </c>
      <c r="X940" t="inlineStr">
        <is>
          <t>1990-12-19</t>
        </is>
      </c>
      <c r="Y940" t="n">
        <v>175</v>
      </c>
      <c r="Z940" t="n">
        <v>142</v>
      </c>
      <c r="AA940" t="n">
        <v>149</v>
      </c>
      <c r="AB940" t="n">
        <v>1</v>
      </c>
      <c r="AC940" t="n">
        <v>1</v>
      </c>
      <c r="AD940" t="n">
        <v>6</v>
      </c>
      <c r="AE940" t="n">
        <v>6</v>
      </c>
      <c r="AF940" t="n">
        <v>2</v>
      </c>
      <c r="AG940" t="n">
        <v>2</v>
      </c>
      <c r="AH940" t="n">
        <v>1</v>
      </c>
      <c r="AI940" t="n">
        <v>1</v>
      </c>
      <c r="AJ940" t="n">
        <v>4</v>
      </c>
      <c r="AK940" t="n">
        <v>4</v>
      </c>
      <c r="AL940" t="n">
        <v>0</v>
      </c>
      <c r="AM940" t="n">
        <v>0</v>
      </c>
      <c r="AN940" t="n">
        <v>0</v>
      </c>
      <c r="AO940" t="n">
        <v>0</v>
      </c>
      <c r="AP940" t="inlineStr">
        <is>
          <t>No</t>
        </is>
      </c>
      <c r="AQ940" t="inlineStr">
        <is>
          <t>Yes</t>
        </is>
      </c>
      <c r="AR940">
        <f>HYPERLINK("http://catalog.hathitrust.org/Record/005594223","HathiTrust Record")</f>
        <v/>
      </c>
      <c r="AS940">
        <f>HYPERLINK("https://creighton-primo.hosted.exlibrisgroup.com/primo-explore/search?tab=default_tab&amp;search_scope=EVERYTHING&amp;vid=01CRU&amp;lang=en_US&amp;offset=0&amp;query=any,contains,991001621789702656","Catalog Record")</f>
        <v/>
      </c>
      <c r="AT940">
        <f>HYPERLINK("http://www.worldcat.org/oclc/20825390","WorldCat Record")</f>
        <v/>
      </c>
      <c r="AU940" t="inlineStr">
        <is>
          <t>22421463:eng</t>
        </is>
      </c>
      <c r="AV940" t="inlineStr">
        <is>
          <t>20825390</t>
        </is>
      </c>
      <c r="AW940" t="inlineStr">
        <is>
          <t>991001621789702656</t>
        </is>
      </c>
      <c r="AX940" t="inlineStr">
        <is>
          <t>991001621789702656</t>
        </is>
      </c>
      <c r="AY940" t="inlineStr">
        <is>
          <t>2260552840002656</t>
        </is>
      </c>
      <c r="AZ940" t="inlineStr">
        <is>
          <t>BOOK</t>
        </is>
      </c>
      <c r="BB940" t="inlineStr">
        <is>
          <t>9780060413187</t>
        </is>
      </c>
      <c r="BC940" t="inlineStr">
        <is>
          <t>32285000360007</t>
        </is>
      </c>
      <c r="BD940" t="inlineStr">
        <is>
          <t>893516319</t>
        </is>
      </c>
    </row>
    <row r="941">
      <c r="A941" t="inlineStr">
        <is>
          <t>No</t>
        </is>
      </c>
      <c r="B941" t="inlineStr">
        <is>
          <t>LB17 .M39 2001</t>
        </is>
      </c>
      <c r="C941" t="inlineStr">
        <is>
          <t>0                      LB 0017000M  39          2001</t>
        </is>
      </c>
      <c r="D941" t="inlineStr">
        <is>
          <t>Designing a new taxonomy of educational objectives / Robert J. Marzano.</t>
        </is>
      </c>
      <c r="F941" t="inlineStr">
        <is>
          <t>No</t>
        </is>
      </c>
      <c r="G941" t="inlineStr">
        <is>
          <t>1</t>
        </is>
      </c>
      <c r="H941" t="inlineStr">
        <is>
          <t>No</t>
        </is>
      </c>
      <c r="I941" t="inlineStr">
        <is>
          <t>No</t>
        </is>
      </c>
      <c r="J941" t="inlineStr">
        <is>
          <t>0</t>
        </is>
      </c>
      <c r="K941" t="inlineStr">
        <is>
          <t>Marzano, Robert J.</t>
        </is>
      </c>
      <c r="L941" t="inlineStr">
        <is>
          <t>Thousand Oaks, Calif. : Corwin Press, c2001.</t>
        </is>
      </c>
      <c r="M941" t="inlineStr">
        <is>
          <t>2001</t>
        </is>
      </c>
      <c r="O941" t="inlineStr">
        <is>
          <t>eng</t>
        </is>
      </c>
      <c r="P941" t="inlineStr">
        <is>
          <t>cau</t>
        </is>
      </c>
      <c r="Q941" t="inlineStr">
        <is>
          <t>Experts in assessment</t>
        </is>
      </c>
      <c r="R941" t="inlineStr">
        <is>
          <t xml:space="preserve">LB </t>
        </is>
      </c>
      <c r="S941" t="n">
        <v>2</v>
      </c>
      <c r="T941" t="n">
        <v>2</v>
      </c>
      <c r="U941" t="inlineStr">
        <is>
          <t>2003-12-04</t>
        </is>
      </c>
      <c r="V941" t="inlineStr">
        <is>
          <t>2003-12-04</t>
        </is>
      </c>
      <c r="W941" t="inlineStr">
        <is>
          <t>2003-09-02</t>
        </is>
      </c>
      <c r="X941" t="inlineStr">
        <is>
          <t>2003-09-02</t>
        </is>
      </c>
      <c r="Y941" t="n">
        <v>503</v>
      </c>
      <c r="Z941" t="n">
        <v>422</v>
      </c>
      <c r="AA941" t="n">
        <v>426</v>
      </c>
      <c r="AB941" t="n">
        <v>7</v>
      </c>
      <c r="AC941" t="n">
        <v>7</v>
      </c>
      <c r="AD941" t="n">
        <v>26</v>
      </c>
      <c r="AE941" t="n">
        <v>26</v>
      </c>
      <c r="AF941" t="n">
        <v>9</v>
      </c>
      <c r="AG941" t="n">
        <v>9</v>
      </c>
      <c r="AH941" t="n">
        <v>4</v>
      </c>
      <c r="AI941" t="n">
        <v>4</v>
      </c>
      <c r="AJ941" t="n">
        <v>10</v>
      </c>
      <c r="AK941" t="n">
        <v>10</v>
      </c>
      <c r="AL941" t="n">
        <v>6</v>
      </c>
      <c r="AM941" t="n">
        <v>6</v>
      </c>
      <c r="AN941" t="n">
        <v>0</v>
      </c>
      <c r="AO941" t="n">
        <v>0</v>
      </c>
      <c r="AP941" t="inlineStr">
        <is>
          <t>No</t>
        </is>
      </c>
      <c r="AQ941" t="inlineStr">
        <is>
          <t>Yes</t>
        </is>
      </c>
      <c r="AR941">
        <f>HYPERLINK("http://catalog.hathitrust.org/Record/004134533","HathiTrust Record")</f>
        <v/>
      </c>
      <c r="AS941">
        <f>HYPERLINK("https://creighton-primo.hosted.exlibrisgroup.com/primo-explore/search?tab=default_tab&amp;search_scope=EVERYTHING&amp;vid=01CRU&amp;lang=en_US&amp;offset=0&amp;query=any,contains,991004097919702656","Catalog Record")</f>
        <v/>
      </c>
      <c r="AT941">
        <f>HYPERLINK("http://www.worldcat.org/oclc/43411465","WorldCat Record")</f>
        <v/>
      </c>
      <c r="AU941" t="inlineStr">
        <is>
          <t>3901421780:eng</t>
        </is>
      </c>
      <c r="AV941" t="inlineStr">
        <is>
          <t>43411465</t>
        </is>
      </c>
      <c r="AW941" t="inlineStr">
        <is>
          <t>991004097919702656</t>
        </is>
      </c>
      <c r="AX941" t="inlineStr">
        <is>
          <t>991004097919702656</t>
        </is>
      </c>
      <c r="AY941" t="inlineStr">
        <is>
          <t>2259627720002656</t>
        </is>
      </c>
      <c r="AZ941" t="inlineStr">
        <is>
          <t>BOOK</t>
        </is>
      </c>
      <c r="BB941" t="inlineStr">
        <is>
          <t>9780803968356</t>
        </is>
      </c>
      <c r="BC941" t="inlineStr">
        <is>
          <t>32285004780606</t>
        </is>
      </c>
      <c r="BD941" t="inlineStr">
        <is>
          <t>893525651</t>
        </is>
      </c>
    </row>
    <row r="942">
      <c r="A942" t="inlineStr">
        <is>
          <t>No</t>
        </is>
      </c>
      <c r="B942" t="inlineStr">
        <is>
          <t>LB17 .S63 1994</t>
        </is>
      </c>
      <c r="C942" t="inlineStr">
        <is>
          <t>0                      LB 0017000S  63          1994</t>
        </is>
      </c>
      <c r="D942" t="inlineStr">
        <is>
          <t>Lives in education : a narrative of people and ideas / L. Glenn Smith, Joan K. Smith, with F. Michael Perko ... [et al.].</t>
        </is>
      </c>
      <c r="F942" t="inlineStr">
        <is>
          <t>No</t>
        </is>
      </c>
      <c r="G942" t="inlineStr">
        <is>
          <t>1</t>
        </is>
      </c>
      <c r="H942" t="inlineStr">
        <is>
          <t>No</t>
        </is>
      </c>
      <c r="I942" t="inlineStr">
        <is>
          <t>No</t>
        </is>
      </c>
      <c r="J942" t="inlineStr">
        <is>
          <t>0</t>
        </is>
      </c>
      <c r="K942" t="inlineStr">
        <is>
          <t>Smith, L. Glenn (Leonard Glenn), 1939-</t>
        </is>
      </c>
      <c r="L942" t="inlineStr">
        <is>
          <t>New York : St. Martin's Press, c1994.</t>
        </is>
      </c>
      <c r="M942" t="inlineStr">
        <is>
          <t>1994</t>
        </is>
      </c>
      <c r="N942" t="inlineStr">
        <is>
          <t>2nd ed.</t>
        </is>
      </c>
      <c r="O942" t="inlineStr">
        <is>
          <t>eng</t>
        </is>
      </c>
      <c r="P942" t="inlineStr">
        <is>
          <t>nyu</t>
        </is>
      </c>
      <c r="R942" t="inlineStr">
        <is>
          <t xml:space="preserve">LB </t>
        </is>
      </c>
      <c r="S942" t="n">
        <v>6</v>
      </c>
      <c r="T942" t="n">
        <v>6</v>
      </c>
      <c r="U942" t="inlineStr">
        <is>
          <t>2001-09-10</t>
        </is>
      </c>
      <c r="V942" t="inlineStr">
        <is>
          <t>2001-09-10</t>
        </is>
      </c>
      <c r="W942" t="inlineStr">
        <is>
          <t>1994-04-14</t>
        </is>
      </c>
      <c r="X942" t="inlineStr">
        <is>
          <t>1994-04-14</t>
        </is>
      </c>
      <c r="Y942" t="n">
        <v>259</v>
      </c>
      <c r="Z942" t="n">
        <v>243</v>
      </c>
      <c r="AA942" t="n">
        <v>265</v>
      </c>
      <c r="AB942" t="n">
        <v>2</v>
      </c>
      <c r="AC942" t="n">
        <v>2</v>
      </c>
      <c r="AD942" t="n">
        <v>13</v>
      </c>
      <c r="AE942" t="n">
        <v>14</v>
      </c>
      <c r="AF942" t="n">
        <v>8</v>
      </c>
      <c r="AG942" t="n">
        <v>9</v>
      </c>
      <c r="AH942" t="n">
        <v>2</v>
      </c>
      <c r="AI942" t="n">
        <v>2</v>
      </c>
      <c r="AJ942" t="n">
        <v>8</v>
      </c>
      <c r="AK942" t="n">
        <v>8</v>
      </c>
      <c r="AL942" t="n">
        <v>1</v>
      </c>
      <c r="AM942" t="n">
        <v>1</v>
      </c>
      <c r="AN942" t="n">
        <v>0</v>
      </c>
      <c r="AO942" t="n">
        <v>0</v>
      </c>
      <c r="AP942" t="inlineStr">
        <is>
          <t>No</t>
        </is>
      </c>
      <c r="AQ942" t="inlineStr">
        <is>
          <t>No</t>
        </is>
      </c>
      <c r="AS942">
        <f>HYPERLINK("https://creighton-primo.hosted.exlibrisgroup.com/primo-explore/search?tab=default_tab&amp;search_scope=EVERYTHING&amp;vid=01CRU&amp;lang=en_US&amp;offset=0&amp;query=any,contains,991002281329702656","Catalog Record")</f>
        <v/>
      </c>
      <c r="AT942">
        <f>HYPERLINK("http://www.worldcat.org/oclc/29572087","WorldCat Record")</f>
        <v/>
      </c>
      <c r="AU942" t="inlineStr">
        <is>
          <t>31503691:eng</t>
        </is>
      </c>
      <c r="AV942" t="inlineStr">
        <is>
          <t>29572087</t>
        </is>
      </c>
      <c r="AW942" t="inlineStr">
        <is>
          <t>991002281329702656</t>
        </is>
      </c>
      <c r="AX942" t="inlineStr">
        <is>
          <t>991002281329702656</t>
        </is>
      </c>
      <c r="AY942" t="inlineStr">
        <is>
          <t>2259915680002656</t>
        </is>
      </c>
      <c r="AZ942" t="inlineStr">
        <is>
          <t>BOOK</t>
        </is>
      </c>
      <c r="BB942" t="inlineStr">
        <is>
          <t>9780312046989</t>
        </is>
      </c>
      <c r="BC942" t="inlineStr">
        <is>
          <t>32285001875151</t>
        </is>
      </c>
      <c r="BD942" t="inlineStr">
        <is>
          <t>893867016</t>
        </is>
      </c>
    </row>
    <row r="943">
      <c r="A943" t="inlineStr">
        <is>
          <t>No</t>
        </is>
      </c>
      <c r="B943" t="inlineStr">
        <is>
          <t>LB1715 .G5 1977</t>
        </is>
      </c>
      <c r="C943" t="inlineStr">
        <is>
          <t>0                      LB 1715000G  5           1977</t>
        </is>
      </c>
      <c r="D943" t="inlineStr">
        <is>
          <t>The changing role of the teacher : international perspectives / Norman M. Goble and James F. Porter ; a study prepared for the International Bureau of Education. --</t>
        </is>
      </c>
      <c r="F943" t="inlineStr">
        <is>
          <t>No</t>
        </is>
      </c>
      <c r="G943" t="inlineStr">
        <is>
          <t>1</t>
        </is>
      </c>
      <c r="H943" t="inlineStr">
        <is>
          <t>No</t>
        </is>
      </c>
      <c r="I943" t="inlineStr">
        <is>
          <t>No</t>
        </is>
      </c>
      <c r="J943" t="inlineStr">
        <is>
          <t>0</t>
        </is>
      </c>
      <c r="K943" t="inlineStr">
        <is>
          <t>Goble, Norman M.</t>
        </is>
      </c>
      <c r="L943" t="inlineStr">
        <is>
          <t>New York : Unipub, 1977.</t>
        </is>
      </c>
      <c r="M943" t="inlineStr">
        <is>
          <t>1977</t>
        </is>
      </c>
      <c r="O943" t="inlineStr">
        <is>
          <t>eng</t>
        </is>
      </c>
      <c r="P943" t="inlineStr">
        <is>
          <t>nyu</t>
        </is>
      </c>
      <c r="R943" t="inlineStr">
        <is>
          <t xml:space="preserve">LB </t>
        </is>
      </c>
      <c r="S943" t="n">
        <v>5</v>
      </c>
      <c r="T943" t="n">
        <v>5</v>
      </c>
      <c r="U943" t="inlineStr">
        <is>
          <t>2003-10-07</t>
        </is>
      </c>
      <c r="V943" t="inlineStr">
        <is>
          <t>2003-10-07</t>
        </is>
      </c>
      <c r="W943" t="inlineStr">
        <is>
          <t>1993-02-02</t>
        </is>
      </c>
      <c r="X943" t="inlineStr">
        <is>
          <t>1993-02-02</t>
        </is>
      </c>
      <c r="Y943" t="n">
        <v>26</v>
      </c>
      <c r="Z943" t="n">
        <v>24</v>
      </c>
      <c r="AA943" t="n">
        <v>175</v>
      </c>
      <c r="AB943" t="n">
        <v>1</v>
      </c>
      <c r="AC943" t="n">
        <v>1</v>
      </c>
      <c r="AD943" t="n">
        <v>1</v>
      </c>
      <c r="AE943" t="n">
        <v>5</v>
      </c>
      <c r="AF943" t="n">
        <v>1</v>
      </c>
      <c r="AG943" t="n">
        <v>2</v>
      </c>
      <c r="AH943" t="n">
        <v>0</v>
      </c>
      <c r="AI943" t="n">
        <v>1</v>
      </c>
      <c r="AJ943" t="n">
        <v>0</v>
      </c>
      <c r="AK943" t="n">
        <v>3</v>
      </c>
      <c r="AL943" t="n">
        <v>0</v>
      </c>
      <c r="AM943" t="n">
        <v>0</v>
      </c>
      <c r="AN943" t="n">
        <v>0</v>
      </c>
      <c r="AO943" t="n">
        <v>0</v>
      </c>
      <c r="AP943" t="inlineStr">
        <is>
          <t>No</t>
        </is>
      </c>
      <c r="AQ943" t="inlineStr">
        <is>
          <t>No</t>
        </is>
      </c>
      <c r="AS943">
        <f>HYPERLINK("https://creighton-primo.hosted.exlibrisgroup.com/primo-explore/search?tab=default_tab&amp;search_scope=EVERYTHING&amp;vid=01CRU&amp;lang=en_US&amp;offset=0&amp;query=any,contains,991004581279702656","Catalog Record")</f>
        <v/>
      </c>
      <c r="AT943">
        <f>HYPERLINK("http://www.worldcat.org/oclc/4060284","WorldCat Record")</f>
        <v/>
      </c>
      <c r="AU943" t="inlineStr">
        <is>
          <t>11206196:eng</t>
        </is>
      </c>
      <c r="AV943" t="inlineStr">
        <is>
          <t>4060284</t>
        </is>
      </c>
      <c r="AW943" t="inlineStr">
        <is>
          <t>991004581279702656</t>
        </is>
      </c>
      <c r="AX943" t="inlineStr">
        <is>
          <t>991004581279702656</t>
        </is>
      </c>
      <c r="AY943" t="inlineStr">
        <is>
          <t>2262863520002656</t>
        </is>
      </c>
      <c r="AZ943" t="inlineStr">
        <is>
          <t>BOOK</t>
        </is>
      </c>
      <c r="BB943" t="inlineStr">
        <is>
          <t>9780890590041</t>
        </is>
      </c>
      <c r="BC943" t="inlineStr">
        <is>
          <t>32285001481042</t>
        </is>
      </c>
      <c r="BD943" t="inlineStr">
        <is>
          <t>893526260</t>
        </is>
      </c>
    </row>
    <row r="944">
      <c r="A944" t="inlineStr">
        <is>
          <t>No</t>
        </is>
      </c>
      <c r="B944" t="inlineStr">
        <is>
          <t>LB1715 .L53 1991</t>
        </is>
      </c>
      <c r="C944" t="inlineStr">
        <is>
          <t>0                      LB 1715000L  53          1991</t>
        </is>
      </c>
      <c r="D944" t="inlineStr">
        <is>
          <t>Teacher education and the social conditions of schooling / Daniel P. Liston, Kenneth M. Zeichner.</t>
        </is>
      </c>
      <c r="F944" t="inlineStr">
        <is>
          <t>No</t>
        </is>
      </c>
      <c r="G944" t="inlineStr">
        <is>
          <t>1</t>
        </is>
      </c>
      <c r="H944" t="inlineStr">
        <is>
          <t>No</t>
        </is>
      </c>
      <c r="I944" t="inlineStr">
        <is>
          <t>No</t>
        </is>
      </c>
      <c r="J944" t="inlineStr">
        <is>
          <t>0</t>
        </is>
      </c>
      <c r="K944" t="inlineStr">
        <is>
          <t>Liston, Daniel Patrick.</t>
        </is>
      </c>
      <c r="L944" t="inlineStr">
        <is>
          <t>New York : Routledge, 1991.</t>
        </is>
      </c>
      <c r="M944" t="inlineStr">
        <is>
          <t>1991</t>
        </is>
      </c>
      <c r="O944" t="inlineStr">
        <is>
          <t>eng</t>
        </is>
      </c>
      <c r="P944" t="inlineStr">
        <is>
          <t>nyu</t>
        </is>
      </c>
      <c r="Q944" t="inlineStr">
        <is>
          <t>Critical social thought</t>
        </is>
      </c>
      <c r="R944" t="inlineStr">
        <is>
          <t xml:space="preserve">LB </t>
        </is>
      </c>
      <c r="S944" t="n">
        <v>4</v>
      </c>
      <c r="T944" t="n">
        <v>4</v>
      </c>
      <c r="U944" t="inlineStr">
        <is>
          <t>2001-10-22</t>
        </is>
      </c>
      <c r="V944" t="inlineStr">
        <is>
          <t>2001-10-22</t>
        </is>
      </c>
      <c r="W944" t="inlineStr">
        <is>
          <t>1992-01-03</t>
        </is>
      </c>
      <c r="X944" t="inlineStr">
        <is>
          <t>1992-01-03</t>
        </is>
      </c>
      <c r="Y944" t="n">
        <v>548</v>
      </c>
      <c r="Z944" t="n">
        <v>426</v>
      </c>
      <c r="AA944" t="n">
        <v>432</v>
      </c>
      <c r="AB944" t="n">
        <v>3</v>
      </c>
      <c r="AC944" t="n">
        <v>3</v>
      </c>
      <c r="AD944" t="n">
        <v>19</v>
      </c>
      <c r="AE944" t="n">
        <v>19</v>
      </c>
      <c r="AF944" t="n">
        <v>6</v>
      </c>
      <c r="AG944" t="n">
        <v>6</v>
      </c>
      <c r="AH944" t="n">
        <v>3</v>
      </c>
      <c r="AI944" t="n">
        <v>3</v>
      </c>
      <c r="AJ944" t="n">
        <v>12</v>
      </c>
      <c r="AK944" t="n">
        <v>12</v>
      </c>
      <c r="AL944" t="n">
        <v>2</v>
      </c>
      <c r="AM944" t="n">
        <v>2</v>
      </c>
      <c r="AN944" t="n">
        <v>0</v>
      </c>
      <c r="AO944" t="n">
        <v>0</v>
      </c>
      <c r="AP944" t="inlineStr">
        <is>
          <t>No</t>
        </is>
      </c>
      <c r="AQ944" t="inlineStr">
        <is>
          <t>Yes</t>
        </is>
      </c>
      <c r="AR944">
        <f>HYPERLINK("http://catalog.hathitrust.org/Record/002543086","HathiTrust Record")</f>
        <v/>
      </c>
      <c r="AS944">
        <f>HYPERLINK("https://creighton-primo.hosted.exlibrisgroup.com/primo-explore/search?tab=default_tab&amp;search_scope=EVERYTHING&amp;vid=01CRU&amp;lang=en_US&amp;offset=0&amp;query=any,contains,991001746789702656","Catalog Record")</f>
        <v/>
      </c>
      <c r="AT944">
        <f>HYPERLINK("http://www.worldcat.org/oclc/22114705","WorldCat Record")</f>
        <v/>
      </c>
      <c r="AU944" t="inlineStr">
        <is>
          <t>23156368:eng</t>
        </is>
      </c>
      <c r="AV944" t="inlineStr">
        <is>
          <t>22114705</t>
        </is>
      </c>
      <c r="AW944" t="inlineStr">
        <is>
          <t>991001746789702656</t>
        </is>
      </c>
      <c r="AX944" t="inlineStr">
        <is>
          <t>991001746789702656</t>
        </is>
      </c>
      <c r="AY944" t="inlineStr">
        <is>
          <t>2268661920002656</t>
        </is>
      </c>
      <c r="AZ944" t="inlineStr">
        <is>
          <t>BOOK</t>
        </is>
      </c>
      <c r="BB944" t="inlineStr">
        <is>
          <t>9780415902335</t>
        </is>
      </c>
      <c r="BC944" t="inlineStr">
        <is>
          <t>32285000863034</t>
        </is>
      </c>
      <c r="BD944" t="inlineStr">
        <is>
          <t>893334542</t>
        </is>
      </c>
    </row>
    <row r="945">
      <c r="A945" t="inlineStr">
        <is>
          <t>No</t>
        </is>
      </c>
      <c r="B945" t="inlineStr">
        <is>
          <t>LB1715 .N27 1996</t>
        </is>
      </c>
      <c r="C945" t="inlineStr">
        <is>
          <t>0                      LB 1715000N  27          1996</t>
        </is>
      </c>
      <c r="D945" t="inlineStr">
        <is>
          <t>What matters most : teaching for America's future : report of the National Commission on Teaching &amp; America's Future.</t>
        </is>
      </c>
      <c r="F945" t="inlineStr">
        <is>
          <t>No</t>
        </is>
      </c>
      <c r="G945" t="inlineStr">
        <is>
          <t>1</t>
        </is>
      </c>
      <c r="H945" t="inlineStr">
        <is>
          <t>No</t>
        </is>
      </c>
      <c r="I945" t="inlineStr">
        <is>
          <t>No</t>
        </is>
      </c>
      <c r="J945" t="inlineStr">
        <is>
          <t>0</t>
        </is>
      </c>
      <c r="K945" t="inlineStr">
        <is>
          <t>National Commission on Teaching &amp; America's Future (U.S.)</t>
        </is>
      </c>
      <c r="L945" t="inlineStr">
        <is>
          <t>New York, N.Y. : National Commission on Teaching &amp; America's Future, c1996.</t>
        </is>
      </c>
      <c r="M945" t="inlineStr">
        <is>
          <t>1996</t>
        </is>
      </c>
      <c r="O945" t="inlineStr">
        <is>
          <t>eng</t>
        </is>
      </c>
      <c r="P945" t="inlineStr">
        <is>
          <t>nyu</t>
        </is>
      </c>
      <c r="R945" t="inlineStr">
        <is>
          <t xml:space="preserve">LB </t>
        </is>
      </c>
      <c r="S945" t="n">
        <v>8</v>
      </c>
      <c r="T945" t="n">
        <v>8</v>
      </c>
      <c r="U945" t="inlineStr">
        <is>
          <t>2006-09-13</t>
        </is>
      </c>
      <c r="V945" t="inlineStr">
        <is>
          <t>2006-09-13</t>
        </is>
      </c>
      <c r="W945" t="inlineStr">
        <is>
          <t>1997-04-23</t>
        </is>
      </c>
      <c r="X945" t="inlineStr">
        <is>
          <t>1997-04-23</t>
        </is>
      </c>
      <c r="Y945" t="n">
        <v>197</v>
      </c>
      <c r="Z945" t="n">
        <v>180</v>
      </c>
      <c r="AA945" t="n">
        <v>202</v>
      </c>
      <c r="AB945" t="n">
        <v>1</v>
      </c>
      <c r="AC945" t="n">
        <v>1</v>
      </c>
      <c r="AD945" t="n">
        <v>6</v>
      </c>
      <c r="AE945" t="n">
        <v>6</v>
      </c>
      <c r="AF945" t="n">
        <v>3</v>
      </c>
      <c r="AG945" t="n">
        <v>3</v>
      </c>
      <c r="AH945" t="n">
        <v>2</v>
      </c>
      <c r="AI945" t="n">
        <v>2</v>
      </c>
      <c r="AJ945" t="n">
        <v>3</v>
      </c>
      <c r="AK945" t="n">
        <v>3</v>
      </c>
      <c r="AL945" t="n">
        <v>0</v>
      </c>
      <c r="AM945" t="n">
        <v>0</v>
      </c>
      <c r="AN945" t="n">
        <v>0</v>
      </c>
      <c r="AO945" t="n">
        <v>0</v>
      </c>
      <c r="AP945" t="inlineStr">
        <is>
          <t>No</t>
        </is>
      </c>
      <c r="AQ945" t="inlineStr">
        <is>
          <t>Yes</t>
        </is>
      </c>
      <c r="AR945">
        <f>HYPERLINK("http://catalog.hathitrust.org/Record/003494780","HathiTrust Record")</f>
        <v/>
      </c>
      <c r="AS945">
        <f>HYPERLINK("https://creighton-primo.hosted.exlibrisgroup.com/primo-explore/search?tab=default_tab&amp;search_scope=EVERYTHING&amp;vid=01CRU&amp;lang=en_US&amp;offset=0&amp;query=any,contains,991002720649702656","Catalog Record")</f>
        <v/>
      </c>
      <c r="AT945">
        <f>HYPERLINK("http://www.worldcat.org/oclc/35670998","WorldCat Record")</f>
        <v/>
      </c>
      <c r="AU945" t="inlineStr">
        <is>
          <t>2778654755:eng</t>
        </is>
      </c>
      <c r="AV945" t="inlineStr">
        <is>
          <t>35670998</t>
        </is>
      </c>
      <c r="AW945" t="inlineStr">
        <is>
          <t>991002720649702656</t>
        </is>
      </c>
      <c r="AX945" t="inlineStr">
        <is>
          <t>991002720649702656</t>
        </is>
      </c>
      <c r="AY945" t="inlineStr">
        <is>
          <t>2268107600002656</t>
        </is>
      </c>
      <c r="AZ945" t="inlineStr">
        <is>
          <t>BOOK</t>
        </is>
      </c>
      <c r="BB945" t="inlineStr">
        <is>
          <t>9780965453509</t>
        </is>
      </c>
      <c r="BC945" t="inlineStr">
        <is>
          <t>32285002540051</t>
        </is>
      </c>
      <c r="BD945" t="inlineStr">
        <is>
          <t>893245551</t>
        </is>
      </c>
    </row>
    <row r="946">
      <c r="A946" t="inlineStr">
        <is>
          <t>No</t>
        </is>
      </c>
      <c r="B946" t="inlineStr">
        <is>
          <t>LB1715 .R62 1994</t>
        </is>
      </c>
      <c r="C946" t="inlineStr">
        <is>
          <t>0                      LB 1715000R  62          1994</t>
        </is>
      </c>
      <c r="D946" t="inlineStr">
        <is>
          <t>The principalship / Thelbert L. Drake, William H. Roe.</t>
        </is>
      </c>
      <c r="F946" t="inlineStr">
        <is>
          <t>No</t>
        </is>
      </c>
      <c r="G946" t="inlineStr">
        <is>
          <t>1</t>
        </is>
      </c>
      <c r="H946" t="inlineStr">
        <is>
          <t>No</t>
        </is>
      </c>
      <c r="I946" t="inlineStr">
        <is>
          <t>No</t>
        </is>
      </c>
      <c r="J946" t="inlineStr">
        <is>
          <t>0</t>
        </is>
      </c>
      <c r="K946" t="inlineStr">
        <is>
          <t>Drake, Thelbert L.</t>
        </is>
      </c>
      <c r="L946" t="inlineStr">
        <is>
          <t>New York : Macmillan College Pub. Co. ; Toronto : Maxwell Macmillan Canada ; New York : Maxwell Macmillan International, c1994.</t>
        </is>
      </c>
      <c r="M946" t="inlineStr">
        <is>
          <t>1994</t>
        </is>
      </c>
      <c r="N946" t="inlineStr">
        <is>
          <t>4th ed.</t>
        </is>
      </c>
      <c r="O946" t="inlineStr">
        <is>
          <t>eng</t>
        </is>
      </c>
      <c r="P946" t="inlineStr">
        <is>
          <t>nyu</t>
        </is>
      </c>
      <c r="R946" t="inlineStr">
        <is>
          <t xml:space="preserve">LB </t>
        </is>
      </c>
      <c r="S946" t="n">
        <v>1</v>
      </c>
      <c r="T946" t="n">
        <v>1</v>
      </c>
      <c r="U946" t="inlineStr">
        <is>
          <t>2002-07-10</t>
        </is>
      </c>
      <c r="V946" t="inlineStr">
        <is>
          <t>2002-07-10</t>
        </is>
      </c>
      <c r="W946" t="inlineStr">
        <is>
          <t>1997-12-02</t>
        </is>
      </c>
      <c r="X946" t="inlineStr">
        <is>
          <t>1997-12-02</t>
        </is>
      </c>
      <c r="Y946" t="n">
        <v>157</v>
      </c>
      <c r="Z946" t="n">
        <v>136</v>
      </c>
      <c r="AA946" t="n">
        <v>562</v>
      </c>
      <c r="AB946" t="n">
        <v>3</v>
      </c>
      <c r="AC946" t="n">
        <v>7</v>
      </c>
      <c r="AD946" t="n">
        <v>6</v>
      </c>
      <c r="AE946" t="n">
        <v>29</v>
      </c>
      <c r="AF946" t="n">
        <v>1</v>
      </c>
      <c r="AG946" t="n">
        <v>12</v>
      </c>
      <c r="AH946" t="n">
        <v>1</v>
      </c>
      <c r="AI946" t="n">
        <v>5</v>
      </c>
      <c r="AJ946" t="n">
        <v>3</v>
      </c>
      <c r="AK946" t="n">
        <v>14</v>
      </c>
      <c r="AL946" t="n">
        <v>2</v>
      </c>
      <c r="AM946" t="n">
        <v>6</v>
      </c>
      <c r="AN946" t="n">
        <v>0</v>
      </c>
      <c r="AO946" t="n">
        <v>0</v>
      </c>
      <c r="AP946" t="inlineStr">
        <is>
          <t>No</t>
        </is>
      </c>
      <c r="AQ946" t="inlineStr">
        <is>
          <t>No</t>
        </is>
      </c>
      <c r="AS946">
        <f>HYPERLINK("https://creighton-primo.hosted.exlibrisgroup.com/primo-explore/search?tab=default_tab&amp;search_scope=EVERYTHING&amp;vid=01CRU&amp;lang=en_US&amp;offset=0&amp;query=any,contains,991002254639702656","Catalog Record")</f>
        <v/>
      </c>
      <c r="AT946">
        <f>HYPERLINK("http://www.worldcat.org/oclc/29219615","WorldCat Record")</f>
        <v/>
      </c>
      <c r="AU946" t="inlineStr">
        <is>
          <t>3901061797:eng</t>
        </is>
      </c>
      <c r="AV946" t="inlineStr">
        <is>
          <t>29219615</t>
        </is>
      </c>
      <c r="AW946" t="inlineStr">
        <is>
          <t>991002254639702656</t>
        </is>
      </c>
      <c r="AX946" t="inlineStr">
        <is>
          <t>991002254639702656</t>
        </is>
      </c>
      <c r="AY946" t="inlineStr">
        <is>
          <t>2261387010002656</t>
        </is>
      </c>
      <c r="AZ946" t="inlineStr">
        <is>
          <t>BOOK</t>
        </is>
      </c>
      <c r="BB946" t="inlineStr">
        <is>
          <t>9780023300264</t>
        </is>
      </c>
      <c r="BC946" t="inlineStr">
        <is>
          <t>32285003280749</t>
        </is>
      </c>
      <c r="BD946" t="inlineStr">
        <is>
          <t>893433677</t>
        </is>
      </c>
    </row>
    <row r="947">
      <c r="A947" t="inlineStr">
        <is>
          <t>No</t>
        </is>
      </c>
      <c r="B947" t="inlineStr">
        <is>
          <t>LB1715 .T433 2002</t>
        </is>
      </c>
      <c r="C947" t="inlineStr">
        <is>
          <t>0                      LB 1715000T  433         2002</t>
        </is>
      </c>
      <c r="D947" t="inlineStr">
        <is>
          <t>Teaching service and alternative teacher education : Notre Dame's Alliance for Catholic Education / edited by Michael Pressley.</t>
        </is>
      </c>
      <c r="F947" t="inlineStr">
        <is>
          <t>No</t>
        </is>
      </c>
      <c r="G947" t="inlineStr">
        <is>
          <t>1</t>
        </is>
      </c>
      <c r="H947" t="inlineStr">
        <is>
          <t>No</t>
        </is>
      </c>
      <c r="I947" t="inlineStr">
        <is>
          <t>No</t>
        </is>
      </c>
      <c r="J947" t="inlineStr">
        <is>
          <t>0</t>
        </is>
      </c>
      <c r="L947" t="inlineStr">
        <is>
          <t>Notre Dame, Ind. : University of Notre Dame Press, c2002.</t>
        </is>
      </c>
      <c r="M947" t="inlineStr">
        <is>
          <t>2002</t>
        </is>
      </c>
      <c r="O947" t="inlineStr">
        <is>
          <t>eng</t>
        </is>
      </c>
      <c r="P947" t="inlineStr">
        <is>
          <t>inu</t>
        </is>
      </c>
      <c r="Q947" t="inlineStr">
        <is>
          <t>Notre Dame advances in education</t>
        </is>
      </c>
      <c r="R947" t="inlineStr">
        <is>
          <t xml:space="preserve">LB </t>
        </is>
      </c>
      <c r="S947" t="n">
        <v>2</v>
      </c>
      <c r="T947" t="n">
        <v>2</v>
      </c>
      <c r="U947" t="inlineStr">
        <is>
          <t>2003-12-06</t>
        </is>
      </c>
      <c r="V947" t="inlineStr">
        <is>
          <t>2003-12-06</t>
        </is>
      </c>
      <c r="W947" t="inlineStr">
        <is>
          <t>2002-09-24</t>
        </is>
      </c>
      <c r="X947" t="inlineStr">
        <is>
          <t>2002-09-24</t>
        </is>
      </c>
      <c r="Y947" t="n">
        <v>267</v>
      </c>
      <c r="Z947" t="n">
        <v>246</v>
      </c>
      <c r="AA947" t="n">
        <v>253</v>
      </c>
      <c r="AB947" t="n">
        <v>2</v>
      </c>
      <c r="AC947" t="n">
        <v>2</v>
      </c>
      <c r="AD947" t="n">
        <v>19</v>
      </c>
      <c r="AE947" t="n">
        <v>19</v>
      </c>
      <c r="AF947" t="n">
        <v>4</v>
      </c>
      <c r="AG947" t="n">
        <v>4</v>
      </c>
      <c r="AH947" t="n">
        <v>7</v>
      </c>
      <c r="AI947" t="n">
        <v>7</v>
      </c>
      <c r="AJ947" t="n">
        <v>13</v>
      </c>
      <c r="AK947" t="n">
        <v>13</v>
      </c>
      <c r="AL947" t="n">
        <v>1</v>
      </c>
      <c r="AM947" t="n">
        <v>1</v>
      </c>
      <c r="AN947" t="n">
        <v>0</v>
      </c>
      <c r="AO947" t="n">
        <v>0</v>
      </c>
      <c r="AP947" t="inlineStr">
        <is>
          <t>No</t>
        </is>
      </c>
      <c r="AQ947" t="inlineStr">
        <is>
          <t>Yes</t>
        </is>
      </c>
      <c r="AR947">
        <f>HYPERLINK("http://catalog.hathitrust.org/Record/004265253","HathiTrust Record")</f>
        <v/>
      </c>
      <c r="AS947">
        <f>HYPERLINK("https://creighton-primo.hosted.exlibrisgroup.com/primo-explore/search?tab=default_tab&amp;search_scope=EVERYTHING&amp;vid=01CRU&amp;lang=en_US&amp;offset=0&amp;query=any,contains,991003894219702656","Catalog Record")</f>
        <v/>
      </c>
      <c r="AT947">
        <f>HYPERLINK("http://www.worldcat.org/oclc/47965183","WorldCat Record")</f>
        <v/>
      </c>
      <c r="AU947" t="inlineStr">
        <is>
          <t>36983075:eng</t>
        </is>
      </c>
      <c r="AV947" t="inlineStr">
        <is>
          <t>47965183</t>
        </is>
      </c>
      <c r="AW947" t="inlineStr">
        <is>
          <t>991003894219702656</t>
        </is>
      </c>
      <c r="AX947" t="inlineStr">
        <is>
          <t>991003894219702656</t>
        </is>
      </c>
      <c r="AY947" t="inlineStr">
        <is>
          <t>2269100030002656</t>
        </is>
      </c>
      <c r="AZ947" t="inlineStr">
        <is>
          <t>BOOK</t>
        </is>
      </c>
      <c r="BB947" t="inlineStr">
        <is>
          <t>9780268020156</t>
        </is>
      </c>
      <c r="BC947" t="inlineStr">
        <is>
          <t>32285004649660</t>
        </is>
      </c>
      <c r="BD947" t="inlineStr">
        <is>
          <t>893423125</t>
        </is>
      </c>
    </row>
    <row r="948">
      <c r="A948" t="inlineStr">
        <is>
          <t>No</t>
        </is>
      </c>
      <c r="B948" t="inlineStr">
        <is>
          <t>LB1715 .T436 1999</t>
        </is>
      </c>
      <c r="C948" t="inlineStr">
        <is>
          <t>0                      LB 1715000T  436         1999</t>
        </is>
      </c>
      <c r="D948" t="inlineStr">
        <is>
          <t>Teaching to teach : new partnerships in teacher education / Cherie Major and Robert Pines, editors.</t>
        </is>
      </c>
      <c r="F948" t="inlineStr">
        <is>
          <t>No</t>
        </is>
      </c>
      <c r="G948" t="inlineStr">
        <is>
          <t>1</t>
        </is>
      </c>
      <c r="H948" t="inlineStr">
        <is>
          <t>No</t>
        </is>
      </c>
      <c r="I948" t="inlineStr">
        <is>
          <t>No</t>
        </is>
      </c>
      <c r="J948" t="inlineStr">
        <is>
          <t>0</t>
        </is>
      </c>
      <c r="L948" t="inlineStr">
        <is>
          <t>Washington, D.C. : National Education Association, c1999.</t>
        </is>
      </c>
      <c r="M948" t="inlineStr">
        <is>
          <t>1999</t>
        </is>
      </c>
      <c r="O948" t="inlineStr">
        <is>
          <t>eng</t>
        </is>
      </c>
      <c r="P948" t="inlineStr">
        <is>
          <t>dcu</t>
        </is>
      </c>
      <c r="R948" t="inlineStr">
        <is>
          <t xml:space="preserve">LB </t>
        </is>
      </c>
      <c r="S948" t="n">
        <v>4</v>
      </c>
      <c r="T948" t="n">
        <v>4</v>
      </c>
      <c r="U948" t="inlineStr">
        <is>
          <t>2003-04-28</t>
        </is>
      </c>
      <c r="V948" t="inlineStr">
        <is>
          <t>2003-04-28</t>
        </is>
      </c>
      <c r="W948" t="inlineStr">
        <is>
          <t>1999-12-02</t>
        </is>
      </c>
      <c r="X948" t="inlineStr">
        <is>
          <t>1999-12-02</t>
        </is>
      </c>
      <c r="Y948" t="n">
        <v>242</v>
      </c>
      <c r="Z948" t="n">
        <v>231</v>
      </c>
      <c r="AA948" t="n">
        <v>236</v>
      </c>
      <c r="AB948" t="n">
        <v>3</v>
      </c>
      <c r="AC948" t="n">
        <v>3</v>
      </c>
      <c r="AD948" t="n">
        <v>10</v>
      </c>
      <c r="AE948" t="n">
        <v>10</v>
      </c>
      <c r="AF948" t="n">
        <v>5</v>
      </c>
      <c r="AG948" t="n">
        <v>5</v>
      </c>
      <c r="AH948" t="n">
        <v>1</v>
      </c>
      <c r="AI948" t="n">
        <v>1</v>
      </c>
      <c r="AJ948" t="n">
        <v>5</v>
      </c>
      <c r="AK948" t="n">
        <v>5</v>
      </c>
      <c r="AL948" t="n">
        <v>2</v>
      </c>
      <c r="AM948" t="n">
        <v>2</v>
      </c>
      <c r="AN948" t="n">
        <v>0</v>
      </c>
      <c r="AO948" t="n">
        <v>0</v>
      </c>
      <c r="AP948" t="inlineStr">
        <is>
          <t>No</t>
        </is>
      </c>
      <c r="AQ948" t="inlineStr">
        <is>
          <t>No</t>
        </is>
      </c>
      <c r="AS948">
        <f>HYPERLINK("https://creighton-primo.hosted.exlibrisgroup.com/primo-explore/search?tab=default_tab&amp;search_scope=EVERYTHING&amp;vid=01CRU&amp;lang=en_US&amp;offset=0&amp;query=any,contains,991003045189702656","Catalog Record")</f>
        <v/>
      </c>
      <c r="AT948">
        <f>HYPERLINK("http://www.worldcat.org/oclc/42454377","WorldCat Record")</f>
        <v/>
      </c>
      <c r="AU948" t="inlineStr">
        <is>
          <t>10521022881:eng</t>
        </is>
      </c>
      <c r="AV948" t="inlineStr">
        <is>
          <t>42454377</t>
        </is>
      </c>
      <c r="AW948" t="inlineStr">
        <is>
          <t>991003045189702656</t>
        </is>
      </c>
      <c r="AX948" t="inlineStr">
        <is>
          <t>991003045189702656</t>
        </is>
      </c>
      <c r="AY948" t="inlineStr">
        <is>
          <t>2268336700002656</t>
        </is>
      </c>
      <c r="AZ948" t="inlineStr">
        <is>
          <t>BOOK</t>
        </is>
      </c>
      <c r="BB948" t="inlineStr">
        <is>
          <t>9780810620834</t>
        </is>
      </c>
      <c r="BC948" t="inlineStr">
        <is>
          <t>32285003627311</t>
        </is>
      </c>
      <c r="BD948" t="inlineStr">
        <is>
          <t>893440875</t>
        </is>
      </c>
    </row>
    <row r="949">
      <c r="A949" t="inlineStr">
        <is>
          <t>No</t>
        </is>
      </c>
      <c r="B949" t="inlineStr">
        <is>
          <t>LB1725.E852 E27 2002</t>
        </is>
      </c>
      <c r="C949" t="inlineStr">
        <is>
          <t>0                      LB 1725000E  852                E  27          2002</t>
        </is>
      </c>
      <c r="D949" t="inlineStr">
        <is>
          <t>East European constitutionalism teacher-training project : final report : assumptions and lessons learned.</t>
        </is>
      </c>
      <c r="F949" t="inlineStr">
        <is>
          <t>No</t>
        </is>
      </c>
      <c r="G949" t="inlineStr">
        <is>
          <t>1</t>
        </is>
      </c>
      <c r="H949" t="inlineStr">
        <is>
          <t>No</t>
        </is>
      </c>
      <c r="I949" t="inlineStr">
        <is>
          <t>No</t>
        </is>
      </c>
      <c r="J949" t="inlineStr">
        <is>
          <t>0</t>
        </is>
      </c>
      <c r="L949" t="inlineStr">
        <is>
          <t>New York : American Council of Learned Societies, c2002.</t>
        </is>
      </c>
      <c r="M949" t="inlineStr">
        <is>
          <t>2002</t>
        </is>
      </c>
      <c r="O949" t="inlineStr">
        <is>
          <t>eng</t>
        </is>
      </c>
      <c r="P949" t="inlineStr">
        <is>
          <t>nyu</t>
        </is>
      </c>
      <c r="Q949" t="inlineStr">
        <is>
          <t>ACLS occasional paper, 1041-536X ; no. 51</t>
        </is>
      </c>
      <c r="R949" t="inlineStr">
        <is>
          <t xml:space="preserve">LB </t>
        </is>
      </c>
      <c r="S949" t="n">
        <v>1</v>
      </c>
      <c r="T949" t="n">
        <v>1</v>
      </c>
      <c r="U949" t="inlineStr">
        <is>
          <t>2002-06-12</t>
        </is>
      </c>
      <c r="V949" t="inlineStr">
        <is>
          <t>2002-06-12</t>
        </is>
      </c>
      <c r="W949" t="inlineStr">
        <is>
          <t>2002-06-12</t>
        </is>
      </c>
      <c r="X949" t="inlineStr">
        <is>
          <t>2002-06-12</t>
        </is>
      </c>
      <c r="Y949" t="n">
        <v>283</v>
      </c>
      <c r="Z949" t="n">
        <v>243</v>
      </c>
      <c r="AA949" t="n">
        <v>247</v>
      </c>
      <c r="AB949" t="n">
        <v>3</v>
      </c>
      <c r="AC949" t="n">
        <v>3</v>
      </c>
      <c r="AD949" t="n">
        <v>15</v>
      </c>
      <c r="AE949" t="n">
        <v>15</v>
      </c>
      <c r="AF949" t="n">
        <v>4</v>
      </c>
      <c r="AG949" t="n">
        <v>4</v>
      </c>
      <c r="AH949" t="n">
        <v>4</v>
      </c>
      <c r="AI949" t="n">
        <v>4</v>
      </c>
      <c r="AJ949" t="n">
        <v>8</v>
      </c>
      <c r="AK949" t="n">
        <v>8</v>
      </c>
      <c r="AL949" t="n">
        <v>2</v>
      </c>
      <c r="AM949" t="n">
        <v>2</v>
      </c>
      <c r="AN949" t="n">
        <v>0</v>
      </c>
      <c r="AO949" t="n">
        <v>0</v>
      </c>
      <c r="AP949" t="inlineStr">
        <is>
          <t>No</t>
        </is>
      </c>
      <c r="AQ949" t="inlineStr">
        <is>
          <t>Yes</t>
        </is>
      </c>
      <c r="AR949">
        <f>HYPERLINK("http://catalog.hathitrust.org/Record/003796585","HathiTrust Record")</f>
        <v/>
      </c>
      <c r="AS949">
        <f>HYPERLINK("https://creighton-primo.hosted.exlibrisgroup.com/primo-explore/search?tab=default_tab&amp;search_scope=EVERYTHING&amp;vid=01CRU&amp;lang=en_US&amp;offset=0&amp;query=any,contains,991003817709702656","Catalog Record")</f>
        <v/>
      </c>
      <c r="AT949">
        <f>HYPERLINK("http://www.worldcat.org/oclc/49968011","WorldCat Record")</f>
        <v/>
      </c>
      <c r="AU949" t="inlineStr">
        <is>
          <t>903467659:eng</t>
        </is>
      </c>
      <c r="AV949" t="inlineStr">
        <is>
          <t>49968011</t>
        </is>
      </c>
      <c r="AW949" t="inlineStr">
        <is>
          <t>991003817709702656</t>
        </is>
      </c>
      <c r="AX949" t="inlineStr">
        <is>
          <t>991003817709702656</t>
        </is>
      </c>
      <c r="AY949" t="inlineStr">
        <is>
          <t>2260217750002656</t>
        </is>
      </c>
      <c r="AZ949" t="inlineStr">
        <is>
          <t>BOOK</t>
        </is>
      </c>
      <c r="BC949" t="inlineStr">
        <is>
          <t>32285004494802</t>
        </is>
      </c>
      <c r="BD949" t="inlineStr">
        <is>
          <t>893435480</t>
        </is>
      </c>
    </row>
    <row r="950">
      <c r="A950" t="inlineStr">
        <is>
          <t>No</t>
        </is>
      </c>
      <c r="B950" t="inlineStr">
        <is>
          <t>LB1731 .A8</t>
        </is>
      </c>
      <c r="C950" t="inlineStr">
        <is>
          <t>0                      LB 1731000A  8</t>
        </is>
      </c>
      <c r="D950" t="inlineStr">
        <is>
          <t>Pre-service and in-service preparation of school counselors for educational guidance; a monograph. Editor: Stanley H. Cramer.</t>
        </is>
      </c>
      <c r="F950" t="inlineStr">
        <is>
          <t>No</t>
        </is>
      </c>
      <c r="G950" t="inlineStr">
        <is>
          <t>1</t>
        </is>
      </c>
      <c r="H950" t="inlineStr">
        <is>
          <t>No</t>
        </is>
      </c>
      <c r="I950" t="inlineStr">
        <is>
          <t>No</t>
        </is>
      </c>
      <c r="J950" t="inlineStr">
        <is>
          <t>0</t>
        </is>
      </c>
      <c r="K950" t="inlineStr">
        <is>
          <t>ACES-ASCA Committee on Preparation for Pre-College Guidance and Counseling.</t>
        </is>
      </c>
      <c r="L950" t="inlineStr">
        <is>
          <t>[Washington, American Personnel and Guidance Assn.] 1970.</t>
        </is>
      </c>
      <c r="M950" t="inlineStr">
        <is>
          <t>1970</t>
        </is>
      </c>
      <c r="O950" t="inlineStr">
        <is>
          <t>eng</t>
        </is>
      </c>
      <c r="P950" t="inlineStr">
        <is>
          <t xml:space="preserve">xx </t>
        </is>
      </c>
      <c r="R950" t="inlineStr">
        <is>
          <t xml:space="preserve">LB </t>
        </is>
      </c>
      <c r="S950" t="n">
        <v>1</v>
      </c>
      <c r="T950" t="n">
        <v>1</v>
      </c>
      <c r="U950" t="inlineStr">
        <is>
          <t>2009-10-08</t>
        </is>
      </c>
      <c r="V950" t="inlineStr">
        <is>
          <t>2009-10-08</t>
        </is>
      </c>
      <c r="W950" t="inlineStr">
        <is>
          <t>1997-05-15</t>
        </is>
      </c>
      <c r="X950" t="inlineStr">
        <is>
          <t>1997-05-15</t>
        </is>
      </c>
      <c r="Y950" t="n">
        <v>18</v>
      </c>
      <c r="Z950" t="n">
        <v>15</v>
      </c>
      <c r="AA950" t="n">
        <v>115</v>
      </c>
      <c r="AB950" t="n">
        <v>1</v>
      </c>
      <c r="AC950" t="n">
        <v>1</v>
      </c>
      <c r="AD950" t="n">
        <v>0</v>
      </c>
      <c r="AE950" t="n">
        <v>2</v>
      </c>
      <c r="AF950" t="n">
        <v>0</v>
      </c>
      <c r="AG950" t="n">
        <v>0</v>
      </c>
      <c r="AH950" t="n">
        <v>0</v>
      </c>
      <c r="AI950" t="n">
        <v>1</v>
      </c>
      <c r="AJ950" t="n">
        <v>0</v>
      </c>
      <c r="AK950" t="n">
        <v>1</v>
      </c>
      <c r="AL950" t="n">
        <v>0</v>
      </c>
      <c r="AM950" t="n">
        <v>0</v>
      </c>
      <c r="AN950" t="n">
        <v>0</v>
      </c>
      <c r="AO950" t="n">
        <v>0</v>
      </c>
      <c r="AP950" t="inlineStr">
        <is>
          <t>No</t>
        </is>
      </c>
      <c r="AQ950" t="inlineStr">
        <is>
          <t>Yes</t>
        </is>
      </c>
      <c r="AR950">
        <f>HYPERLINK("http://catalog.hathitrust.org/Record/009816028","HathiTrust Record")</f>
        <v/>
      </c>
      <c r="AS950">
        <f>HYPERLINK("https://creighton-primo.hosted.exlibrisgroup.com/primo-explore/search?tab=default_tab&amp;search_scope=EVERYTHING&amp;vid=01CRU&amp;lang=en_US&amp;offset=0&amp;query=any,contains,991000942889702656","Catalog Record")</f>
        <v/>
      </c>
      <c r="AT950">
        <f>HYPERLINK("http://www.worldcat.org/oclc/14436369","WorldCat Record")</f>
        <v/>
      </c>
      <c r="AU950" t="inlineStr">
        <is>
          <t>1932171198:eng</t>
        </is>
      </c>
      <c r="AV950" t="inlineStr">
        <is>
          <t>14436369</t>
        </is>
      </c>
      <c r="AW950" t="inlineStr">
        <is>
          <t>991000942889702656</t>
        </is>
      </c>
      <c r="AX950" t="inlineStr">
        <is>
          <t>991000942889702656</t>
        </is>
      </c>
      <c r="AY950" t="inlineStr">
        <is>
          <t>2261997870002656</t>
        </is>
      </c>
      <c r="AZ950" t="inlineStr">
        <is>
          <t>BOOK</t>
        </is>
      </c>
      <c r="BC950" t="inlineStr">
        <is>
          <t>32285002667458</t>
        </is>
      </c>
      <c r="BD950" t="inlineStr">
        <is>
          <t>893515768</t>
        </is>
      </c>
    </row>
    <row r="951">
      <c r="A951" t="inlineStr">
        <is>
          <t>No</t>
        </is>
      </c>
      <c r="B951" t="inlineStr">
        <is>
          <t>LB1731 .B415 1995</t>
        </is>
      </c>
      <c r="C951" t="inlineStr">
        <is>
          <t>0                      LB 1731000B  415         1995</t>
        </is>
      </c>
      <c r="D951" t="inlineStr">
        <is>
          <t>Constructing professional knowledge in teaching : a narrative of change and development / Mary Beattie ; foreword by Elliot W. Eisner.</t>
        </is>
      </c>
      <c r="F951" t="inlineStr">
        <is>
          <t>No</t>
        </is>
      </c>
      <c r="G951" t="inlineStr">
        <is>
          <t>1</t>
        </is>
      </c>
      <c r="H951" t="inlineStr">
        <is>
          <t>No</t>
        </is>
      </c>
      <c r="I951" t="inlineStr">
        <is>
          <t>No</t>
        </is>
      </c>
      <c r="J951" t="inlineStr">
        <is>
          <t>0</t>
        </is>
      </c>
      <c r="K951" t="inlineStr">
        <is>
          <t>Beattie, Mary, 1946-</t>
        </is>
      </c>
      <c r="L951" t="inlineStr">
        <is>
          <t>[Toronto?] : Ontario Institute for Studies in Education ; New York, NY : Teachers College Press, Teachers College, Columbia University, c1995.</t>
        </is>
      </c>
      <c r="M951" t="inlineStr">
        <is>
          <t>1995</t>
        </is>
      </c>
      <c r="O951" t="inlineStr">
        <is>
          <t>eng</t>
        </is>
      </c>
      <c r="P951" t="inlineStr">
        <is>
          <t>onc</t>
        </is>
      </c>
      <c r="R951" t="inlineStr">
        <is>
          <t xml:space="preserve">LB </t>
        </is>
      </c>
      <c r="S951" t="n">
        <v>1</v>
      </c>
      <c r="T951" t="n">
        <v>1</v>
      </c>
      <c r="U951" t="inlineStr">
        <is>
          <t>2002-02-04</t>
        </is>
      </c>
      <c r="V951" t="inlineStr">
        <is>
          <t>2002-02-04</t>
        </is>
      </c>
      <c r="W951" t="inlineStr">
        <is>
          <t>1996-03-15</t>
        </is>
      </c>
      <c r="X951" t="inlineStr">
        <is>
          <t>1996-03-15</t>
        </is>
      </c>
      <c r="Y951" t="n">
        <v>327</v>
      </c>
      <c r="Z951" t="n">
        <v>265</v>
      </c>
      <c r="AA951" t="n">
        <v>266</v>
      </c>
      <c r="AB951" t="n">
        <v>2</v>
      </c>
      <c r="AC951" t="n">
        <v>2</v>
      </c>
      <c r="AD951" t="n">
        <v>15</v>
      </c>
      <c r="AE951" t="n">
        <v>15</v>
      </c>
      <c r="AF951" t="n">
        <v>5</v>
      </c>
      <c r="AG951" t="n">
        <v>5</v>
      </c>
      <c r="AH951" t="n">
        <v>4</v>
      </c>
      <c r="AI951" t="n">
        <v>4</v>
      </c>
      <c r="AJ951" t="n">
        <v>8</v>
      </c>
      <c r="AK951" t="n">
        <v>8</v>
      </c>
      <c r="AL951" t="n">
        <v>1</v>
      </c>
      <c r="AM951" t="n">
        <v>1</v>
      </c>
      <c r="AN951" t="n">
        <v>0</v>
      </c>
      <c r="AO951" t="n">
        <v>0</v>
      </c>
      <c r="AP951" t="inlineStr">
        <is>
          <t>No</t>
        </is>
      </c>
      <c r="AQ951" t="inlineStr">
        <is>
          <t>No</t>
        </is>
      </c>
      <c r="AS951">
        <f>HYPERLINK("https://creighton-primo.hosted.exlibrisgroup.com/primo-explore/search?tab=default_tab&amp;search_scope=EVERYTHING&amp;vid=01CRU&amp;lang=en_US&amp;offset=0&amp;query=any,contains,991002405629702656","Catalog Record")</f>
        <v/>
      </c>
      <c r="AT951">
        <f>HYPERLINK("http://www.worldcat.org/oclc/31290641","WorldCat Record")</f>
        <v/>
      </c>
      <c r="AU951" t="inlineStr">
        <is>
          <t>33439095:eng</t>
        </is>
      </c>
      <c r="AV951" t="inlineStr">
        <is>
          <t>31290641</t>
        </is>
      </c>
      <c r="AW951" t="inlineStr">
        <is>
          <t>991002405629702656</t>
        </is>
      </c>
      <c r="AX951" t="inlineStr">
        <is>
          <t>991002405629702656</t>
        </is>
      </c>
      <c r="AY951" t="inlineStr">
        <is>
          <t>2265817350002656</t>
        </is>
      </c>
      <c r="AZ951" t="inlineStr">
        <is>
          <t>BOOK</t>
        </is>
      </c>
      <c r="BB951" t="inlineStr">
        <is>
          <t>9780807733950</t>
        </is>
      </c>
      <c r="BC951" t="inlineStr">
        <is>
          <t>32285002143278</t>
        </is>
      </c>
      <c r="BD951" t="inlineStr">
        <is>
          <t>893409062</t>
        </is>
      </c>
    </row>
    <row r="952">
      <c r="A952" t="inlineStr">
        <is>
          <t>No</t>
        </is>
      </c>
      <c r="B952" t="inlineStr">
        <is>
          <t>LB1731 .B69 2010</t>
        </is>
      </c>
      <c r="C952" t="inlineStr">
        <is>
          <t>0                      LB 1731000B  69          2010</t>
        </is>
      </c>
      <c r="D952" t="inlineStr">
        <is>
          <t>Differentiated professional development in a professional learning community / Linda Bowgren, Kathryn Sever.</t>
        </is>
      </c>
      <c r="F952" t="inlineStr">
        <is>
          <t>No</t>
        </is>
      </c>
      <c r="G952" t="inlineStr">
        <is>
          <t>1</t>
        </is>
      </c>
      <c r="H952" t="inlineStr">
        <is>
          <t>No</t>
        </is>
      </c>
      <c r="I952" t="inlineStr">
        <is>
          <t>No</t>
        </is>
      </c>
      <c r="J952" t="inlineStr">
        <is>
          <t>0</t>
        </is>
      </c>
      <c r="K952" t="inlineStr">
        <is>
          <t>Bowgren, Linda.</t>
        </is>
      </c>
      <c r="L952" t="inlineStr">
        <is>
          <t>Bloomington, IN : Solution Tree Press, c2010.</t>
        </is>
      </c>
      <c r="M952" t="inlineStr">
        <is>
          <t>2010</t>
        </is>
      </c>
      <c r="O952" t="inlineStr">
        <is>
          <t>eng</t>
        </is>
      </c>
      <c r="P952" t="inlineStr">
        <is>
          <t>inu</t>
        </is>
      </c>
      <c r="R952" t="inlineStr">
        <is>
          <t xml:space="preserve">LB </t>
        </is>
      </c>
      <c r="S952" t="n">
        <v>1</v>
      </c>
      <c r="T952" t="n">
        <v>1</v>
      </c>
      <c r="U952" t="inlineStr">
        <is>
          <t>2010-02-08</t>
        </is>
      </c>
      <c r="V952" t="inlineStr">
        <is>
          <t>2010-02-08</t>
        </is>
      </c>
      <c r="W952" t="inlineStr">
        <is>
          <t>2010-02-08</t>
        </is>
      </c>
      <c r="X952" t="inlineStr">
        <is>
          <t>2010-02-08</t>
        </is>
      </c>
      <c r="Y952" t="n">
        <v>57</v>
      </c>
      <c r="Z952" t="n">
        <v>45</v>
      </c>
      <c r="AA952" t="n">
        <v>127</v>
      </c>
      <c r="AB952" t="n">
        <v>1</v>
      </c>
      <c r="AC952" t="n">
        <v>2</v>
      </c>
      <c r="AD952" t="n">
        <v>3</v>
      </c>
      <c r="AE952" t="n">
        <v>7</v>
      </c>
      <c r="AF952" t="n">
        <v>3</v>
      </c>
      <c r="AG952" t="n">
        <v>6</v>
      </c>
      <c r="AH952" t="n">
        <v>0</v>
      </c>
      <c r="AI952" t="n">
        <v>1</v>
      </c>
      <c r="AJ952" t="n">
        <v>2</v>
      </c>
      <c r="AK952" t="n">
        <v>2</v>
      </c>
      <c r="AL952" t="n">
        <v>0</v>
      </c>
      <c r="AM952" t="n">
        <v>1</v>
      </c>
      <c r="AN952" t="n">
        <v>0</v>
      </c>
      <c r="AO952" t="n">
        <v>0</v>
      </c>
      <c r="AP952" t="inlineStr">
        <is>
          <t>No</t>
        </is>
      </c>
      <c r="AQ952" t="inlineStr">
        <is>
          <t>Yes</t>
        </is>
      </c>
      <c r="AR952">
        <f>HYPERLINK("http://catalog.hathitrust.org/Record/009816481","HathiTrust Record")</f>
        <v/>
      </c>
      <c r="AS952">
        <f>HYPERLINK("https://creighton-primo.hosted.exlibrisgroup.com/primo-explore/search?tab=default_tab&amp;search_scope=EVERYTHING&amp;vid=01CRU&amp;lang=en_US&amp;offset=0&amp;query=any,contains,991005349379702656","Catalog Record")</f>
        <v/>
      </c>
      <c r="AT952">
        <f>HYPERLINK("http://www.worldcat.org/oclc/429472557","WorldCat Record")</f>
        <v/>
      </c>
      <c r="AU952" t="inlineStr">
        <is>
          <t>316529002:eng</t>
        </is>
      </c>
      <c r="AV952" t="inlineStr">
        <is>
          <t>429472557</t>
        </is>
      </c>
      <c r="AW952" t="inlineStr">
        <is>
          <t>991005349379702656</t>
        </is>
      </c>
      <c r="AX952" t="inlineStr">
        <is>
          <t>991005349379702656</t>
        </is>
      </c>
      <c r="AY952" t="inlineStr">
        <is>
          <t>2256441050002656</t>
        </is>
      </c>
      <c r="AZ952" t="inlineStr">
        <is>
          <t>BOOK</t>
        </is>
      </c>
      <c r="BB952" t="inlineStr">
        <is>
          <t>9781934009611</t>
        </is>
      </c>
      <c r="BC952" t="inlineStr">
        <is>
          <t>32285005572432</t>
        </is>
      </c>
      <c r="BD952" t="inlineStr">
        <is>
          <t>893796009</t>
        </is>
      </c>
    </row>
    <row r="953">
      <c r="A953" t="inlineStr">
        <is>
          <t>No</t>
        </is>
      </c>
      <c r="B953" t="inlineStr">
        <is>
          <t>LB1731 .C48 2009</t>
        </is>
      </c>
      <c r="C953" t="inlineStr">
        <is>
          <t>0                      LB 1731000C  48          2009</t>
        </is>
      </c>
      <c r="D953" t="inlineStr">
        <is>
          <t>From literature circles to blogs : activities for engaging professional learning communities / Susan Church, Margaret Swain.</t>
        </is>
      </c>
      <c r="F953" t="inlineStr">
        <is>
          <t>No</t>
        </is>
      </c>
      <c r="G953" t="inlineStr">
        <is>
          <t>1</t>
        </is>
      </c>
      <c r="H953" t="inlineStr">
        <is>
          <t>No</t>
        </is>
      </c>
      <c r="I953" t="inlineStr">
        <is>
          <t>No</t>
        </is>
      </c>
      <c r="J953" t="inlineStr">
        <is>
          <t>0</t>
        </is>
      </c>
      <c r="K953" t="inlineStr">
        <is>
          <t>Church, Susan M.</t>
        </is>
      </c>
      <c r="L953" t="inlineStr">
        <is>
          <t>Markham, Ont. : Pembroke Publishers Ltd. ; Portland, ME : Distributed in the U.S. by Stenhouse Publishers, c2009.</t>
        </is>
      </c>
      <c r="M953" t="inlineStr">
        <is>
          <t>2009</t>
        </is>
      </c>
      <c r="O953" t="inlineStr">
        <is>
          <t>eng</t>
        </is>
      </c>
      <c r="P953" t="inlineStr">
        <is>
          <t>onc</t>
        </is>
      </c>
      <c r="R953" t="inlineStr">
        <is>
          <t xml:space="preserve">LB </t>
        </is>
      </c>
      <c r="S953" t="n">
        <v>1</v>
      </c>
      <c r="T953" t="n">
        <v>1</v>
      </c>
      <c r="U953" t="inlineStr">
        <is>
          <t>2010-01-13</t>
        </is>
      </c>
      <c r="V953" t="inlineStr">
        <is>
          <t>2010-01-13</t>
        </is>
      </c>
      <c r="W953" t="inlineStr">
        <is>
          <t>2010-01-13</t>
        </is>
      </c>
      <c r="X953" t="inlineStr">
        <is>
          <t>2010-01-13</t>
        </is>
      </c>
      <c r="Y953" t="n">
        <v>139</v>
      </c>
      <c r="Z953" t="n">
        <v>89</v>
      </c>
      <c r="AA953" t="n">
        <v>100</v>
      </c>
      <c r="AB953" t="n">
        <v>1</v>
      </c>
      <c r="AC953" t="n">
        <v>2</v>
      </c>
      <c r="AD953" t="n">
        <v>4</v>
      </c>
      <c r="AE953" t="n">
        <v>6</v>
      </c>
      <c r="AF953" t="n">
        <v>2</v>
      </c>
      <c r="AG953" t="n">
        <v>3</v>
      </c>
      <c r="AH953" t="n">
        <v>1</v>
      </c>
      <c r="AI953" t="n">
        <v>2</v>
      </c>
      <c r="AJ953" t="n">
        <v>3</v>
      </c>
      <c r="AK953" t="n">
        <v>3</v>
      </c>
      <c r="AL953" t="n">
        <v>0</v>
      </c>
      <c r="AM953" t="n">
        <v>1</v>
      </c>
      <c r="AN953" t="n">
        <v>0</v>
      </c>
      <c r="AO953" t="n">
        <v>0</v>
      </c>
      <c r="AP953" t="inlineStr">
        <is>
          <t>No</t>
        </is>
      </c>
      <c r="AQ953" t="inlineStr">
        <is>
          <t>No</t>
        </is>
      </c>
      <c r="AS953">
        <f>HYPERLINK("https://creighton-primo.hosted.exlibrisgroup.com/primo-explore/search?tab=default_tab&amp;search_scope=EVERYTHING&amp;vid=01CRU&amp;lang=en_US&amp;offset=0&amp;query=any,contains,991005349399702656","Catalog Record")</f>
        <v/>
      </c>
      <c r="AT953">
        <f>HYPERLINK("http://www.worldcat.org/oclc/373341580","WorldCat Record")</f>
        <v/>
      </c>
      <c r="AU953" t="inlineStr">
        <is>
          <t>1011484682:eng</t>
        </is>
      </c>
      <c r="AV953" t="inlineStr">
        <is>
          <t>373341580</t>
        </is>
      </c>
      <c r="AW953" t="inlineStr">
        <is>
          <t>991005349399702656</t>
        </is>
      </c>
      <c r="AX953" t="inlineStr">
        <is>
          <t>991005349399702656</t>
        </is>
      </c>
      <c r="AY953" t="inlineStr">
        <is>
          <t>2262328680002656</t>
        </is>
      </c>
      <c r="AZ953" t="inlineStr">
        <is>
          <t>BOOK</t>
        </is>
      </c>
      <c r="BB953" t="inlineStr">
        <is>
          <t>9781551382449</t>
        </is>
      </c>
      <c r="BC953" t="inlineStr">
        <is>
          <t>32285005557003</t>
        </is>
      </c>
      <c r="BD953" t="inlineStr">
        <is>
          <t>893695163</t>
        </is>
      </c>
    </row>
    <row r="954">
      <c r="A954" t="inlineStr">
        <is>
          <t>No</t>
        </is>
      </c>
      <c r="B954" t="inlineStr">
        <is>
          <t>LB1731 .D84 1991</t>
        </is>
      </c>
      <c r="C954" t="inlineStr">
        <is>
          <t>0                      LB 1731000D  84          1991</t>
        </is>
      </c>
      <c r="D954" t="inlineStr">
        <is>
          <t>The principal as staff developer / Richard P. DuFour.</t>
        </is>
      </c>
      <c r="F954" t="inlineStr">
        <is>
          <t>No</t>
        </is>
      </c>
      <c r="G954" t="inlineStr">
        <is>
          <t>1</t>
        </is>
      </c>
      <c r="H954" t="inlineStr">
        <is>
          <t>No</t>
        </is>
      </c>
      <c r="I954" t="inlineStr">
        <is>
          <t>No</t>
        </is>
      </c>
      <c r="J954" t="inlineStr">
        <is>
          <t>0</t>
        </is>
      </c>
      <c r="K954" t="inlineStr">
        <is>
          <t>DuFour, Richard, 1947-2017.</t>
        </is>
      </c>
      <c r="L954" t="inlineStr">
        <is>
          <t>Bloomington, Ind : National Educational Service, c1991.</t>
        </is>
      </c>
      <c r="M954" t="inlineStr">
        <is>
          <t>1991</t>
        </is>
      </c>
      <c r="O954" t="inlineStr">
        <is>
          <t>eng</t>
        </is>
      </c>
      <c r="P954" t="inlineStr">
        <is>
          <t>inu</t>
        </is>
      </c>
      <c r="R954" t="inlineStr">
        <is>
          <t xml:space="preserve">LB </t>
        </is>
      </c>
      <c r="S954" t="n">
        <v>3</v>
      </c>
      <c r="T954" t="n">
        <v>3</v>
      </c>
      <c r="U954" t="inlineStr">
        <is>
          <t>1994-11-27</t>
        </is>
      </c>
      <c r="V954" t="inlineStr">
        <is>
          <t>1994-11-27</t>
        </is>
      </c>
      <c r="W954" t="inlineStr">
        <is>
          <t>1992-11-17</t>
        </is>
      </c>
      <c r="X954" t="inlineStr">
        <is>
          <t>1992-11-17</t>
        </is>
      </c>
      <c r="Y954" t="n">
        <v>216</v>
      </c>
      <c r="Z954" t="n">
        <v>189</v>
      </c>
      <c r="AA954" t="n">
        <v>191</v>
      </c>
      <c r="AB954" t="n">
        <v>6</v>
      </c>
      <c r="AC954" t="n">
        <v>6</v>
      </c>
      <c r="AD954" t="n">
        <v>12</v>
      </c>
      <c r="AE954" t="n">
        <v>12</v>
      </c>
      <c r="AF954" t="n">
        <v>2</v>
      </c>
      <c r="AG954" t="n">
        <v>2</v>
      </c>
      <c r="AH954" t="n">
        <v>2</v>
      </c>
      <c r="AI954" t="n">
        <v>2</v>
      </c>
      <c r="AJ954" t="n">
        <v>4</v>
      </c>
      <c r="AK954" t="n">
        <v>4</v>
      </c>
      <c r="AL954" t="n">
        <v>5</v>
      </c>
      <c r="AM954" t="n">
        <v>5</v>
      </c>
      <c r="AN954" t="n">
        <v>0</v>
      </c>
      <c r="AO954" t="n">
        <v>0</v>
      </c>
      <c r="AP954" t="inlineStr">
        <is>
          <t>No</t>
        </is>
      </c>
      <c r="AQ954" t="inlineStr">
        <is>
          <t>No</t>
        </is>
      </c>
      <c r="AS954">
        <f>HYPERLINK("https://creighton-primo.hosted.exlibrisgroup.com/primo-explore/search?tab=default_tab&amp;search_scope=EVERYTHING&amp;vid=01CRU&amp;lang=en_US&amp;offset=0&amp;query=any,contains,991001944699702656","Catalog Record")</f>
        <v/>
      </c>
      <c r="AT954">
        <f>HYPERLINK("http://www.worldcat.org/oclc/24563794","WorldCat Record")</f>
        <v/>
      </c>
      <c r="AU954" t="inlineStr">
        <is>
          <t>2763026361:eng</t>
        </is>
      </c>
      <c r="AV954" t="inlineStr">
        <is>
          <t>24563794</t>
        </is>
      </c>
      <c r="AW954" t="inlineStr">
        <is>
          <t>991001944699702656</t>
        </is>
      </c>
      <c r="AX954" t="inlineStr">
        <is>
          <t>991001944699702656</t>
        </is>
      </c>
      <c r="AY954" t="inlineStr">
        <is>
          <t>2261992690002656</t>
        </is>
      </c>
      <c r="AZ954" t="inlineStr">
        <is>
          <t>BOOK</t>
        </is>
      </c>
      <c r="BB954" t="inlineStr">
        <is>
          <t>9781879639010</t>
        </is>
      </c>
      <c r="BC954" t="inlineStr">
        <is>
          <t>32285001425833</t>
        </is>
      </c>
      <c r="BD954" t="inlineStr">
        <is>
          <t>893334745</t>
        </is>
      </c>
    </row>
    <row r="955">
      <c r="A955" t="inlineStr">
        <is>
          <t>No</t>
        </is>
      </c>
      <c r="B955" t="inlineStr">
        <is>
          <t>LB1731 .P46 1989</t>
        </is>
      </c>
      <c r="C955" t="inlineStr">
        <is>
          <t>0                      LB 1731000P  46          1989</t>
        </is>
      </c>
      <c r="D955" t="inlineStr">
        <is>
          <t>Perspectives on teacher professional development / edited by Mary Louise Holly and Caven S. Mcloughlin.</t>
        </is>
      </c>
      <c r="F955" t="inlineStr">
        <is>
          <t>No</t>
        </is>
      </c>
      <c r="G955" t="inlineStr">
        <is>
          <t>1</t>
        </is>
      </c>
      <c r="H955" t="inlineStr">
        <is>
          <t>No</t>
        </is>
      </c>
      <c r="I955" t="inlineStr">
        <is>
          <t>No</t>
        </is>
      </c>
      <c r="J955" t="inlineStr">
        <is>
          <t>0</t>
        </is>
      </c>
      <c r="L955" t="inlineStr">
        <is>
          <t>New York : Falmer Press, 1989.</t>
        </is>
      </c>
      <c r="M955" t="inlineStr">
        <is>
          <t>1989</t>
        </is>
      </c>
      <c r="O955" t="inlineStr">
        <is>
          <t>eng</t>
        </is>
      </c>
      <c r="P955" t="inlineStr">
        <is>
          <t>nyu</t>
        </is>
      </c>
      <c r="R955" t="inlineStr">
        <is>
          <t xml:space="preserve">LB </t>
        </is>
      </c>
      <c r="S955" t="n">
        <v>1</v>
      </c>
      <c r="T955" t="n">
        <v>1</v>
      </c>
      <c r="U955" t="inlineStr">
        <is>
          <t>2009-03-15</t>
        </is>
      </c>
      <c r="V955" t="inlineStr">
        <is>
          <t>2009-03-15</t>
        </is>
      </c>
      <c r="W955" t="inlineStr">
        <is>
          <t>1990-06-12</t>
        </is>
      </c>
      <c r="X955" t="inlineStr">
        <is>
          <t>1990-06-12</t>
        </is>
      </c>
      <c r="Y955" t="n">
        <v>321</v>
      </c>
      <c r="Z955" t="n">
        <v>185</v>
      </c>
      <c r="AA955" t="n">
        <v>197</v>
      </c>
      <c r="AB955" t="n">
        <v>4</v>
      </c>
      <c r="AC955" t="n">
        <v>4</v>
      </c>
      <c r="AD955" t="n">
        <v>10</v>
      </c>
      <c r="AE955" t="n">
        <v>10</v>
      </c>
      <c r="AF955" t="n">
        <v>3</v>
      </c>
      <c r="AG955" t="n">
        <v>3</v>
      </c>
      <c r="AH955" t="n">
        <v>0</v>
      </c>
      <c r="AI955" t="n">
        <v>0</v>
      </c>
      <c r="AJ955" t="n">
        <v>5</v>
      </c>
      <c r="AK955" t="n">
        <v>5</v>
      </c>
      <c r="AL955" t="n">
        <v>3</v>
      </c>
      <c r="AM955" t="n">
        <v>3</v>
      </c>
      <c r="AN955" t="n">
        <v>0</v>
      </c>
      <c r="AO955" t="n">
        <v>0</v>
      </c>
      <c r="AP955" t="inlineStr">
        <is>
          <t>No</t>
        </is>
      </c>
      <c r="AQ955" t="inlineStr">
        <is>
          <t>Yes</t>
        </is>
      </c>
      <c r="AR955">
        <f>HYPERLINK("http://catalog.hathitrust.org/Record/001304394","HathiTrust Record")</f>
        <v/>
      </c>
      <c r="AS955">
        <f>HYPERLINK("https://creighton-primo.hosted.exlibrisgroup.com/primo-explore/search?tab=default_tab&amp;search_scope=EVERYTHING&amp;vid=01CRU&amp;lang=en_US&amp;offset=0&amp;query=any,contains,991001241469702656","Catalog Record")</f>
        <v/>
      </c>
      <c r="AT955">
        <f>HYPERLINK("http://www.worldcat.org/oclc/17620035","WorldCat Record")</f>
        <v/>
      </c>
      <c r="AU955" t="inlineStr">
        <is>
          <t>365293600:eng</t>
        </is>
      </c>
      <c r="AV955" t="inlineStr">
        <is>
          <t>17620035</t>
        </is>
      </c>
      <c r="AW955" t="inlineStr">
        <is>
          <t>991001241469702656</t>
        </is>
      </c>
      <c r="AX955" t="inlineStr">
        <is>
          <t>991001241469702656</t>
        </is>
      </c>
      <c r="AY955" t="inlineStr">
        <is>
          <t>2261620320002656</t>
        </is>
      </c>
      <c r="AZ955" t="inlineStr">
        <is>
          <t>BOOK</t>
        </is>
      </c>
      <c r="BB955" t="inlineStr">
        <is>
          <t>9781850003465</t>
        </is>
      </c>
      <c r="BC955" t="inlineStr">
        <is>
          <t>32285000190818</t>
        </is>
      </c>
      <c r="BD955" t="inlineStr">
        <is>
          <t>893608692</t>
        </is>
      </c>
    </row>
    <row r="956">
      <c r="A956" t="inlineStr">
        <is>
          <t>No</t>
        </is>
      </c>
      <c r="B956" t="inlineStr">
        <is>
          <t>LB1731 .P7274 1995</t>
        </is>
      </c>
      <c r="C956" t="inlineStr">
        <is>
          <t>0                      LB 1731000P  7274        1995</t>
        </is>
      </c>
      <c r="D956" t="inlineStr">
        <is>
          <t>Professional development in education : new paradigms and practices / edited by Thomas R. Guskey and Michael Huberman ; foreword by Matthew B. Miles.</t>
        </is>
      </c>
      <c r="F956" t="inlineStr">
        <is>
          <t>No</t>
        </is>
      </c>
      <c r="G956" t="inlineStr">
        <is>
          <t>1</t>
        </is>
      </c>
      <c r="H956" t="inlineStr">
        <is>
          <t>No</t>
        </is>
      </c>
      <c r="I956" t="inlineStr">
        <is>
          <t>No</t>
        </is>
      </c>
      <c r="J956" t="inlineStr">
        <is>
          <t>0</t>
        </is>
      </c>
      <c r="L956" t="inlineStr">
        <is>
          <t>New York : Teachers College Press, c1995.</t>
        </is>
      </c>
      <c r="M956" t="inlineStr">
        <is>
          <t>1995</t>
        </is>
      </c>
      <c r="O956" t="inlineStr">
        <is>
          <t>eng</t>
        </is>
      </c>
      <c r="P956" t="inlineStr">
        <is>
          <t>nyu</t>
        </is>
      </c>
      <c r="R956" t="inlineStr">
        <is>
          <t xml:space="preserve">LB </t>
        </is>
      </c>
      <c r="S956" t="n">
        <v>3</v>
      </c>
      <c r="T956" t="n">
        <v>3</v>
      </c>
      <c r="U956" t="inlineStr">
        <is>
          <t>2009-03-15</t>
        </is>
      </c>
      <c r="V956" t="inlineStr">
        <is>
          <t>2009-03-15</t>
        </is>
      </c>
      <c r="W956" t="inlineStr">
        <is>
          <t>1996-03-15</t>
        </is>
      </c>
      <c r="X956" t="inlineStr">
        <is>
          <t>1996-03-15</t>
        </is>
      </c>
      <c r="Y956" t="n">
        <v>461</v>
      </c>
      <c r="Z956" t="n">
        <v>362</v>
      </c>
      <c r="AA956" t="n">
        <v>370</v>
      </c>
      <c r="AB956" t="n">
        <v>4</v>
      </c>
      <c r="AC956" t="n">
        <v>4</v>
      </c>
      <c r="AD956" t="n">
        <v>20</v>
      </c>
      <c r="AE956" t="n">
        <v>20</v>
      </c>
      <c r="AF956" t="n">
        <v>7</v>
      </c>
      <c r="AG956" t="n">
        <v>7</v>
      </c>
      <c r="AH956" t="n">
        <v>4</v>
      </c>
      <c r="AI956" t="n">
        <v>4</v>
      </c>
      <c r="AJ956" t="n">
        <v>9</v>
      </c>
      <c r="AK956" t="n">
        <v>9</v>
      </c>
      <c r="AL956" t="n">
        <v>3</v>
      </c>
      <c r="AM956" t="n">
        <v>3</v>
      </c>
      <c r="AN956" t="n">
        <v>0</v>
      </c>
      <c r="AO956" t="n">
        <v>0</v>
      </c>
      <c r="AP956" t="inlineStr">
        <is>
          <t>No</t>
        </is>
      </c>
      <c r="AQ956" t="inlineStr">
        <is>
          <t>No</t>
        </is>
      </c>
      <c r="AS956">
        <f>HYPERLINK("https://creighton-primo.hosted.exlibrisgroup.com/primo-explore/search?tab=default_tab&amp;search_scope=EVERYTHING&amp;vid=01CRU&amp;lang=en_US&amp;offset=0&amp;query=any,contains,991002433979702656","Catalog Record")</f>
        <v/>
      </c>
      <c r="AT956">
        <f>HYPERLINK("http://www.worldcat.org/oclc/31738468","WorldCat Record")</f>
        <v/>
      </c>
      <c r="AU956" t="inlineStr">
        <is>
          <t>837003119:eng</t>
        </is>
      </c>
      <c r="AV956" t="inlineStr">
        <is>
          <t>31738468</t>
        </is>
      </c>
      <c r="AW956" t="inlineStr">
        <is>
          <t>991002433979702656</t>
        </is>
      </c>
      <c r="AX956" t="inlineStr">
        <is>
          <t>991002433979702656</t>
        </is>
      </c>
      <c r="AY956" t="inlineStr">
        <is>
          <t>2260870040002656</t>
        </is>
      </c>
      <c r="AZ956" t="inlineStr">
        <is>
          <t>BOOK</t>
        </is>
      </c>
      <c r="BB956" t="inlineStr">
        <is>
          <t>9780807734254</t>
        </is>
      </c>
      <c r="BC956" t="inlineStr">
        <is>
          <t>32285002143138</t>
        </is>
      </c>
      <c r="BD956" t="inlineStr">
        <is>
          <t>893879926</t>
        </is>
      </c>
    </row>
    <row r="957">
      <c r="A957" t="inlineStr">
        <is>
          <t>No</t>
        </is>
      </c>
      <c r="B957" t="inlineStr">
        <is>
          <t>LB1731 .S64 1997</t>
        </is>
      </c>
      <c r="C957" t="inlineStr">
        <is>
          <t>0                      LB 1731000S  64          1997</t>
        </is>
      </c>
      <c r="D957" t="inlineStr">
        <is>
          <t>A new vision for staff development / Dennis Sparks, Stephanie Hirsh.</t>
        </is>
      </c>
      <c r="F957" t="inlineStr">
        <is>
          <t>No</t>
        </is>
      </c>
      <c r="G957" t="inlineStr">
        <is>
          <t>1</t>
        </is>
      </c>
      <c r="H957" t="inlineStr">
        <is>
          <t>No</t>
        </is>
      </c>
      <c r="I957" t="inlineStr">
        <is>
          <t>No</t>
        </is>
      </c>
      <c r="J957" t="inlineStr">
        <is>
          <t>0</t>
        </is>
      </c>
      <c r="K957" t="inlineStr">
        <is>
          <t>Sparks, Dennis.</t>
        </is>
      </c>
      <c r="L957" t="inlineStr">
        <is>
          <t>Alexandria, Va. : Association for Supervision and Curriculum Development ; Oxford, Ohio : National Staff Development Council, 1997.</t>
        </is>
      </c>
      <c r="M957" t="inlineStr">
        <is>
          <t>1997</t>
        </is>
      </c>
      <c r="O957" t="inlineStr">
        <is>
          <t>eng</t>
        </is>
      </c>
      <c r="P957" t="inlineStr">
        <is>
          <t>vau</t>
        </is>
      </c>
      <c r="R957" t="inlineStr">
        <is>
          <t xml:space="preserve">LB </t>
        </is>
      </c>
      <c r="S957" t="n">
        <v>2</v>
      </c>
      <c r="T957" t="n">
        <v>2</v>
      </c>
      <c r="U957" t="inlineStr">
        <is>
          <t>2002-09-18</t>
        </is>
      </c>
      <c r="V957" t="inlineStr">
        <is>
          <t>2002-09-18</t>
        </is>
      </c>
      <c r="W957" t="inlineStr">
        <is>
          <t>1997-07-01</t>
        </is>
      </c>
      <c r="X957" t="inlineStr">
        <is>
          <t>1997-07-01</t>
        </is>
      </c>
      <c r="Y957" t="n">
        <v>635</v>
      </c>
      <c r="Z957" t="n">
        <v>554</v>
      </c>
      <c r="AA957" t="n">
        <v>561</v>
      </c>
      <c r="AB957" t="n">
        <v>6</v>
      </c>
      <c r="AC957" t="n">
        <v>6</v>
      </c>
      <c r="AD957" t="n">
        <v>20</v>
      </c>
      <c r="AE957" t="n">
        <v>20</v>
      </c>
      <c r="AF957" t="n">
        <v>10</v>
      </c>
      <c r="AG957" t="n">
        <v>10</v>
      </c>
      <c r="AH957" t="n">
        <v>1</v>
      </c>
      <c r="AI957" t="n">
        <v>1</v>
      </c>
      <c r="AJ957" t="n">
        <v>9</v>
      </c>
      <c r="AK957" t="n">
        <v>9</v>
      </c>
      <c r="AL957" t="n">
        <v>4</v>
      </c>
      <c r="AM957" t="n">
        <v>4</v>
      </c>
      <c r="AN957" t="n">
        <v>0</v>
      </c>
      <c r="AO957" t="n">
        <v>0</v>
      </c>
      <c r="AP957" t="inlineStr">
        <is>
          <t>No</t>
        </is>
      </c>
      <c r="AQ957" t="inlineStr">
        <is>
          <t>Yes</t>
        </is>
      </c>
      <c r="AR957">
        <f>HYPERLINK("http://catalog.hathitrust.org/Record/004967780","HathiTrust Record")</f>
        <v/>
      </c>
      <c r="AS957">
        <f>HYPERLINK("https://creighton-primo.hosted.exlibrisgroup.com/primo-explore/search?tab=default_tab&amp;search_scope=EVERYTHING&amp;vid=01CRU&amp;lang=en_US&amp;offset=0&amp;query=any,contains,991002808389702656","Catalog Record")</f>
        <v/>
      </c>
      <c r="AT957">
        <f>HYPERLINK("http://www.worldcat.org/oclc/36892899","WorldCat Record")</f>
        <v/>
      </c>
      <c r="AU957" t="inlineStr">
        <is>
          <t>639963:eng</t>
        </is>
      </c>
      <c r="AV957" t="inlineStr">
        <is>
          <t>36892899</t>
        </is>
      </c>
      <c r="AW957" t="inlineStr">
        <is>
          <t>991002808389702656</t>
        </is>
      </c>
      <c r="AX957" t="inlineStr">
        <is>
          <t>991002808389702656</t>
        </is>
      </c>
      <c r="AY957" t="inlineStr">
        <is>
          <t>2264981650002656</t>
        </is>
      </c>
      <c r="AZ957" t="inlineStr">
        <is>
          <t>BOOK</t>
        </is>
      </c>
      <c r="BB957" t="inlineStr">
        <is>
          <t>9780871202833</t>
        </is>
      </c>
      <c r="BC957" t="inlineStr">
        <is>
          <t>32285002754876</t>
        </is>
      </c>
      <c r="BD957" t="inlineStr">
        <is>
          <t>893809681</t>
        </is>
      </c>
    </row>
    <row r="958">
      <c r="A958" t="inlineStr">
        <is>
          <t>No</t>
        </is>
      </c>
      <c r="B958" t="inlineStr">
        <is>
          <t>LB1737.A3 C63 1990</t>
        </is>
      </c>
      <c r="C958" t="inlineStr">
        <is>
          <t>0                      LB 1737000A  3                  C  63          1990</t>
        </is>
      </c>
      <c r="D958" t="inlineStr">
        <is>
          <t>The Contexts of teaching in secondary schools : teachers' realities / edited by Milbrey W. McLaughlin, Joan E. Talbert, and Nina Bascia.</t>
        </is>
      </c>
      <c r="F958" t="inlineStr">
        <is>
          <t>No</t>
        </is>
      </c>
      <c r="G958" t="inlineStr">
        <is>
          <t>1</t>
        </is>
      </c>
      <c r="H958" t="inlineStr">
        <is>
          <t>No</t>
        </is>
      </c>
      <c r="I958" t="inlineStr">
        <is>
          <t>No</t>
        </is>
      </c>
      <c r="J958" t="inlineStr">
        <is>
          <t>0</t>
        </is>
      </c>
      <c r="L958" t="inlineStr">
        <is>
          <t>New York : Teachers College, Columbia University, c1990.</t>
        </is>
      </c>
      <c r="M958" t="inlineStr">
        <is>
          <t>1990</t>
        </is>
      </c>
      <c r="O958" t="inlineStr">
        <is>
          <t>eng</t>
        </is>
      </c>
      <c r="P958" t="inlineStr">
        <is>
          <t>nyu</t>
        </is>
      </c>
      <c r="Q958" t="inlineStr">
        <is>
          <t>Professional development and practice series</t>
        </is>
      </c>
      <c r="R958" t="inlineStr">
        <is>
          <t xml:space="preserve">LB </t>
        </is>
      </c>
      <c r="S958" t="n">
        <v>4</v>
      </c>
      <c r="T958" t="n">
        <v>4</v>
      </c>
      <c r="U958" t="inlineStr">
        <is>
          <t>2003-02-11</t>
        </is>
      </c>
      <c r="V958" t="inlineStr">
        <is>
          <t>2003-02-11</t>
        </is>
      </c>
      <c r="W958" t="inlineStr">
        <is>
          <t>1991-01-24</t>
        </is>
      </c>
      <c r="X958" t="inlineStr">
        <is>
          <t>1991-01-24</t>
        </is>
      </c>
      <c r="Y958" t="n">
        <v>592</v>
      </c>
      <c r="Z958" t="n">
        <v>520</v>
      </c>
      <c r="AA958" t="n">
        <v>522</v>
      </c>
      <c r="AB958" t="n">
        <v>5</v>
      </c>
      <c r="AC958" t="n">
        <v>5</v>
      </c>
      <c r="AD958" t="n">
        <v>30</v>
      </c>
      <c r="AE958" t="n">
        <v>30</v>
      </c>
      <c r="AF958" t="n">
        <v>12</v>
      </c>
      <c r="AG958" t="n">
        <v>12</v>
      </c>
      <c r="AH958" t="n">
        <v>6</v>
      </c>
      <c r="AI958" t="n">
        <v>6</v>
      </c>
      <c r="AJ958" t="n">
        <v>15</v>
      </c>
      <c r="AK958" t="n">
        <v>15</v>
      </c>
      <c r="AL958" t="n">
        <v>4</v>
      </c>
      <c r="AM958" t="n">
        <v>4</v>
      </c>
      <c r="AN958" t="n">
        <v>0</v>
      </c>
      <c r="AO958" t="n">
        <v>0</v>
      </c>
      <c r="AP958" t="inlineStr">
        <is>
          <t>No</t>
        </is>
      </c>
      <c r="AQ958" t="inlineStr">
        <is>
          <t>No</t>
        </is>
      </c>
      <c r="AS958">
        <f>HYPERLINK("https://creighton-primo.hosted.exlibrisgroup.com/primo-explore/search?tab=default_tab&amp;search_scope=EVERYTHING&amp;vid=01CRU&amp;lang=en_US&amp;offset=0&amp;query=any,contains,991001639399702656","Catalog Record")</f>
        <v/>
      </c>
      <c r="AT958">
        <f>HYPERLINK("http://www.worldcat.org/oclc/20996479","WorldCat Record")</f>
        <v/>
      </c>
      <c r="AU958" t="inlineStr">
        <is>
          <t>889645784:eng</t>
        </is>
      </c>
      <c r="AV958" t="inlineStr">
        <is>
          <t>20996479</t>
        </is>
      </c>
      <c r="AW958" t="inlineStr">
        <is>
          <t>991001639399702656</t>
        </is>
      </c>
      <c r="AX958" t="inlineStr">
        <is>
          <t>991001639399702656</t>
        </is>
      </c>
      <c r="AY958" t="inlineStr">
        <is>
          <t>2271209860002656</t>
        </is>
      </c>
      <c r="AZ958" t="inlineStr">
        <is>
          <t>BOOK</t>
        </is>
      </c>
      <c r="BB958" t="inlineStr">
        <is>
          <t>9780807730263</t>
        </is>
      </c>
      <c r="BC958" t="inlineStr">
        <is>
          <t>32285000460187</t>
        </is>
      </c>
      <c r="BD958" t="inlineStr">
        <is>
          <t>893621516</t>
        </is>
      </c>
    </row>
    <row r="959">
      <c r="A959" t="inlineStr">
        <is>
          <t>No</t>
        </is>
      </c>
      <c r="B959" t="inlineStr">
        <is>
          <t>LB1737.U6 T43 1988</t>
        </is>
      </c>
      <c r="C959" t="inlineStr">
        <is>
          <t>0                      LB 1737000U  6                  T  43          1988</t>
        </is>
      </c>
      <c r="D959" t="inlineStr">
        <is>
          <t>Teaching in the middle and secondary schools : planning for competence / [edited by] Joseph F. Callahan, Leonard H. Clark.</t>
        </is>
      </c>
      <c r="F959" t="inlineStr">
        <is>
          <t>No</t>
        </is>
      </c>
      <c r="G959" t="inlineStr">
        <is>
          <t>1</t>
        </is>
      </c>
      <c r="H959" t="inlineStr">
        <is>
          <t>No</t>
        </is>
      </c>
      <c r="I959" t="inlineStr">
        <is>
          <t>No</t>
        </is>
      </c>
      <c r="J959" t="inlineStr">
        <is>
          <t>0</t>
        </is>
      </c>
      <c r="L959" t="inlineStr">
        <is>
          <t>New York : Macmillan ; London : Collier Macmillan, c1988.</t>
        </is>
      </c>
      <c r="M959" t="inlineStr">
        <is>
          <t>1988</t>
        </is>
      </c>
      <c r="N959" t="inlineStr">
        <is>
          <t>3rd ed.</t>
        </is>
      </c>
      <c r="O959" t="inlineStr">
        <is>
          <t>eng</t>
        </is>
      </c>
      <c r="P959" t="inlineStr">
        <is>
          <t>nyu</t>
        </is>
      </c>
      <c r="R959" t="inlineStr">
        <is>
          <t xml:space="preserve">LB </t>
        </is>
      </c>
      <c r="S959" t="n">
        <v>11</v>
      </c>
      <c r="T959" t="n">
        <v>11</v>
      </c>
      <c r="U959" t="inlineStr">
        <is>
          <t>2009-02-24</t>
        </is>
      </c>
      <c r="V959" t="inlineStr">
        <is>
          <t>2009-02-24</t>
        </is>
      </c>
      <c r="W959" t="inlineStr">
        <is>
          <t>1990-05-07</t>
        </is>
      </c>
      <c r="X959" t="inlineStr">
        <is>
          <t>1990-05-07</t>
        </is>
      </c>
      <c r="Y959" t="n">
        <v>203</v>
      </c>
      <c r="Z959" t="n">
        <v>164</v>
      </c>
      <c r="AA959" t="n">
        <v>511</v>
      </c>
      <c r="AB959" t="n">
        <v>3</v>
      </c>
      <c r="AC959" t="n">
        <v>6</v>
      </c>
      <c r="AD959" t="n">
        <v>5</v>
      </c>
      <c r="AE959" t="n">
        <v>25</v>
      </c>
      <c r="AF959" t="n">
        <v>2</v>
      </c>
      <c r="AG959" t="n">
        <v>11</v>
      </c>
      <c r="AH959" t="n">
        <v>1</v>
      </c>
      <c r="AI959" t="n">
        <v>4</v>
      </c>
      <c r="AJ959" t="n">
        <v>2</v>
      </c>
      <c r="AK959" t="n">
        <v>11</v>
      </c>
      <c r="AL959" t="n">
        <v>2</v>
      </c>
      <c r="AM959" t="n">
        <v>5</v>
      </c>
      <c r="AN959" t="n">
        <v>0</v>
      </c>
      <c r="AO959" t="n">
        <v>0</v>
      </c>
      <c r="AP959" t="inlineStr">
        <is>
          <t>No</t>
        </is>
      </c>
      <c r="AQ959" t="inlineStr">
        <is>
          <t>No</t>
        </is>
      </c>
      <c r="AS959">
        <f>HYPERLINK("https://creighton-primo.hosted.exlibrisgroup.com/primo-explore/search?tab=default_tab&amp;search_scope=EVERYTHING&amp;vid=01CRU&amp;lang=en_US&amp;offset=0&amp;query=any,contains,991001087509702656","Catalog Record")</f>
        <v/>
      </c>
      <c r="AT959">
        <f>HYPERLINK("http://www.worldcat.org/oclc/16131186","WorldCat Record")</f>
        <v/>
      </c>
      <c r="AU959" t="inlineStr">
        <is>
          <t>902842433:eng</t>
        </is>
      </c>
      <c r="AV959" t="inlineStr">
        <is>
          <t>16131186</t>
        </is>
      </c>
      <c r="AW959" t="inlineStr">
        <is>
          <t>991001087509702656</t>
        </is>
      </c>
      <c r="AX959" t="inlineStr">
        <is>
          <t>991001087509702656</t>
        </is>
      </c>
      <c r="AY959" t="inlineStr">
        <is>
          <t>2268742860002656</t>
        </is>
      </c>
      <c r="AZ959" t="inlineStr">
        <is>
          <t>BOOK</t>
        </is>
      </c>
      <c r="BB959" t="inlineStr">
        <is>
          <t>9780023182105</t>
        </is>
      </c>
      <c r="BC959" t="inlineStr">
        <is>
          <t>32285000149939</t>
        </is>
      </c>
      <c r="BD959" t="inlineStr">
        <is>
          <t>893702717</t>
        </is>
      </c>
    </row>
    <row r="960">
      <c r="A960" t="inlineStr">
        <is>
          <t>No</t>
        </is>
      </c>
      <c r="B960" t="inlineStr">
        <is>
          <t>LB1738 .L85 1995</t>
        </is>
      </c>
      <c r="C960" t="inlineStr">
        <is>
          <t>0                      LB 1738000L  85          1995</t>
        </is>
      </c>
      <c r="D960" t="inlineStr">
        <is>
          <t>Empowering the faculty : mentoring redirected and renewed / by Gaye Luna and Deborah L. Cullen ; prepared by ERIC Clearinghouse on Higher Education, The George Washington University, in cooperation with ASHE, Association for the Study of Higher Education.</t>
        </is>
      </c>
      <c r="F960" t="inlineStr">
        <is>
          <t>No</t>
        </is>
      </c>
      <c r="G960" t="inlineStr">
        <is>
          <t>1</t>
        </is>
      </c>
      <c r="H960" t="inlineStr">
        <is>
          <t>No</t>
        </is>
      </c>
      <c r="I960" t="inlineStr">
        <is>
          <t>No</t>
        </is>
      </c>
      <c r="J960" t="inlineStr">
        <is>
          <t>0</t>
        </is>
      </c>
      <c r="K960" t="inlineStr">
        <is>
          <t>Luna, Gaye.</t>
        </is>
      </c>
      <c r="L960" t="inlineStr">
        <is>
          <t>Washington, D.C. : Graduate School of Education and Human Development, The George Washington University, 1995.</t>
        </is>
      </c>
      <c r="M960" t="inlineStr">
        <is>
          <t>1995</t>
        </is>
      </c>
      <c r="O960" t="inlineStr">
        <is>
          <t>eng</t>
        </is>
      </c>
      <c r="P960" t="inlineStr">
        <is>
          <t>dcu</t>
        </is>
      </c>
      <c r="Q960" t="inlineStr">
        <is>
          <t>ASHE-ERIC higher education report, 0884-0040 ; 3, 1995</t>
        </is>
      </c>
      <c r="R960" t="inlineStr">
        <is>
          <t xml:space="preserve">LB </t>
        </is>
      </c>
      <c r="S960" t="n">
        <v>1</v>
      </c>
      <c r="T960" t="n">
        <v>1</v>
      </c>
      <c r="U960" t="inlineStr">
        <is>
          <t>2003-11-25</t>
        </is>
      </c>
      <c r="V960" t="inlineStr">
        <is>
          <t>2003-11-25</t>
        </is>
      </c>
      <c r="W960" t="inlineStr">
        <is>
          <t>2003-11-25</t>
        </is>
      </c>
      <c r="X960" t="inlineStr">
        <is>
          <t>2003-11-25</t>
        </is>
      </c>
      <c r="Y960" t="n">
        <v>208</v>
      </c>
      <c r="Z960" t="n">
        <v>193</v>
      </c>
      <c r="AA960" t="n">
        <v>399</v>
      </c>
      <c r="AB960" t="n">
        <v>2</v>
      </c>
      <c r="AC960" t="n">
        <v>5</v>
      </c>
      <c r="AD960" t="n">
        <v>9</v>
      </c>
      <c r="AE960" t="n">
        <v>23</v>
      </c>
      <c r="AF960" t="n">
        <v>2</v>
      </c>
      <c r="AG960" t="n">
        <v>9</v>
      </c>
      <c r="AH960" t="n">
        <v>2</v>
      </c>
      <c r="AI960" t="n">
        <v>4</v>
      </c>
      <c r="AJ960" t="n">
        <v>5</v>
      </c>
      <c r="AK960" t="n">
        <v>10</v>
      </c>
      <c r="AL960" t="n">
        <v>1</v>
      </c>
      <c r="AM960" t="n">
        <v>4</v>
      </c>
      <c r="AN960" t="n">
        <v>0</v>
      </c>
      <c r="AO960" t="n">
        <v>1</v>
      </c>
      <c r="AP960" t="inlineStr">
        <is>
          <t>No</t>
        </is>
      </c>
      <c r="AQ960" t="inlineStr">
        <is>
          <t>No</t>
        </is>
      </c>
      <c r="AS960">
        <f>HYPERLINK("https://creighton-primo.hosted.exlibrisgroup.com/primo-explore/search?tab=default_tab&amp;search_scope=EVERYTHING&amp;vid=01CRU&amp;lang=en_US&amp;offset=0&amp;query=any,contains,991004192549702656","Catalog Record")</f>
        <v/>
      </c>
      <c r="AT960">
        <f>HYPERLINK("http://www.worldcat.org/oclc/35921146","WorldCat Record")</f>
        <v/>
      </c>
      <c r="AU960" t="inlineStr">
        <is>
          <t>907950059:eng</t>
        </is>
      </c>
      <c r="AV960" t="inlineStr">
        <is>
          <t>35921146</t>
        </is>
      </c>
      <c r="AW960" t="inlineStr">
        <is>
          <t>991004192549702656</t>
        </is>
      </c>
      <c r="AX960" t="inlineStr">
        <is>
          <t>991004192549702656</t>
        </is>
      </c>
      <c r="AY960" t="inlineStr">
        <is>
          <t>2266423130002656</t>
        </is>
      </c>
      <c r="AZ960" t="inlineStr">
        <is>
          <t>BOOK</t>
        </is>
      </c>
      <c r="BB960" t="inlineStr">
        <is>
          <t>9781878380678</t>
        </is>
      </c>
      <c r="BC960" t="inlineStr">
        <is>
          <t>32285004842604</t>
        </is>
      </c>
      <c r="BD960" t="inlineStr">
        <is>
          <t>893718603</t>
        </is>
      </c>
    </row>
    <row r="961">
      <c r="A961" t="inlineStr">
        <is>
          <t>No</t>
        </is>
      </c>
      <c r="B961" t="inlineStr">
        <is>
          <t>LB1738.5 .B65 1993</t>
        </is>
      </c>
      <c r="C961" t="inlineStr">
        <is>
          <t>0                      LB 1738500B  65          1993</t>
        </is>
      </c>
      <c r="D961" t="inlineStr">
        <is>
          <t>The path to school leadership : a portable mentor / Lee G. Bolman, Terrence E. Deal.</t>
        </is>
      </c>
      <c r="F961" t="inlineStr">
        <is>
          <t>No</t>
        </is>
      </c>
      <c r="G961" t="inlineStr">
        <is>
          <t>1</t>
        </is>
      </c>
      <c r="H961" t="inlineStr">
        <is>
          <t>No</t>
        </is>
      </c>
      <c r="I961" t="inlineStr">
        <is>
          <t>No</t>
        </is>
      </c>
      <c r="J961" t="inlineStr">
        <is>
          <t>0</t>
        </is>
      </c>
      <c r="K961" t="inlineStr">
        <is>
          <t>Bolman, Lee G.</t>
        </is>
      </c>
      <c r="L961" t="inlineStr">
        <is>
          <t>Newbury Park, Calif. : Corwin Press, c1993.</t>
        </is>
      </c>
      <c r="M961" t="inlineStr">
        <is>
          <t>1993</t>
        </is>
      </c>
      <c r="O961" t="inlineStr">
        <is>
          <t>eng</t>
        </is>
      </c>
      <c r="P961" t="inlineStr">
        <is>
          <t>cau</t>
        </is>
      </c>
      <c r="Q961" t="inlineStr">
        <is>
          <t>Roadmaps to success</t>
        </is>
      </c>
      <c r="R961" t="inlineStr">
        <is>
          <t xml:space="preserve">LB </t>
        </is>
      </c>
      <c r="S961" t="n">
        <v>1</v>
      </c>
      <c r="T961" t="n">
        <v>1</v>
      </c>
      <c r="U961" t="inlineStr">
        <is>
          <t>2000-06-24</t>
        </is>
      </c>
      <c r="V961" t="inlineStr">
        <is>
          <t>2000-06-24</t>
        </is>
      </c>
      <c r="W961" t="inlineStr">
        <is>
          <t>1995-11-02</t>
        </is>
      </c>
      <c r="X961" t="inlineStr">
        <is>
          <t>1995-11-02</t>
        </is>
      </c>
      <c r="Y961" t="n">
        <v>330</v>
      </c>
      <c r="Z961" t="n">
        <v>277</v>
      </c>
      <c r="AA961" t="n">
        <v>279</v>
      </c>
      <c r="AB961" t="n">
        <v>5</v>
      </c>
      <c r="AC961" t="n">
        <v>5</v>
      </c>
      <c r="AD961" t="n">
        <v>15</v>
      </c>
      <c r="AE961" t="n">
        <v>15</v>
      </c>
      <c r="AF961" t="n">
        <v>4</v>
      </c>
      <c r="AG961" t="n">
        <v>4</v>
      </c>
      <c r="AH961" t="n">
        <v>3</v>
      </c>
      <c r="AI961" t="n">
        <v>3</v>
      </c>
      <c r="AJ961" t="n">
        <v>8</v>
      </c>
      <c r="AK961" t="n">
        <v>8</v>
      </c>
      <c r="AL961" t="n">
        <v>4</v>
      </c>
      <c r="AM961" t="n">
        <v>4</v>
      </c>
      <c r="AN961" t="n">
        <v>0</v>
      </c>
      <c r="AO961" t="n">
        <v>0</v>
      </c>
      <c r="AP961" t="inlineStr">
        <is>
          <t>No</t>
        </is>
      </c>
      <c r="AQ961" t="inlineStr">
        <is>
          <t>Yes</t>
        </is>
      </c>
      <c r="AR961">
        <f>HYPERLINK("http://catalog.hathitrust.org/Record/002736533","HathiTrust Record")</f>
        <v/>
      </c>
      <c r="AS961">
        <f>HYPERLINK("https://creighton-primo.hosted.exlibrisgroup.com/primo-explore/search?tab=default_tab&amp;search_scope=EVERYTHING&amp;vid=01CRU&amp;lang=en_US&amp;offset=0&amp;query=any,contains,991002098939702656","Catalog Record")</f>
        <v/>
      </c>
      <c r="AT961">
        <f>HYPERLINK("http://www.worldcat.org/oclc/26932040","WorldCat Record")</f>
        <v/>
      </c>
      <c r="AU961" t="inlineStr">
        <is>
          <t>836866314:eng</t>
        </is>
      </c>
      <c r="AV961" t="inlineStr">
        <is>
          <t>26932040</t>
        </is>
      </c>
      <c r="AW961" t="inlineStr">
        <is>
          <t>991002098939702656</t>
        </is>
      </c>
      <c r="AX961" t="inlineStr">
        <is>
          <t>991002098939702656</t>
        </is>
      </c>
      <c r="AY961" t="inlineStr">
        <is>
          <t>2259843090002656</t>
        </is>
      </c>
      <c r="AZ961" t="inlineStr">
        <is>
          <t>BOOK</t>
        </is>
      </c>
      <c r="BB961" t="inlineStr">
        <is>
          <t>9780803960527</t>
        </is>
      </c>
      <c r="BC961" t="inlineStr">
        <is>
          <t>32285002099686</t>
        </is>
      </c>
      <c r="BD961" t="inlineStr">
        <is>
          <t>893232580</t>
        </is>
      </c>
    </row>
    <row r="962">
      <c r="A962" t="inlineStr">
        <is>
          <t>No</t>
        </is>
      </c>
      <c r="B962" t="inlineStr">
        <is>
          <t>LB1738.5 .D37 1992</t>
        </is>
      </c>
      <c r="C962" t="inlineStr">
        <is>
          <t>0                      LB 1738500D  37          1992</t>
        </is>
      </c>
      <c r="D962" t="inlineStr">
        <is>
          <t>The professional development of school administrators : preservice, induction, and inservice applications / John C. Daresh, Marsha A. Playko.</t>
        </is>
      </c>
      <c r="F962" t="inlineStr">
        <is>
          <t>No</t>
        </is>
      </c>
      <c r="G962" t="inlineStr">
        <is>
          <t>1</t>
        </is>
      </c>
      <c r="H962" t="inlineStr">
        <is>
          <t>No</t>
        </is>
      </c>
      <c r="I962" t="inlineStr">
        <is>
          <t>No</t>
        </is>
      </c>
      <c r="J962" t="inlineStr">
        <is>
          <t>0</t>
        </is>
      </c>
      <c r="K962" t="inlineStr">
        <is>
          <t>Daresh, John C.</t>
        </is>
      </c>
      <c r="L962" t="inlineStr">
        <is>
          <t>Boston : Allyn and Bacon, c1992.</t>
        </is>
      </c>
      <c r="M962" t="inlineStr">
        <is>
          <t>1992</t>
        </is>
      </c>
      <c r="O962" t="inlineStr">
        <is>
          <t>eng</t>
        </is>
      </c>
      <c r="P962" t="inlineStr">
        <is>
          <t>mau</t>
        </is>
      </c>
      <c r="R962" t="inlineStr">
        <is>
          <t xml:space="preserve">LB </t>
        </is>
      </c>
      <c r="S962" t="n">
        <v>1</v>
      </c>
      <c r="T962" t="n">
        <v>1</v>
      </c>
      <c r="U962" t="inlineStr">
        <is>
          <t>2003-02-09</t>
        </is>
      </c>
      <c r="V962" t="inlineStr">
        <is>
          <t>2003-02-09</t>
        </is>
      </c>
      <c r="W962" t="inlineStr">
        <is>
          <t>1992-03-31</t>
        </is>
      </c>
      <c r="X962" t="inlineStr">
        <is>
          <t>1992-03-31</t>
        </is>
      </c>
      <c r="Y962" t="n">
        <v>263</v>
      </c>
      <c r="Z962" t="n">
        <v>224</v>
      </c>
      <c r="AA962" t="n">
        <v>226</v>
      </c>
      <c r="AB962" t="n">
        <v>4</v>
      </c>
      <c r="AC962" t="n">
        <v>4</v>
      </c>
      <c r="AD962" t="n">
        <v>13</v>
      </c>
      <c r="AE962" t="n">
        <v>13</v>
      </c>
      <c r="AF962" t="n">
        <v>4</v>
      </c>
      <c r="AG962" t="n">
        <v>4</v>
      </c>
      <c r="AH962" t="n">
        <v>5</v>
      </c>
      <c r="AI962" t="n">
        <v>5</v>
      </c>
      <c r="AJ962" t="n">
        <v>6</v>
      </c>
      <c r="AK962" t="n">
        <v>6</v>
      </c>
      <c r="AL962" t="n">
        <v>3</v>
      </c>
      <c r="AM962" t="n">
        <v>3</v>
      </c>
      <c r="AN962" t="n">
        <v>0</v>
      </c>
      <c r="AO962" t="n">
        <v>0</v>
      </c>
      <c r="AP962" t="inlineStr">
        <is>
          <t>No</t>
        </is>
      </c>
      <c r="AQ962" t="inlineStr">
        <is>
          <t>Yes</t>
        </is>
      </c>
      <c r="AR962">
        <f>HYPERLINK("http://catalog.hathitrust.org/Record/002503606","HathiTrust Record")</f>
        <v/>
      </c>
      <c r="AS962">
        <f>HYPERLINK("https://creighton-primo.hosted.exlibrisgroup.com/primo-explore/search?tab=default_tab&amp;search_scope=EVERYTHING&amp;vid=01CRU&amp;lang=en_US&amp;offset=0&amp;query=any,contains,991001904819702656","Catalog Record")</f>
        <v/>
      </c>
      <c r="AT962">
        <f>HYPERLINK("http://www.worldcat.org/oclc/24066791","WorldCat Record")</f>
        <v/>
      </c>
      <c r="AU962" t="inlineStr">
        <is>
          <t>311813094:eng</t>
        </is>
      </c>
      <c r="AV962" t="inlineStr">
        <is>
          <t>24066791</t>
        </is>
      </c>
      <c r="AW962" t="inlineStr">
        <is>
          <t>991001904819702656</t>
        </is>
      </c>
      <c r="AX962" t="inlineStr">
        <is>
          <t>991001904819702656</t>
        </is>
      </c>
      <c r="AY962" t="inlineStr">
        <is>
          <t>2262246150002656</t>
        </is>
      </c>
      <c r="AZ962" t="inlineStr">
        <is>
          <t>BOOK</t>
        </is>
      </c>
      <c r="BB962" t="inlineStr">
        <is>
          <t>9780205132010</t>
        </is>
      </c>
      <c r="BC962" t="inlineStr">
        <is>
          <t>32285001007532</t>
        </is>
      </c>
      <c r="BD962" t="inlineStr">
        <is>
          <t>893340806</t>
        </is>
      </c>
    </row>
    <row r="963">
      <c r="A963" t="inlineStr">
        <is>
          <t>No</t>
        </is>
      </c>
      <c r="B963" t="inlineStr">
        <is>
          <t>LB1738.5 .D43 2009</t>
        </is>
      </c>
      <c r="C963" t="inlineStr">
        <is>
          <t>0                      LB 1738500D  43          2009</t>
        </is>
      </c>
      <c r="D963" t="inlineStr">
        <is>
          <t>Making sense of social networks in schools / Terrence E. Deal, Ted Purinton, Daria Cook Waetjen ; foreword by Guilbert C. Hentschke.</t>
        </is>
      </c>
      <c r="F963" t="inlineStr">
        <is>
          <t>No</t>
        </is>
      </c>
      <c r="G963" t="inlineStr">
        <is>
          <t>1</t>
        </is>
      </c>
      <c r="H963" t="inlineStr">
        <is>
          <t>No</t>
        </is>
      </c>
      <c r="I963" t="inlineStr">
        <is>
          <t>No</t>
        </is>
      </c>
      <c r="J963" t="inlineStr">
        <is>
          <t>0</t>
        </is>
      </c>
      <c r="K963" t="inlineStr">
        <is>
          <t>Deal, Terrence E.</t>
        </is>
      </c>
      <c r="L963" t="inlineStr">
        <is>
          <t>Thousand Oaks, CA : Corwin Press, c2009.</t>
        </is>
      </c>
      <c r="M963" t="inlineStr">
        <is>
          <t>2009</t>
        </is>
      </c>
      <c r="O963" t="inlineStr">
        <is>
          <t>eng</t>
        </is>
      </c>
      <c r="P963" t="inlineStr">
        <is>
          <t>cau</t>
        </is>
      </c>
      <c r="R963" t="inlineStr">
        <is>
          <t xml:space="preserve">LB </t>
        </is>
      </c>
      <c r="S963" t="n">
        <v>1</v>
      </c>
      <c r="T963" t="n">
        <v>1</v>
      </c>
      <c r="U963" t="inlineStr">
        <is>
          <t>2009-03-16</t>
        </is>
      </c>
      <c r="V963" t="inlineStr">
        <is>
          <t>2009-03-16</t>
        </is>
      </c>
      <c r="W963" t="inlineStr">
        <is>
          <t>2009-03-16</t>
        </is>
      </c>
      <c r="X963" t="inlineStr">
        <is>
          <t>2009-03-16</t>
        </is>
      </c>
      <c r="Y963" t="n">
        <v>210</v>
      </c>
      <c r="Z963" t="n">
        <v>171</v>
      </c>
      <c r="AA963" t="n">
        <v>193</v>
      </c>
      <c r="AB963" t="n">
        <v>1</v>
      </c>
      <c r="AC963" t="n">
        <v>2</v>
      </c>
      <c r="AD963" t="n">
        <v>8</v>
      </c>
      <c r="AE963" t="n">
        <v>10</v>
      </c>
      <c r="AF963" t="n">
        <v>4</v>
      </c>
      <c r="AG963" t="n">
        <v>5</v>
      </c>
      <c r="AH963" t="n">
        <v>1</v>
      </c>
      <c r="AI963" t="n">
        <v>2</v>
      </c>
      <c r="AJ963" t="n">
        <v>4</v>
      </c>
      <c r="AK963" t="n">
        <v>4</v>
      </c>
      <c r="AL963" t="n">
        <v>0</v>
      </c>
      <c r="AM963" t="n">
        <v>1</v>
      </c>
      <c r="AN963" t="n">
        <v>0</v>
      </c>
      <c r="AO963" t="n">
        <v>0</v>
      </c>
      <c r="AP963" t="inlineStr">
        <is>
          <t>No</t>
        </is>
      </c>
      <c r="AQ963" t="inlineStr">
        <is>
          <t>Yes</t>
        </is>
      </c>
      <c r="AR963">
        <f>HYPERLINK("http://catalog.hathitrust.org/Record/008327191","HathiTrust Record")</f>
        <v/>
      </c>
      <c r="AS963">
        <f>HYPERLINK("https://creighton-primo.hosted.exlibrisgroup.com/primo-explore/search?tab=default_tab&amp;search_scope=EVERYTHING&amp;vid=01CRU&amp;lang=en_US&amp;offset=0&amp;query=any,contains,991005299759702656","Catalog Record")</f>
        <v/>
      </c>
      <c r="AT963">
        <f>HYPERLINK("http://www.worldcat.org/oclc/233937399","WorldCat Record")</f>
        <v/>
      </c>
      <c r="AU963" t="inlineStr">
        <is>
          <t>139993867:eng</t>
        </is>
      </c>
      <c r="AV963" t="inlineStr">
        <is>
          <t>233937399</t>
        </is>
      </c>
      <c r="AW963" t="inlineStr">
        <is>
          <t>991005299759702656</t>
        </is>
      </c>
      <c r="AX963" t="inlineStr">
        <is>
          <t>991005299759702656</t>
        </is>
      </c>
      <c r="AY963" t="inlineStr">
        <is>
          <t>2264249450002656</t>
        </is>
      </c>
      <c r="AZ963" t="inlineStr">
        <is>
          <t>BOOK</t>
        </is>
      </c>
      <c r="BB963" t="inlineStr">
        <is>
          <t>9781412954433</t>
        </is>
      </c>
      <c r="BC963" t="inlineStr">
        <is>
          <t>32285005509004</t>
        </is>
      </c>
      <c r="BD963" t="inlineStr">
        <is>
          <t>893713832</t>
        </is>
      </c>
    </row>
    <row r="964">
      <c r="A964" t="inlineStr">
        <is>
          <t>No</t>
        </is>
      </c>
      <c r="B964" t="inlineStr">
        <is>
          <t>LB1738.5 .M43 2008</t>
        </is>
      </c>
      <c r="C964" t="inlineStr">
        <is>
          <t>0                      LB 1738500M  43          2008</t>
        </is>
      </c>
      <c r="D964" t="inlineStr">
        <is>
          <t>The educator's professional growth plan : a process for developing staff and improving instruction / Jodi Peine.</t>
        </is>
      </c>
      <c r="F964" t="inlineStr">
        <is>
          <t>No</t>
        </is>
      </c>
      <c r="G964" t="inlineStr">
        <is>
          <t>1</t>
        </is>
      </c>
      <c r="H964" t="inlineStr">
        <is>
          <t>No</t>
        </is>
      </c>
      <c r="I964" t="inlineStr">
        <is>
          <t>No</t>
        </is>
      </c>
      <c r="J964" t="inlineStr">
        <is>
          <t>0</t>
        </is>
      </c>
      <c r="K964" t="inlineStr">
        <is>
          <t>Peine, Jodi.</t>
        </is>
      </c>
      <c r="L964" t="inlineStr">
        <is>
          <t>Thousand Oaks, CA : Corwin Press, c2008.</t>
        </is>
      </c>
      <c r="M964" t="inlineStr">
        <is>
          <t>2008</t>
        </is>
      </c>
      <c r="N964" t="inlineStr">
        <is>
          <t>2nd ed.</t>
        </is>
      </c>
      <c r="O964" t="inlineStr">
        <is>
          <t>eng</t>
        </is>
      </c>
      <c r="P964" t="inlineStr">
        <is>
          <t>cau</t>
        </is>
      </c>
      <c r="R964" t="inlineStr">
        <is>
          <t xml:space="preserve">LB </t>
        </is>
      </c>
      <c r="S964" t="n">
        <v>1</v>
      </c>
      <c r="T964" t="n">
        <v>1</v>
      </c>
      <c r="U964" t="inlineStr">
        <is>
          <t>2007-10-24</t>
        </is>
      </c>
      <c r="V964" t="inlineStr">
        <is>
          <t>2007-10-24</t>
        </is>
      </c>
      <c r="W964" t="inlineStr">
        <is>
          <t>2007-10-24</t>
        </is>
      </c>
      <c r="X964" t="inlineStr">
        <is>
          <t>2007-10-24</t>
        </is>
      </c>
      <c r="Y964" t="n">
        <v>176</v>
      </c>
      <c r="Z964" t="n">
        <v>131</v>
      </c>
      <c r="AA964" t="n">
        <v>148</v>
      </c>
      <c r="AB964" t="n">
        <v>2</v>
      </c>
      <c r="AC964" t="n">
        <v>3</v>
      </c>
      <c r="AD964" t="n">
        <v>6</v>
      </c>
      <c r="AE964" t="n">
        <v>8</v>
      </c>
      <c r="AF964" t="n">
        <v>3</v>
      </c>
      <c r="AG964" t="n">
        <v>4</v>
      </c>
      <c r="AH964" t="n">
        <v>1</v>
      </c>
      <c r="AI964" t="n">
        <v>2</v>
      </c>
      <c r="AJ964" t="n">
        <v>5</v>
      </c>
      <c r="AK964" t="n">
        <v>5</v>
      </c>
      <c r="AL964" t="n">
        <v>1</v>
      </c>
      <c r="AM964" t="n">
        <v>2</v>
      </c>
      <c r="AN964" t="n">
        <v>0</v>
      </c>
      <c r="AO964" t="n">
        <v>0</v>
      </c>
      <c r="AP964" t="inlineStr">
        <is>
          <t>No</t>
        </is>
      </c>
      <c r="AQ964" t="inlineStr">
        <is>
          <t>No</t>
        </is>
      </c>
      <c r="AS964">
        <f>HYPERLINK("https://creighton-primo.hosted.exlibrisgroup.com/primo-explore/search?tab=default_tab&amp;search_scope=EVERYTHING&amp;vid=01CRU&amp;lang=en_US&amp;offset=0&amp;query=any,contains,991005129989702656","Catalog Record")</f>
        <v/>
      </c>
      <c r="AT964">
        <f>HYPERLINK("http://www.worldcat.org/oclc/79256816","WorldCat Record")</f>
        <v/>
      </c>
      <c r="AU964" t="inlineStr">
        <is>
          <t>64497706:eng</t>
        </is>
      </c>
      <c r="AV964" t="inlineStr">
        <is>
          <t>79256816</t>
        </is>
      </c>
      <c r="AW964" t="inlineStr">
        <is>
          <t>991005129989702656</t>
        </is>
      </c>
      <c r="AX964" t="inlineStr">
        <is>
          <t>991005129989702656</t>
        </is>
      </c>
      <c r="AY964" t="inlineStr">
        <is>
          <t>2259078990002656</t>
        </is>
      </c>
      <c r="AZ964" t="inlineStr">
        <is>
          <t>BOOK</t>
        </is>
      </c>
      <c r="BB964" t="inlineStr">
        <is>
          <t>9781412949316</t>
        </is>
      </c>
      <c r="BC964" t="inlineStr">
        <is>
          <t>32285005360895</t>
        </is>
      </c>
      <c r="BD964" t="inlineStr">
        <is>
          <t>893795655</t>
        </is>
      </c>
    </row>
    <row r="965">
      <c r="A965" t="inlineStr">
        <is>
          <t>No</t>
        </is>
      </c>
      <c r="B965" t="inlineStr">
        <is>
          <t>LB1738.5 .M545 2007</t>
        </is>
      </c>
      <c r="C965" t="inlineStr">
        <is>
          <t>0                      LB 1738500M  545         2007</t>
        </is>
      </c>
      <c r="D965" t="inlineStr">
        <is>
          <t>Closing the leadership gap : how district and university partnerships shape effective school leaders / Teresa N. Miller, Mary Devin, Robert J. Shoop.</t>
        </is>
      </c>
      <c r="F965" t="inlineStr">
        <is>
          <t>No</t>
        </is>
      </c>
      <c r="G965" t="inlineStr">
        <is>
          <t>1</t>
        </is>
      </c>
      <c r="H965" t="inlineStr">
        <is>
          <t>No</t>
        </is>
      </c>
      <c r="I965" t="inlineStr">
        <is>
          <t>No</t>
        </is>
      </c>
      <c r="J965" t="inlineStr">
        <is>
          <t>0</t>
        </is>
      </c>
      <c r="K965" t="inlineStr">
        <is>
          <t>Miller, Teresa N.</t>
        </is>
      </c>
      <c r="L965" t="inlineStr">
        <is>
          <t>Thousand Oaks, CA : Corwin Press ; [Arlington, VA] : American Association of School Administrators, c2007.</t>
        </is>
      </c>
      <c r="M965" t="inlineStr">
        <is>
          <t>2007</t>
        </is>
      </c>
      <c r="O965" t="inlineStr">
        <is>
          <t>eng</t>
        </is>
      </c>
      <c r="P965" t="inlineStr">
        <is>
          <t>cau</t>
        </is>
      </c>
      <c r="R965" t="inlineStr">
        <is>
          <t xml:space="preserve">LB </t>
        </is>
      </c>
      <c r="S965" t="n">
        <v>1</v>
      </c>
      <c r="T965" t="n">
        <v>1</v>
      </c>
      <c r="U965" t="inlineStr">
        <is>
          <t>2007-10-25</t>
        </is>
      </c>
      <c r="V965" t="inlineStr">
        <is>
          <t>2007-10-25</t>
        </is>
      </c>
      <c r="W965" t="inlineStr">
        <is>
          <t>2007-10-25</t>
        </is>
      </c>
      <c r="X965" t="inlineStr">
        <is>
          <t>2007-10-25</t>
        </is>
      </c>
      <c r="Y965" t="n">
        <v>244</v>
      </c>
      <c r="Z965" t="n">
        <v>206</v>
      </c>
      <c r="AA965" t="n">
        <v>222</v>
      </c>
      <c r="AB965" t="n">
        <v>3</v>
      </c>
      <c r="AC965" t="n">
        <v>3</v>
      </c>
      <c r="AD965" t="n">
        <v>9</v>
      </c>
      <c r="AE965" t="n">
        <v>10</v>
      </c>
      <c r="AF965" t="n">
        <v>3</v>
      </c>
      <c r="AG965" t="n">
        <v>4</v>
      </c>
      <c r="AH965" t="n">
        <v>1</v>
      </c>
      <c r="AI965" t="n">
        <v>2</v>
      </c>
      <c r="AJ965" t="n">
        <v>5</v>
      </c>
      <c r="AK965" t="n">
        <v>5</v>
      </c>
      <c r="AL965" t="n">
        <v>2</v>
      </c>
      <c r="AM965" t="n">
        <v>2</v>
      </c>
      <c r="AN965" t="n">
        <v>0</v>
      </c>
      <c r="AO965" t="n">
        <v>0</v>
      </c>
      <c r="AP965" t="inlineStr">
        <is>
          <t>No</t>
        </is>
      </c>
      <c r="AQ965" t="inlineStr">
        <is>
          <t>No</t>
        </is>
      </c>
      <c r="AS965">
        <f>HYPERLINK("https://creighton-primo.hosted.exlibrisgroup.com/primo-explore/search?tab=default_tab&amp;search_scope=EVERYTHING&amp;vid=01CRU&amp;lang=en_US&amp;offset=0&amp;query=any,contains,991005129749702656","Catalog Record")</f>
        <v/>
      </c>
      <c r="AT965">
        <f>HYPERLINK("http://www.worldcat.org/oclc/77476494","WorldCat Record")</f>
        <v/>
      </c>
      <c r="AU965" t="inlineStr">
        <is>
          <t>450408374:eng</t>
        </is>
      </c>
      <c r="AV965" t="inlineStr">
        <is>
          <t>77476494</t>
        </is>
      </c>
      <c r="AW965" t="inlineStr">
        <is>
          <t>991005129749702656</t>
        </is>
      </c>
      <c r="AX965" t="inlineStr">
        <is>
          <t>991005129749702656</t>
        </is>
      </c>
      <c r="AY965" t="inlineStr">
        <is>
          <t>2262291190002656</t>
        </is>
      </c>
      <c r="AZ965" t="inlineStr">
        <is>
          <t>BOOK</t>
        </is>
      </c>
      <c r="BB965" t="inlineStr">
        <is>
          <t>9781412936743</t>
        </is>
      </c>
      <c r="BC965" t="inlineStr">
        <is>
          <t>32285005360804</t>
        </is>
      </c>
      <c r="BD965" t="inlineStr">
        <is>
          <t>893248412</t>
        </is>
      </c>
    </row>
    <row r="966">
      <c r="A966" t="inlineStr">
        <is>
          <t>No</t>
        </is>
      </c>
      <c r="B966" t="inlineStr">
        <is>
          <t>LB1771 .W57 1987</t>
        </is>
      </c>
      <c r="C966" t="inlineStr">
        <is>
          <t>0                      LB 1771000W  57          1987</t>
        </is>
      </c>
      <c r="D966" t="inlineStr">
        <is>
          <t>Licensing teachers : design for a teaching profession / Arthur E. Wise, Linda Darling-Hammond ; with Barnett Berry, Stephen P. Klein.</t>
        </is>
      </c>
      <c r="F966" t="inlineStr">
        <is>
          <t>No</t>
        </is>
      </c>
      <c r="G966" t="inlineStr">
        <is>
          <t>1</t>
        </is>
      </c>
      <c r="H966" t="inlineStr">
        <is>
          <t>No</t>
        </is>
      </c>
      <c r="I966" t="inlineStr">
        <is>
          <t>No</t>
        </is>
      </c>
      <c r="J966" t="inlineStr">
        <is>
          <t>0</t>
        </is>
      </c>
      <c r="K966" t="inlineStr">
        <is>
          <t>Wise, Arthur E.</t>
        </is>
      </c>
      <c r="L966" t="inlineStr">
        <is>
          <t>Santa Monica, CA : Rand, Center for the Study of the Teaching Profession, [1987]</t>
        </is>
      </c>
      <c r="M966" t="inlineStr">
        <is>
          <t>1987</t>
        </is>
      </c>
      <c r="O966" t="inlineStr">
        <is>
          <t>eng</t>
        </is>
      </c>
      <c r="P966" t="inlineStr">
        <is>
          <t>cau</t>
        </is>
      </c>
      <c r="Q966" t="inlineStr">
        <is>
          <t>The Rand publication series</t>
        </is>
      </c>
      <c r="R966" t="inlineStr">
        <is>
          <t xml:space="preserve">LB </t>
        </is>
      </c>
      <c r="S966" t="n">
        <v>2</v>
      </c>
      <c r="T966" t="n">
        <v>2</v>
      </c>
      <c r="U966" t="inlineStr">
        <is>
          <t>2005-09-13</t>
        </is>
      </c>
      <c r="V966" t="inlineStr">
        <is>
          <t>2005-09-13</t>
        </is>
      </c>
      <c r="W966" t="inlineStr">
        <is>
          <t>1990-01-25</t>
        </is>
      </c>
      <c r="X966" t="inlineStr">
        <is>
          <t>1990-01-25</t>
        </is>
      </c>
      <c r="Y966" t="n">
        <v>131</v>
      </c>
      <c r="Z966" t="n">
        <v>123</v>
      </c>
      <c r="AA966" t="n">
        <v>130</v>
      </c>
      <c r="AB966" t="n">
        <v>3</v>
      </c>
      <c r="AC966" t="n">
        <v>3</v>
      </c>
      <c r="AD966" t="n">
        <v>7</v>
      </c>
      <c r="AE966" t="n">
        <v>7</v>
      </c>
      <c r="AF966" t="n">
        <v>3</v>
      </c>
      <c r="AG966" t="n">
        <v>3</v>
      </c>
      <c r="AH966" t="n">
        <v>1</v>
      </c>
      <c r="AI966" t="n">
        <v>1</v>
      </c>
      <c r="AJ966" t="n">
        <v>4</v>
      </c>
      <c r="AK966" t="n">
        <v>4</v>
      </c>
      <c r="AL966" t="n">
        <v>2</v>
      </c>
      <c r="AM966" t="n">
        <v>2</v>
      </c>
      <c r="AN966" t="n">
        <v>0</v>
      </c>
      <c r="AO966" t="n">
        <v>0</v>
      </c>
      <c r="AP966" t="inlineStr">
        <is>
          <t>No</t>
        </is>
      </c>
      <c r="AQ966" t="inlineStr">
        <is>
          <t>Yes</t>
        </is>
      </c>
      <c r="AR966">
        <f>HYPERLINK("http://catalog.hathitrust.org/Record/006680922","HathiTrust Record")</f>
        <v/>
      </c>
      <c r="AS966">
        <f>HYPERLINK("https://creighton-primo.hosted.exlibrisgroup.com/primo-explore/search?tab=default_tab&amp;search_scope=EVERYTHING&amp;vid=01CRU&amp;lang=en_US&amp;offset=0&amp;query=any,contains,991001204789702656","Catalog Record")</f>
        <v/>
      </c>
      <c r="AT966">
        <f>HYPERLINK("http://www.worldcat.org/oclc/17349013","WorldCat Record")</f>
        <v/>
      </c>
      <c r="AU966" t="inlineStr">
        <is>
          <t>931381816:eng</t>
        </is>
      </c>
      <c r="AV966" t="inlineStr">
        <is>
          <t>17349013</t>
        </is>
      </c>
      <c r="AW966" t="inlineStr">
        <is>
          <t>991001204789702656</t>
        </is>
      </c>
      <c r="AX966" t="inlineStr">
        <is>
          <t>991001204789702656</t>
        </is>
      </c>
      <c r="AY966" t="inlineStr">
        <is>
          <t>2254703150002656</t>
        </is>
      </c>
      <c r="AZ966" t="inlineStr">
        <is>
          <t>BOOK</t>
        </is>
      </c>
      <c r="BB966" t="inlineStr">
        <is>
          <t>9780833008350</t>
        </is>
      </c>
      <c r="BC966" t="inlineStr">
        <is>
          <t>32285000035401</t>
        </is>
      </c>
      <c r="BD966" t="inlineStr">
        <is>
          <t>893256102</t>
        </is>
      </c>
    </row>
    <row r="967">
      <c r="A967" t="inlineStr">
        <is>
          <t>No</t>
        </is>
      </c>
      <c r="B967" t="inlineStr">
        <is>
          <t>LB1775 .C34 1986</t>
        </is>
      </c>
      <c r="C967" t="inlineStr">
        <is>
          <t>0                      LB 1775000C  34          1986</t>
        </is>
      </c>
      <c r="D967" t="inlineStr">
        <is>
          <t>A nation prepared : teachers for the 21st century : the report of the Task Force on Teaching as a Profession.</t>
        </is>
      </c>
      <c r="F967" t="inlineStr">
        <is>
          <t>No</t>
        </is>
      </c>
      <c r="G967" t="inlineStr">
        <is>
          <t>1</t>
        </is>
      </c>
      <c r="H967" t="inlineStr">
        <is>
          <t>No</t>
        </is>
      </c>
      <c r="I967" t="inlineStr">
        <is>
          <t>No</t>
        </is>
      </c>
      <c r="J967" t="inlineStr">
        <is>
          <t>0</t>
        </is>
      </c>
      <c r="K967" t="inlineStr">
        <is>
          <t>Carnegie Forum on Education and the Economy. Task Force on Teaching as a Profession.</t>
        </is>
      </c>
      <c r="L967" t="inlineStr">
        <is>
          <t>Washington, D.C. : The Forum, 1986.</t>
        </is>
      </c>
      <c r="M967" t="inlineStr">
        <is>
          <t>1986</t>
        </is>
      </c>
      <c r="O967" t="inlineStr">
        <is>
          <t>eng</t>
        </is>
      </c>
      <c r="P967" t="inlineStr">
        <is>
          <t>dcu</t>
        </is>
      </c>
      <c r="R967" t="inlineStr">
        <is>
          <t xml:space="preserve">LB </t>
        </is>
      </c>
      <c r="S967" t="n">
        <v>8</v>
      </c>
      <c r="T967" t="n">
        <v>8</v>
      </c>
      <c r="U967" t="inlineStr">
        <is>
          <t>2003-09-27</t>
        </is>
      </c>
      <c r="V967" t="inlineStr">
        <is>
          <t>2003-09-27</t>
        </is>
      </c>
      <c r="W967" t="inlineStr">
        <is>
          <t>1993-02-02</t>
        </is>
      </c>
      <c r="X967" t="inlineStr">
        <is>
          <t>1993-02-02</t>
        </is>
      </c>
      <c r="Y967" t="n">
        <v>678</v>
      </c>
      <c r="Z967" t="n">
        <v>639</v>
      </c>
      <c r="AA967" t="n">
        <v>654</v>
      </c>
      <c r="AB967" t="n">
        <v>5</v>
      </c>
      <c r="AC967" t="n">
        <v>5</v>
      </c>
      <c r="AD967" t="n">
        <v>22</v>
      </c>
      <c r="AE967" t="n">
        <v>23</v>
      </c>
      <c r="AF967" t="n">
        <v>9</v>
      </c>
      <c r="AG967" t="n">
        <v>10</v>
      </c>
      <c r="AH967" t="n">
        <v>5</v>
      </c>
      <c r="AI967" t="n">
        <v>5</v>
      </c>
      <c r="AJ967" t="n">
        <v>11</v>
      </c>
      <c r="AK967" t="n">
        <v>11</v>
      </c>
      <c r="AL967" t="n">
        <v>3</v>
      </c>
      <c r="AM967" t="n">
        <v>3</v>
      </c>
      <c r="AN967" t="n">
        <v>0</v>
      </c>
      <c r="AO967" t="n">
        <v>0</v>
      </c>
      <c r="AP967" t="inlineStr">
        <is>
          <t>No</t>
        </is>
      </c>
      <c r="AQ967" t="inlineStr">
        <is>
          <t>Yes</t>
        </is>
      </c>
      <c r="AR967">
        <f>HYPERLINK("http://catalog.hathitrust.org/Record/000910149","HathiTrust Record")</f>
        <v/>
      </c>
      <c r="AS967">
        <f>HYPERLINK("https://creighton-primo.hosted.exlibrisgroup.com/primo-explore/search?tab=default_tab&amp;search_scope=EVERYTHING&amp;vid=01CRU&amp;lang=en_US&amp;offset=0&amp;query=any,contains,991000851129702656","Catalog Record")</f>
        <v/>
      </c>
      <c r="AT967">
        <f>HYPERLINK("http://www.worldcat.org/oclc/13582521","WorldCat Record")</f>
        <v/>
      </c>
      <c r="AU967" t="inlineStr">
        <is>
          <t>7547251:eng</t>
        </is>
      </c>
      <c r="AV967" t="inlineStr">
        <is>
          <t>13582521</t>
        </is>
      </c>
      <c r="AW967" t="inlineStr">
        <is>
          <t>991000851129702656</t>
        </is>
      </c>
      <c r="AX967" t="inlineStr">
        <is>
          <t>991000851129702656</t>
        </is>
      </c>
      <c r="AY967" t="inlineStr">
        <is>
          <t>2259168750002656</t>
        </is>
      </c>
      <c r="AZ967" t="inlineStr">
        <is>
          <t>BOOK</t>
        </is>
      </c>
      <c r="BB967" t="inlineStr">
        <is>
          <t>9780961668501</t>
        </is>
      </c>
      <c r="BC967" t="inlineStr">
        <is>
          <t>32285004388483</t>
        </is>
      </c>
      <c r="BD967" t="inlineStr">
        <is>
          <t>893708769</t>
        </is>
      </c>
    </row>
    <row r="968">
      <c r="A968" t="inlineStr">
        <is>
          <t>No</t>
        </is>
      </c>
      <c r="B968" t="inlineStr">
        <is>
          <t>LB1775 .C728 1993</t>
        </is>
      </c>
      <c r="C968" t="inlineStr">
        <is>
          <t>0                      LB 1775000C  728         1993</t>
        </is>
      </c>
      <c r="D968" t="inlineStr">
        <is>
          <t>Conceptualizing reflection in teacher development / edited by James Calderhead and Peter Gates.</t>
        </is>
      </c>
      <c r="F968" t="inlineStr">
        <is>
          <t>No</t>
        </is>
      </c>
      <c r="G968" t="inlineStr">
        <is>
          <t>1</t>
        </is>
      </c>
      <c r="H968" t="inlineStr">
        <is>
          <t>No</t>
        </is>
      </c>
      <c r="I968" t="inlineStr">
        <is>
          <t>No</t>
        </is>
      </c>
      <c r="J968" t="inlineStr">
        <is>
          <t>0</t>
        </is>
      </c>
      <c r="L968" t="inlineStr">
        <is>
          <t>London ; Washington, D.C. : Falmer Press, 1993.</t>
        </is>
      </c>
      <c r="M968" t="inlineStr">
        <is>
          <t>1993</t>
        </is>
      </c>
      <c r="O968" t="inlineStr">
        <is>
          <t>eng</t>
        </is>
      </c>
      <c r="P968" t="inlineStr">
        <is>
          <t>enk</t>
        </is>
      </c>
      <c r="R968" t="inlineStr">
        <is>
          <t xml:space="preserve">LB </t>
        </is>
      </c>
      <c r="S968" t="n">
        <v>4</v>
      </c>
      <c r="T968" t="n">
        <v>4</v>
      </c>
      <c r="U968" t="inlineStr">
        <is>
          <t>2009-09-26</t>
        </is>
      </c>
      <c r="V968" t="inlineStr">
        <is>
          <t>2009-09-26</t>
        </is>
      </c>
      <c r="W968" t="inlineStr">
        <is>
          <t>2001-12-20</t>
        </is>
      </c>
      <c r="X968" t="inlineStr">
        <is>
          <t>2001-12-20</t>
        </is>
      </c>
      <c r="Y968" t="n">
        <v>325</v>
      </c>
      <c r="Z968" t="n">
        <v>166</v>
      </c>
      <c r="AA968" t="n">
        <v>193</v>
      </c>
      <c r="AB968" t="n">
        <v>2</v>
      </c>
      <c r="AC968" t="n">
        <v>2</v>
      </c>
      <c r="AD968" t="n">
        <v>7</v>
      </c>
      <c r="AE968" t="n">
        <v>7</v>
      </c>
      <c r="AF968" t="n">
        <v>0</v>
      </c>
      <c r="AG968" t="n">
        <v>0</v>
      </c>
      <c r="AH968" t="n">
        <v>3</v>
      </c>
      <c r="AI968" t="n">
        <v>3</v>
      </c>
      <c r="AJ968" t="n">
        <v>4</v>
      </c>
      <c r="AK968" t="n">
        <v>4</v>
      </c>
      <c r="AL968" t="n">
        <v>1</v>
      </c>
      <c r="AM968" t="n">
        <v>1</v>
      </c>
      <c r="AN968" t="n">
        <v>0</v>
      </c>
      <c r="AO968" t="n">
        <v>0</v>
      </c>
      <c r="AP968" t="inlineStr">
        <is>
          <t>No</t>
        </is>
      </c>
      <c r="AQ968" t="inlineStr">
        <is>
          <t>No</t>
        </is>
      </c>
      <c r="AS968">
        <f>HYPERLINK("https://creighton-primo.hosted.exlibrisgroup.com/primo-explore/search?tab=default_tab&amp;search_scope=EVERYTHING&amp;vid=01CRU&amp;lang=en_US&amp;offset=0&amp;query=any,contains,991003679619702656","Catalog Record")</f>
        <v/>
      </c>
      <c r="AT968">
        <f>HYPERLINK("http://www.worldcat.org/oclc/26722959","WorldCat Record")</f>
        <v/>
      </c>
      <c r="AU968" t="inlineStr">
        <is>
          <t>1047430268:eng</t>
        </is>
      </c>
      <c r="AV968" t="inlineStr">
        <is>
          <t>26722959</t>
        </is>
      </c>
      <c r="AW968" t="inlineStr">
        <is>
          <t>991003679619702656</t>
        </is>
      </c>
      <c r="AX968" t="inlineStr">
        <is>
          <t>991003679619702656</t>
        </is>
      </c>
      <c r="AY968" t="inlineStr">
        <is>
          <t>2270192080002656</t>
        </is>
      </c>
      <c r="AZ968" t="inlineStr">
        <is>
          <t>BOOK</t>
        </is>
      </c>
      <c r="BB968" t="inlineStr">
        <is>
          <t>9780750701235</t>
        </is>
      </c>
      <c r="BC968" t="inlineStr">
        <is>
          <t>32285004429584</t>
        </is>
      </c>
      <c r="BD968" t="inlineStr">
        <is>
          <t>893623758</t>
        </is>
      </c>
    </row>
    <row r="969">
      <c r="A969" t="inlineStr">
        <is>
          <t>No</t>
        </is>
      </c>
      <c r="B969" t="inlineStr">
        <is>
          <t>LB1775 .F48 1967</t>
        </is>
      </c>
      <c r="C969" t="inlineStr">
        <is>
          <t>0                      LB 1775000F  48          1967</t>
        </is>
      </c>
      <c r="D969" t="inlineStr">
        <is>
          <t>So you're going to be a teacher / [by] Robert L. Filbin [and] Stefan Vogel.</t>
        </is>
      </c>
      <c r="F969" t="inlineStr">
        <is>
          <t>No</t>
        </is>
      </c>
      <c r="G969" t="inlineStr">
        <is>
          <t>1</t>
        </is>
      </c>
      <c r="H969" t="inlineStr">
        <is>
          <t>No</t>
        </is>
      </c>
      <c r="I969" t="inlineStr">
        <is>
          <t>No</t>
        </is>
      </c>
      <c r="J969" t="inlineStr">
        <is>
          <t>0</t>
        </is>
      </c>
      <c r="K969" t="inlineStr">
        <is>
          <t>Filbin, Robert L.</t>
        </is>
      </c>
      <c r="L969" t="inlineStr">
        <is>
          <t>Woodbury, N.Y. : Barron's Educational Series, [c1967]</t>
        </is>
      </c>
      <c r="M969" t="inlineStr">
        <is>
          <t>1967</t>
        </is>
      </c>
      <c r="N969" t="inlineStr">
        <is>
          <t>Rev. ed.</t>
        </is>
      </c>
      <c r="O969" t="inlineStr">
        <is>
          <t>eng</t>
        </is>
      </c>
      <c r="P969" t="inlineStr">
        <is>
          <t>nyu</t>
        </is>
      </c>
      <c r="R969" t="inlineStr">
        <is>
          <t xml:space="preserve">LB </t>
        </is>
      </c>
      <c r="S969" t="n">
        <v>7</v>
      </c>
      <c r="T969" t="n">
        <v>7</v>
      </c>
      <c r="U969" t="inlineStr">
        <is>
          <t>2004-09-14</t>
        </is>
      </c>
      <c r="V969" t="inlineStr">
        <is>
          <t>2004-09-14</t>
        </is>
      </c>
      <c r="W969" t="inlineStr">
        <is>
          <t>1992-10-06</t>
        </is>
      </c>
      <c r="X969" t="inlineStr">
        <is>
          <t>1992-10-06</t>
        </is>
      </c>
      <c r="Y969" t="n">
        <v>128</v>
      </c>
      <c r="Z969" t="n">
        <v>120</v>
      </c>
      <c r="AA969" t="n">
        <v>308</v>
      </c>
      <c r="AB969" t="n">
        <v>2</v>
      </c>
      <c r="AC969" t="n">
        <v>6</v>
      </c>
      <c r="AD969" t="n">
        <v>4</v>
      </c>
      <c r="AE969" t="n">
        <v>14</v>
      </c>
      <c r="AF969" t="n">
        <v>1</v>
      </c>
      <c r="AG969" t="n">
        <v>4</v>
      </c>
      <c r="AH969" t="n">
        <v>0</v>
      </c>
      <c r="AI969" t="n">
        <v>1</v>
      </c>
      <c r="AJ969" t="n">
        <v>2</v>
      </c>
      <c r="AK969" t="n">
        <v>5</v>
      </c>
      <c r="AL969" t="n">
        <v>1</v>
      </c>
      <c r="AM969" t="n">
        <v>5</v>
      </c>
      <c r="AN969" t="n">
        <v>0</v>
      </c>
      <c r="AO969" t="n">
        <v>0</v>
      </c>
      <c r="AP969" t="inlineStr">
        <is>
          <t>No</t>
        </is>
      </c>
      <c r="AQ969" t="inlineStr">
        <is>
          <t>Yes</t>
        </is>
      </c>
      <c r="AR969">
        <f>HYPERLINK("http://catalog.hathitrust.org/Record/001116665","HathiTrust Record")</f>
        <v/>
      </c>
      <c r="AS969">
        <f>HYPERLINK("https://creighton-primo.hosted.exlibrisgroup.com/primo-explore/search?tab=default_tab&amp;search_scope=EVERYTHING&amp;vid=01CRU&amp;lang=en_US&amp;offset=0&amp;query=any,contains,991002289599702656","Catalog Record")</f>
        <v/>
      </c>
      <c r="AT969">
        <f>HYPERLINK("http://www.worldcat.org/oclc/312566","WorldCat Record")</f>
        <v/>
      </c>
      <c r="AU969" t="inlineStr">
        <is>
          <t>1333045:eng</t>
        </is>
      </c>
      <c r="AV969" t="inlineStr">
        <is>
          <t>312566</t>
        </is>
      </c>
      <c r="AW969" t="inlineStr">
        <is>
          <t>991002289599702656</t>
        </is>
      </c>
      <c r="AX969" t="inlineStr">
        <is>
          <t>991002289599702656</t>
        </is>
      </c>
      <c r="AY969" t="inlineStr">
        <is>
          <t>2271168440002656</t>
        </is>
      </c>
      <c r="AZ969" t="inlineStr">
        <is>
          <t>BOOK</t>
        </is>
      </c>
      <c r="BC969" t="inlineStr">
        <is>
          <t>32285001326452</t>
        </is>
      </c>
      <c r="BD969" t="inlineStr">
        <is>
          <t>893226669</t>
        </is>
      </c>
    </row>
    <row r="970">
      <c r="A970" t="inlineStr">
        <is>
          <t>No</t>
        </is>
      </c>
      <c r="B970" t="inlineStr">
        <is>
          <t>LB1775 .H42 1984</t>
        </is>
      </c>
      <c r="C970" t="inlineStr">
        <is>
          <t>0                      LB 1775000H  42          1984</t>
        </is>
      </c>
      <c r="D970" t="inlineStr">
        <is>
          <t>The complex roles of the teacher : an ecological perspective / Shirley F. Heck, C. Ray Williams ; foreword by John I. Goodlad.</t>
        </is>
      </c>
      <c r="F970" t="inlineStr">
        <is>
          <t>No</t>
        </is>
      </c>
      <c r="G970" t="inlineStr">
        <is>
          <t>1</t>
        </is>
      </c>
      <c r="H970" t="inlineStr">
        <is>
          <t>No</t>
        </is>
      </c>
      <c r="I970" t="inlineStr">
        <is>
          <t>No</t>
        </is>
      </c>
      <c r="J970" t="inlineStr">
        <is>
          <t>0</t>
        </is>
      </c>
      <c r="K970" t="inlineStr">
        <is>
          <t>Heck, Shirley F.</t>
        </is>
      </c>
      <c r="L970" t="inlineStr">
        <is>
          <t>New York : Teachers College Press, Teachers College, Columbia University, 1984.</t>
        </is>
      </c>
      <c r="M970" t="inlineStr">
        <is>
          <t>1984</t>
        </is>
      </c>
      <c r="O970" t="inlineStr">
        <is>
          <t>eng</t>
        </is>
      </c>
      <c r="P970" t="inlineStr">
        <is>
          <t>nyu</t>
        </is>
      </c>
      <c r="R970" t="inlineStr">
        <is>
          <t xml:space="preserve">LB </t>
        </is>
      </c>
      <c r="S970" t="n">
        <v>5</v>
      </c>
      <c r="T970" t="n">
        <v>5</v>
      </c>
      <c r="U970" t="inlineStr">
        <is>
          <t>2007-04-30</t>
        </is>
      </c>
      <c r="V970" t="inlineStr">
        <is>
          <t>2007-04-30</t>
        </is>
      </c>
      <c r="W970" t="inlineStr">
        <is>
          <t>1992-01-27</t>
        </is>
      </c>
      <c r="X970" t="inlineStr">
        <is>
          <t>1992-01-27</t>
        </is>
      </c>
      <c r="Y970" t="n">
        <v>668</v>
      </c>
      <c r="Z970" t="n">
        <v>601</v>
      </c>
      <c r="AA970" t="n">
        <v>633</v>
      </c>
      <c r="AB970" t="n">
        <v>4</v>
      </c>
      <c r="AC970" t="n">
        <v>4</v>
      </c>
      <c r="AD970" t="n">
        <v>25</v>
      </c>
      <c r="AE970" t="n">
        <v>26</v>
      </c>
      <c r="AF970" t="n">
        <v>12</v>
      </c>
      <c r="AG970" t="n">
        <v>13</v>
      </c>
      <c r="AH970" t="n">
        <v>3</v>
      </c>
      <c r="AI970" t="n">
        <v>4</v>
      </c>
      <c r="AJ970" t="n">
        <v>15</v>
      </c>
      <c r="AK970" t="n">
        <v>15</v>
      </c>
      <c r="AL970" t="n">
        <v>3</v>
      </c>
      <c r="AM970" t="n">
        <v>3</v>
      </c>
      <c r="AN970" t="n">
        <v>0</v>
      </c>
      <c r="AO970" t="n">
        <v>0</v>
      </c>
      <c r="AP970" t="inlineStr">
        <is>
          <t>No</t>
        </is>
      </c>
      <c r="AQ970" t="inlineStr">
        <is>
          <t>No</t>
        </is>
      </c>
      <c r="AS970">
        <f>HYPERLINK("https://creighton-primo.hosted.exlibrisgroup.com/primo-explore/search?tab=default_tab&amp;search_scope=EVERYTHING&amp;vid=01CRU&amp;lang=en_US&amp;offset=0&amp;query=any,contains,991000021469702656","Catalog Record")</f>
        <v/>
      </c>
      <c r="AT970">
        <f>HYPERLINK("http://www.worldcat.org/oclc/9853475","WorldCat Record")</f>
        <v/>
      </c>
      <c r="AU970" t="inlineStr">
        <is>
          <t>1005420:eng</t>
        </is>
      </c>
      <c r="AV970" t="inlineStr">
        <is>
          <t>9853475</t>
        </is>
      </c>
      <c r="AW970" t="inlineStr">
        <is>
          <t>991000021469702656</t>
        </is>
      </c>
      <c r="AX970" t="inlineStr">
        <is>
          <t>991000021469702656</t>
        </is>
      </c>
      <c r="AY970" t="inlineStr">
        <is>
          <t>2264211910002656</t>
        </is>
      </c>
      <c r="AZ970" t="inlineStr">
        <is>
          <t>BOOK</t>
        </is>
      </c>
      <c r="BB970" t="inlineStr">
        <is>
          <t>9780807727485</t>
        </is>
      </c>
      <c r="BC970" t="inlineStr">
        <is>
          <t>32285000898600</t>
        </is>
      </c>
      <c r="BD970" t="inlineStr">
        <is>
          <t>893314604</t>
        </is>
      </c>
    </row>
    <row r="971">
      <c r="A971" t="inlineStr">
        <is>
          <t>No</t>
        </is>
      </c>
      <c r="B971" t="inlineStr">
        <is>
          <t>LB1775 .K64</t>
        </is>
      </c>
      <c r="C971" t="inlineStr">
        <is>
          <t>0                      LB 1775000K  64</t>
        </is>
      </c>
      <c r="D971" t="inlineStr">
        <is>
          <t>Teaching today and tomorrow / Charles R. Kniker, Natalie A Naylor.</t>
        </is>
      </c>
      <c r="F971" t="inlineStr">
        <is>
          <t>No</t>
        </is>
      </c>
      <c r="G971" t="inlineStr">
        <is>
          <t>1</t>
        </is>
      </c>
      <c r="H971" t="inlineStr">
        <is>
          <t>No</t>
        </is>
      </c>
      <c r="I971" t="inlineStr">
        <is>
          <t>No</t>
        </is>
      </c>
      <c r="J971" t="inlineStr">
        <is>
          <t>0</t>
        </is>
      </c>
      <c r="K971" t="inlineStr">
        <is>
          <t>Kniker, Charles R.</t>
        </is>
      </c>
      <c r="L971" t="inlineStr">
        <is>
          <t>Columbus, Ohio : Charles E. Merrill, c1981.</t>
        </is>
      </c>
      <c r="M971" t="inlineStr">
        <is>
          <t>1981</t>
        </is>
      </c>
      <c r="O971" t="inlineStr">
        <is>
          <t>eng</t>
        </is>
      </c>
      <c r="P971" t="inlineStr">
        <is>
          <t>ohu</t>
        </is>
      </c>
      <c r="R971" t="inlineStr">
        <is>
          <t xml:space="preserve">LB </t>
        </is>
      </c>
      <c r="S971" t="n">
        <v>10</v>
      </c>
      <c r="T971" t="n">
        <v>10</v>
      </c>
      <c r="U971" t="inlineStr">
        <is>
          <t>2009-02-25</t>
        </is>
      </c>
      <c r="V971" t="inlineStr">
        <is>
          <t>2009-02-25</t>
        </is>
      </c>
      <c r="W971" t="inlineStr">
        <is>
          <t>1993-02-02</t>
        </is>
      </c>
      <c r="X971" t="inlineStr">
        <is>
          <t>1993-02-02</t>
        </is>
      </c>
      <c r="Y971" t="n">
        <v>162</v>
      </c>
      <c r="Z971" t="n">
        <v>129</v>
      </c>
      <c r="AA971" t="n">
        <v>131</v>
      </c>
      <c r="AB971" t="n">
        <v>1</v>
      </c>
      <c r="AC971" t="n">
        <v>1</v>
      </c>
      <c r="AD971" t="n">
        <v>5</v>
      </c>
      <c r="AE971" t="n">
        <v>5</v>
      </c>
      <c r="AF971" t="n">
        <v>4</v>
      </c>
      <c r="AG971" t="n">
        <v>4</v>
      </c>
      <c r="AH971" t="n">
        <v>0</v>
      </c>
      <c r="AI971" t="n">
        <v>0</v>
      </c>
      <c r="AJ971" t="n">
        <v>3</v>
      </c>
      <c r="AK971" t="n">
        <v>3</v>
      </c>
      <c r="AL971" t="n">
        <v>0</v>
      </c>
      <c r="AM971" t="n">
        <v>0</v>
      </c>
      <c r="AN971" t="n">
        <v>0</v>
      </c>
      <c r="AO971" t="n">
        <v>0</v>
      </c>
      <c r="AP971" t="inlineStr">
        <is>
          <t>No</t>
        </is>
      </c>
      <c r="AQ971" t="inlineStr">
        <is>
          <t>Yes</t>
        </is>
      </c>
      <c r="AR971">
        <f>HYPERLINK("http://catalog.hathitrust.org/Record/009823914","HathiTrust Record")</f>
        <v/>
      </c>
      <c r="AS971">
        <f>HYPERLINK("https://creighton-primo.hosted.exlibrisgroup.com/primo-explore/search?tab=default_tab&amp;search_scope=EVERYTHING&amp;vid=01CRU&amp;lang=en_US&amp;offset=0&amp;query=any,contains,991005109529702656","Catalog Record")</f>
        <v/>
      </c>
      <c r="AT971">
        <f>HYPERLINK("http://www.worldcat.org/oclc/7398553","WorldCat Record")</f>
        <v/>
      </c>
      <c r="AU971" t="inlineStr">
        <is>
          <t>431009:eng</t>
        </is>
      </c>
      <c r="AV971" t="inlineStr">
        <is>
          <t>7398553</t>
        </is>
      </c>
      <c r="AW971" t="inlineStr">
        <is>
          <t>991005109529702656</t>
        </is>
      </c>
      <c r="AX971" t="inlineStr">
        <is>
          <t>991005109529702656</t>
        </is>
      </c>
      <c r="AY971" t="inlineStr">
        <is>
          <t>2263765410002656</t>
        </is>
      </c>
      <c r="AZ971" t="inlineStr">
        <is>
          <t>BOOK</t>
        </is>
      </c>
      <c r="BB971" t="inlineStr">
        <is>
          <t>9780675080347</t>
        </is>
      </c>
      <c r="BC971" t="inlineStr">
        <is>
          <t>32285001481711</t>
        </is>
      </c>
      <c r="BD971" t="inlineStr">
        <is>
          <t>893801738</t>
        </is>
      </c>
    </row>
    <row r="972">
      <c r="A972" t="inlineStr">
        <is>
          <t>No</t>
        </is>
      </c>
      <c r="B972" t="inlineStr">
        <is>
          <t>LB1775 .P59 1988</t>
        </is>
      </c>
      <c r="C972" t="inlineStr">
        <is>
          <t>0                      LB 1775000P  59          1988</t>
        </is>
      </c>
      <c r="D972" t="inlineStr">
        <is>
          <t>Education as a career / by Arlene Plevin.</t>
        </is>
      </c>
      <c r="F972" t="inlineStr">
        <is>
          <t>No</t>
        </is>
      </c>
      <c r="G972" t="inlineStr">
        <is>
          <t>1</t>
        </is>
      </c>
      <c r="H972" t="inlineStr">
        <is>
          <t>No</t>
        </is>
      </c>
      <c r="I972" t="inlineStr">
        <is>
          <t>No</t>
        </is>
      </c>
      <c r="J972" t="inlineStr">
        <is>
          <t>0</t>
        </is>
      </c>
      <c r="K972" t="inlineStr">
        <is>
          <t>Plevin, Arlene.</t>
        </is>
      </c>
      <c r="L972" t="inlineStr">
        <is>
          <t>Washington, DC : NEA Professional Library, National Education Association, c1988.</t>
        </is>
      </c>
      <c r="M972" t="inlineStr">
        <is>
          <t>1988</t>
        </is>
      </c>
      <c r="O972" t="inlineStr">
        <is>
          <t>eng</t>
        </is>
      </c>
      <c r="P972" t="inlineStr">
        <is>
          <t>dcu</t>
        </is>
      </c>
      <c r="R972" t="inlineStr">
        <is>
          <t xml:space="preserve">LB </t>
        </is>
      </c>
      <c r="S972" t="n">
        <v>13</v>
      </c>
      <c r="T972" t="n">
        <v>13</v>
      </c>
      <c r="U972" t="inlineStr">
        <is>
          <t>2007-02-06</t>
        </is>
      </c>
      <c r="V972" t="inlineStr">
        <is>
          <t>2007-02-06</t>
        </is>
      </c>
      <c r="W972" t="inlineStr">
        <is>
          <t>1992-01-14</t>
        </is>
      </c>
      <c r="X972" t="inlineStr">
        <is>
          <t>1992-01-14</t>
        </is>
      </c>
      <c r="Y972" t="n">
        <v>268</v>
      </c>
      <c r="Z972" t="n">
        <v>257</v>
      </c>
      <c r="AA972" t="n">
        <v>259</v>
      </c>
      <c r="AB972" t="n">
        <v>3</v>
      </c>
      <c r="AC972" t="n">
        <v>3</v>
      </c>
      <c r="AD972" t="n">
        <v>7</v>
      </c>
      <c r="AE972" t="n">
        <v>7</v>
      </c>
      <c r="AF972" t="n">
        <v>2</v>
      </c>
      <c r="AG972" t="n">
        <v>2</v>
      </c>
      <c r="AH972" t="n">
        <v>3</v>
      </c>
      <c r="AI972" t="n">
        <v>3</v>
      </c>
      <c r="AJ972" t="n">
        <v>3</v>
      </c>
      <c r="AK972" t="n">
        <v>3</v>
      </c>
      <c r="AL972" t="n">
        <v>2</v>
      </c>
      <c r="AM972" t="n">
        <v>2</v>
      </c>
      <c r="AN972" t="n">
        <v>0</v>
      </c>
      <c r="AO972" t="n">
        <v>0</v>
      </c>
      <c r="AP972" t="inlineStr">
        <is>
          <t>No</t>
        </is>
      </c>
      <c r="AQ972" t="inlineStr">
        <is>
          <t>No</t>
        </is>
      </c>
      <c r="AS972">
        <f>HYPERLINK("https://creighton-primo.hosted.exlibrisgroup.com/primo-explore/search?tab=default_tab&amp;search_scope=EVERYTHING&amp;vid=01CRU&amp;lang=en_US&amp;offset=0&amp;query=any,contains,991001152529702656","Catalog Record")</f>
        <v/>
      </c>
      <c r="AT972">
        <f>HYPERLINK("http://www.worldcat.org/oclc/16830576","WorldCat Record")</f>
        <v/>
      </c>
      <c r="AU972" t="inlineStr">
        <is>
          <t>1075821:eng</t>
        </is>
      </c>
      <c r="AV972" t="inlineStr">
        <is>
          <t>16830576</t>
        </is>
      </c>
      <c r="AW972" t="inlineStr">
        <is>
          <t>991001152529702656</t>
        </is>
      </c>
      <c r="AX972" t="inlineStr">
        <is>
          <t>991001152529702656</t>
        </is>
      </c>
      <c r="AY972" t="inlineStr">
        <is>
          <t>2254953190002656</t>
        </is>
      </c>
      <c r="AZ972" t="inlineStr">
        <is>
          <t>BOOK</t>
        </is>
      </c>
      <c r="BB972" t="inlineStr">
        <is>
          <t>9780810614628</t>
        </is>
      </c>
      <c r="BC972" t="inlineStr">
        <is>
          <t>32285004388525</t>
        </is>
      </c>
      <c r="BD972" t="inlineStr">
        <is>
          <t>893891350</t>
        </is>
      </c>
    </row>
    <row r="973">
      <c r="A973" t="inlineStr">
        <is>
          <t>No</t>
        </is>
      </c>
      <c r="B973" t="inlineStr">
        <is>
          <t>LB1775.2 .A75 1997</t>
        </is>
      </c>
      <c r="C973" t="inlineStr">
        <is>
          <t>0                      LB 1775200A  75          1997</t>
        </is>
      </c>
      <c r="D973" t="inlineStr">
        <is>
          <t>Teaching today : an introduction to education / David G. Armstrong, Kenneth T. Henson, Tom V. Savage.</t>
        </is>
      </c>
      <c r="F973" t="inlineStr">
        <is>
          <t>No</t>
        </is>
      </c>
      <c r="G973" t="inlineStr">
        <is>
          <t>1</t>
        </is>
      </c>
      <c r="H973" t="inlineStr">
        <is>
          <t>No</t>
        </is>
      </c>
      <c r="I973" t="inlineStr">
        <is>
          <t>No</t>
        </is>
      </c>
      <c r="J973" t="inlineStr">
        <is>
          <t>0</t>
        </is>
      </c>
      <c r="K973" t="inlineStr">
        <is>
          <t>Armstrong, David G.</t>
        </is>
      </c>
      <c r="L973" t="inlineStr">
        <is>
          <t>Upper Saddle River, N.J. : Merrill, c1997.</t>
        </is>
      </c>
      <c r="M973" t="inlineStr">
        <is>
          <t>1997</t>
        </is>
      </c>
      <c r="N973" t="inlineStr">
        <is>
          <t>5th ed.</t>
        </is>
      </c>
      <c r="O973" t="inlineStr">
        <is>
          <t>eng</t>
        </is>
      </c>
      <c r="P973" t="inlineStr">
        <is>
          <t>nju</t>
        </is>
      </c>
      <c r="R973" t="inlineStr">
        <is>
          <t xml:space="preserve">LB </t>
        </is>
      </c>
      <c r="S973" t="n">
        <v>21</v>
      </c>
      <c r="T973" t="n">
        <v>21</v>
      </c>
      <c r="U973" t="inlineStr">
        <is>
          <t>2008-11-14</t>
        </is>
      </c>
      <c r="V973" t="inlineStr">
        <is>
          <t>2008-11-14</t>
        </is>
      </c>
      <c r="W973" t="inlineStr">
        <is>
          <t>1996-11-12</t>
        </is>
      </c>
      <c r="X973" t="inlineStr">
        <is>
          <t>1996-11-12</t>
        </is>
      </c>
      <c r="Y973" t="n">
        <v>146</v>
      </c>
      <c r="Z973" t="n">
        <v>117</v>
      </c>
      <c r="AA973" t="n">
        <v>328</v>
      </c>
      <c r="AB973" t="n">
        <v>2</v>
      </c>
      <c r="AC973" t="n">
        <v>3</v>
      </c>
      <c r="AD973" t="n">
        <v>3</v>
      </c>
      <c r="AE973" t="n">
        <v>8</v>
      </c>
      <c r="AF973" t="n">
        <v>1</v>
      </c>
      <c r="AG973" t="n">
        <v>2</v>
      </c>
      <c r="AH973" t="n">
        <v>1</v>
      </c>
      <c r="AI973" t="n">
        <v>4</v>
      </c>
      <c r="AJ973" t="n">
        <v>1</v>
      </c>
      <c r="AK973" t="n">
        <v>4</v>
      </c>
      <c r="AL973" t="n">
        <v>1</v>
      </c>
      <c r="AM973" t="n">
        <v>2</v>
      </c>
      <c r="AN973" t="n">
        <v>0</v>
      </c>
      <c r="AO973" t="n">
        <v>0</v>
      </c>
      <c r="AP973" t="inlineStr">
        <is>
          <t>No</t>
        </is>
      </c>
      <c r="AQ973" t="inlineStr">
        <is>
          <t>No</t>
        </is>
      </c>
      <c r="AS973">
        <f>HYPERLINK("https://creighton-primo.hosted.exlibrisgroup.com/primo-explore/search?tab=default_tab&amp;search_scope=EVERYTHING&amp;vid=01CRU&amp;lang=en_US&amp;offset=0&amp;query=any,contains,991002650679702656","Catalog Record")</f>
        <v/>
      </c>
      <c r="AT973">
        <f>HYPERLINK("http://www.worldcat.org/oclc/34669415","WorldCat Record")</f>
        <v/>
      </c>
      <c r="AU973" t="inlineStr">
        <is>
          <t>181044862:eng</t>
        </is>
      </c>
      <c r="AV973" t="inlineStr">
        <is>
          <t>34669415</t>
        </is>
      </c>
      <c r="AW973" t="inlineStr">
        <is>
          <t>991002650679702656</t>
        </is>
      </c>
      <c r="AX973" t="inlineStr">
        <is>
          <t>991002650679702656</t>
        </is>
      </c>
      <c r="AY973" t="inlineStr">
        <is>
          <t>2271273400002656</t>
        </is>
      </c>
      <c r="AZ973" t="inlineStr">
        <is>
          <t>BOOK</t>
        </is>
      </c>
      <c r="BB973" t="inlineStr">
        <is>
          <t>9780133821772</t>
        </is>
      </c>
      <c r="BC973" t="inlineStr">
        <is>
          <t>32285002371994</t>
        </is>
      </c>
      <c r="BD973" t="inlineStr">
        <is>
          <t>893610098</t>
        </is>
      </c>
    </row>
    <row r="974">
      <c r="A974" t="inlineStr">
        <is>
          <t>No</t>
        </is>
      </c>
      <c r="B974" t="inlineStr">
        <is>
          <t>LB1775.2 .B64 1991</t>
        </is>
      </c>
      <c r="C974" t="inlineStr">
        <is>
          <t>0                      LB 1775200B  64          1991</t>
        </is>
      </c>
      <c r="D974" t="inlineStr">
        <is>
          <t>A journey of the heart : the call to teaching / by E. Grady Bogue.</t>
        </is>
      </c>
      <c r="F974" t="inlineStr">
        <is>
          <t>No</t>
        </is>
      </c>
      <c r="G974" t="inlineStr">
        <is>
          <t>1</t>
        </is>
      </c>
      <c r="H974" t="inlineStr">
        <is>
          <t>No</t>
        </is>
      </c>
      <c r="I974" t="inlineStr">
        <is>
          <t>No</t>
        </is>
      </c>
      <c r="J974" t="inlineStr">
        <is>
          <t>0</t>
        </is>
      </c>
      <c r="K974" t="inlineStr">
        <is>
          <t>Bogue, E. Grady (Ernest Grady), 1935-2013.</t>
        </is>
      </c>
      <c r="L974" t="inlineStr">
        <is>
          <t>Bloomington, Ind. : [Phi Delta Kappa Educational Foundation], c1991.</t>
        </is>
      </c>
      <c r="M974" t="inlineStr">
        <is>
          <t>1991</t>
        </is>
      </c>
      <c r="O974" t="inlineStr">
        <is>
          <t>eng</t>
        </is>
      </c>
      <c r="P974" t="inlineStr">
        <is>
          <t>inu</t>
        </is>
      </c>
      <c r="R974" t="inlineStr">
        <is>
          <t xml:space="preserve">LB </t>
        </is>
      </c>
      <c r="S974" t="n">
        <v>22</v>
      </c>
      <c r="T974" t="n">
        <v>22</v>
      </c>
      <c r="U974" t="inlineStr">
        <is>
          <t>2009-01-30</t>
        </is>
      </c>
      <c r="V974" t="inlineStr">
        <is>
          <t>2009-01-30</t>
        </is>
      </c>
      <c r="W974" t="inlineStr">
        <is>
          <t>1992-01-21</t>
        </is>
      </c>
      <c r="X974" t="inlineStr">
        <is>
          <t>1992-01-21</t>
        </is>
      </c>
      <c r="Y974" t="n">
        <v>523</v>
      </c>
      <c r="Z974" t="n">
        <v>501</v>
      </c>
      <c r="AA974" t="n">
        <v>503</v>
      </c>
      <c r="AB974" t="n">
        <v>6</v>
      </c>
      <c r="AC974" t="n">
        <v>6</v>
      </c>
      <c r="AD974" t="n">
        <v>23</v>
      </c>
      <c r="AE974" t="n">
        <v>23</v>
      </c>
      <c r="AF974" t="n">
        <v>11</v>
      </c>
      <c r="AG974" t="n">
        <v>11</v>
      </c>
      <c r="AH974" t="n">
        <v>3</v>
      </c>
      <c r="AI974" t="n">
        <v>3</v>
      </c>
      <c r="AJ974" t="n">
        <v>8</v>
      </c>
      <c r="AK974" t="n">
        <v>8</v>
      </c>
      <c r="AL974" t="n">
        <v>4</v>
      </c>
      <c r="AM974" t="n">
        <v>4</v>
      </c>
      <c r="AN974" t="n">
        <v>0</v>
      </c>
      <c r="AO974" t="n">
        <v>0</v>
      </c>
      <c r="AP974" t="inlineStr">
        <is>
          <t>No</t>
        </is>
      </c>
      <c r="AQ974" t="inlineStr">
        <is>
          <t>No</t>
        </is>
      </c>
      <c r="AS974">
        <f>HYPERLINK("https://creighton-primo.hosted.exlibrisgroup.com/primo-explore/search?tab=default_tab&amp;search_scope=EVERYTHING&amp;vid=01CRU&amp;lang=en_US&amp;offset=0&amp;query=any,contains,991001868269702656","Catalog Record")</f>
        <v/>
      </c>
      <c r="AT974">
        <f>HYPERLINK("http://www.worldcat.org/oclc/23535949","WorldCat Record")</f>
        <v/>
      </c>
      <c r="AU974" t="inlineStr">
        <is>
          <t>2762898629:eng</t>
        </is>
      </c>
      <c r="AV974" t="inlineStr">
        <is>
          <t>23535949</t>
        </is>
      </c>
      <c r="AW974" t="inlineStr">
        <is>
          <t>991001868269702656</t>
        </is>
      </c>
      <c r="AX974" t="inlineStr">
        <is>
          <t>991001868269702656</t>
        </is>
      </c>
      <c r="AY974" t="inlineStr">
        <is>
          <t>2258984720002656</t>
        </is>
      </c>
      <c r="AZ974" t="inlineStr">
        <is>
          <t>BOOK</t>
        </is>
      </c>
      <c r="BB974" t="inlineStr">
        <is>
          <t>9780873674485</t>
        </is>
      </c>
      <c r="BC974" t="inlineStr">
        <is>
          <t>32285000864685</t>
        </is>
      </c>
      <c r="BD974" t="inlineStr">
        <is>
          <t>893238387</t>
        </is>
      </c>
    </row>
    <row r="975">
      <c r="A975" t="inlineStr">
        <is>
          <t>No</t>
        </is>
      </c>
      <c r="B975" t="inlineStr">
        <is>
          <t>LB1775.2 .G67 2006</t>
        </is>
      </c>
      <c r="C975" t="inlineStr">
        <is>
          <t>0                      LB 1775200G  67          2006</t>
        </is>
      </c>
      <c r="D975" t="inlineStr">
        <is>
          <t>Building engaged schools : getting the most out of America's classrooms / Gary Gordon, with Steve Crabtree.</t>
        </is>
      </c>
      <c r="F975" t="inlineStr">
        <is>
          <t>No</t>
        </is>
      </c>
      <c r="G975" t="inlineStr">
        <is>
          <t>1</t>
        </is>
      </c>
      <c r="H975" t="inlineStr">
        <is>
          <t>No</t>
        </is>
      </c>
      <c r="I975" t="inlineStr">
        <is>
          <t>No</t>
        </is>
      </c>
      <c r="J975" t="inlineStr">
        <is>
          <t>0</t>
        </is>
      </c>
      <c r="K975" t="inlineStr">
        <is>
          <t>Gordon, Gary.</t>
        </is>
      </c>
      <c r="L975" t="inlineStr">
        <is>
          <t>New York : Gallup Press, 2006.</t>
        </is>
      </c>
      <c r="M975" t="inlineStr">
        <is>
          <t>2006</t>
        </is>
      </c>
      <c r="O975" t="inlineStr">
        <is>
          <t>eng</t>
        </is>
      </c>
      <c r="P975" t="inlineStr">
        <is>
          <t>nyu</t>
        </is>
      </c>
      <c r="R975" t="inlineStr">
        <is>
          <t xml:space="preserve">LB </t>
        </is>
      </c>
      <c r="S975" t="n">
        <v>1</v>
      </c>
      <c r="T975" t="n">
        <v>1</v>
      </c>
      <c r="U975" t="inlineStr">
        <is>
          <t>2006-11-27</t>
        </is>
      </c>
      <c r="V975" t="inlineStr">
        <is>
          <t>2006-11-27</t>
        </is>
      </c>
      <c r="W975" t="inlineStr">
        <is>
          <t>2006-11-27</t>
        </is>
      </c>
      <c r="X975" t="inlineStr">
        <is>
          <t>2006-11-27</t>
        </is>
      </c>
      <c r="Y975" t="n">
        <v>433</v>
      </c>
      <c r="Z975" t="n">
        <v>413</v>
      </c>
      <c r="AA975" t="n">
        <v>447</v>
      </c>
      <c r="AB975" t="n">
        <v>11</v>
      </c>
      <c r="AC975" t="n">
        <v>11</v>
      </c>
      <c r="AD975" t="n">
        <v>19</v>
      </c>
      <c r="AE975" t="n">
        <v>19</v>
      </c>
      <c r="AF975" t="n">
        <v>5</v>
      </c>
      <c r="AG975" t="n">
        <v>5</v>
      </c>
      <c r="AH975" t="n">
        <v>4</v>
      </c>
      <c r="AI975" t="n">
        <v>4</v>
      </c>
      <c r="AJ975" t="n">
        <v>8</v>
      </c>
      <c r="AK975" t="n">
        <v>8</v>
      </c>
      <c r="AL975" t="n">
        <v>5</v>
      </c>
      <c r="AM975" t="n">
        <v>5</v>
      </c>
      <c r="AN975" t="n">
        <v>0</v>
      </c>
      <c r="AO975" t="n">
        <v>0</v>
      </c>
      <c r="AP975" t="inlineStr">
        <is>
          <t>No</t>
        </is>
      </c>
      <c r="AQ975" t="inlineStr">
        <is>
          <t>Yes</t>
        </is>
      </c>
      <c r="AR975">
        <f>HYPERLINK("http://catalog.hathitrust.org/Record/005290760","HathiTrust Record")</f>
        <v/>
      </c>
      <c r="AS975">
        <f>HYPERLINK("https://creighton-primo.hosted.exlibrisgroup.com/primo-explore/search?tab=default_tab&amp;search_scope=EVERYTHING&amp;vid=01CRU&amp;lang=en_US&amp;offset=0&amp;query=any,contains,991004976249702656","Catalog Record")</f>
        <v/>
      </c>
      <c r="AT975">
        <f>HYPERLINK("http://www.worldcat.org/oclc/71827754","WorldCat Record")</f>
        <v/>
      </c>
      <c r="AU975" t="inlineStr">
        <is>
          <t>307146689:eng</t>
        </is>
      </c>
      <c r="AV975" t="inlineStr">
        <is>
          <t>71827754</t>
        </is>
      </c>
      <c r="AW975" t="inlineStr">
        <is>
          <t>991004976249702656</t>
        </is>
      </c>
      <c r="AX975" t="inlineStr">
        <is>
          <t>991004976249702656</t>
        </is>
      </c>
      <c r="AY975" t="inlineStr">
        <is>
          <t>2259971110002656</t>
        </is>
      </c>
      <c r="AZ975" t="inlineStr">
        <is>
          <t>BOOK</t>
        </is>
      </c>
      <c r="BB975" t="inlineStr">
        <is>
          <t>9781595620101</t>
        </is>
      </c>
      <c r="BC975" t="inlineStr">
        <is>
          <t>32285005261911</t>
        </is>
      </c>
      <c r="BD975" t="inlineStr">
        <is>
          <t>893446484</t>
        </is>
      </c>
    </row>
    <row r="976">
      <c r="A976" t="inlineStr">
        <is>
          <t>No</t>
        </is>
      </c>
      <c r="B976" t="inlineStr">
        <is>
          <t>LB1775.2 .L56 1993</t>
        </is>
      </c>
      <c r="C976" t="inlineStr">
        <is>
          <t>0                      LB 1775200L  56          1993</t>
        </is>
      </c>
      <c r="D976" t="inlineStr">
        <is>
          <t>This rough magic : the life of teaching / Daniel A. Lindley.</t>
        </is>
      </c>
      <c r="F976" t="inlineStr">
        <is>
          <t>No</t>
        </is>
      </c>
      <c r="G976" t="inlineStr">
        <is>
          <t>1</t>
        </is>
      </c>
      <c r="H976" t="inlineStr">
        <is>
          <t>No</t>
        </is>
      </c>
      <c r="I976" t="inlineStr">
        <is>
          <t>No</t>
        </is>
      </c>
      <c r="J976" t="inlineStr">
        <is>
          <t>0</t>
        </is>
      </c>
      <c r="K976" t="inlineStr">
        <is>
          <t>Lindley, Daniel A.</t>
        </is>
      </c>
      <c r="L976" t="inlineStr">
        <is>
          <t>Westport, Conn. : Bergin &amp; Garvey, 1993.</t>
        </is>
      </c>
      <c r="M976" t="inlineStr">
        <is>
          <t>1993</t>
        </is>
      </c>
      <c r="O976" t="inlineStr">
        <is>
          <t>eng</t>
        </is>
      </c>
      <c r="P976" t="inlineStr">
        <is>
          <t>ctu</t>
        </is>
      </c>
      <c r="R976" t="inlineStr">
        <is>
          <t xml:space="preserve">LB </t>
        </is>
      </c>
      <c r="S976" t="n">
        <v>11</v>
      </c>
      <c r="T976" t="n">
        <v>11</v>
      </c>
      <c r="U976" t="inlineStr">
        <is>
          <t>2004-09-16</t>
        </is>
      </c>
      <c r="V976" t="inlineStr">
        <is>
          <t>2004-09-16</t>
        </is>
      </c>
      <c r="W976" t="inlineStr">
        <is>
          <t>1994-05-11</t>
        </is>
      </c>
      <c r="X976" t="inlineStr">
        <is>
          <t>1994-05-11</t>
        </is>
      </c>
      <c r="Y976" t="n">
        <v>249</v>
      </c>
      <c r="Z976" t="n">
        <v>224</v>
      </c>
      <c r="AA976" t="n">
        <v>231</v>
      </c>
      <c r="AB976" t="n">
        <v>2</v>
      </c>
      <c r="AC976" t="n">
        <v>2</v>
      </c>
      <c r="AD976" t="n">
        <v>12</v>
      </c>
      <c r="AE976" t="n">
        <v>12</v>
      </c>
      <c r="AF976" t="n">
        <v>1</v>
      </c>
      <c r="AG976" t="n">
        <v>1</v>
      </c>
      <c r="AH976" t="n">
        <v>4</v>
      </c>
      <c r="AI976" t="n">
        <v>4</v>
      </c>
      <c r="AJ976" t="n">
        <v>8</v>
      </c>
      <c r="AK976" t="n">
        <v>8</v>
      </c>
      <c r="AL976" t="n">
        <v>1</v>
      </c>
      <c r="AM976" t="n">
        <v>1</v>
      </c>
      <c r="AN976" t="n">
        <v>0</v>
      </c>
      <c r="AO976" t="n">
        <v>0</v>
      </c>
      <c r="AP976" t="inlineStr">
        <is>
          <t>No</t>
        </is>
      </c>
      <c r="AQ976" t="inlineStr">
        <is>
          <t>Yes</t>
        </is>
      </c>
      <c r="AR976">
        <f>HYPERLINK("http://catalog.hathitrust.org/Record/002753362","HathiTrust Record")</f>
        <v/>
      </c>
      <c r="AS976">
        <f>HYPERLINK("https://creighton-primo.hosted.exlibrisgroup.com/primo-explore/search?tab=default_tab&amp;search_scope=EVERYTHING&amp;vid=01CRU&amp;lang=en_US&amp;offset=0&amp;query=any,contains,991002193539702656","Catalog Record")</f>
        <v/>
      </c>
      <c r="AT976">
        <f>HYPERLINK("http://www.worldcat.org/oclc/28213510","WorldCat Record")</f>
        <v/>
      </c>
      <c r="AU976" t="inlineStr">
        <is>
          <t>434871713:eng</t>
        </is>
      </c>
      <c r="AV976" t="inlineStr">
        <is>
          <t>28213510</t>
        </is>
      </c>
      <c r="AW976" t="inlineStr">
        <is>
          <t>991002193539702656</t>
        </is>
      </c>
      <c r="AX976" t="inlineStr">
        <is>
          <t>991002193539702656</t>
        </is>
      </c>
      <c r="AY976" t="inlineStr">
        <is>
          <t>2264504280002656</t>
        </is>
      </c>
      <c r="AZ976" t="inlineStr">
        <is>
          <t>BOOK</t>
        </is>
      </c>
      <c r="BB976" t="inlineStr">
        <is>
          <t>9780897893633</t>
        </is>
      </c>
      <c r="BC976" t="inlineStr">
        <is>
          <t>32285001895910</t>
        </is>
      </c>
      <c r="BD976" t="inlineStr">
        <is>
          <t>893609563</t>
        </is>
      </c>
    </row>
    <row r="977">
      <c r="A977" t="inlineStr">
        <is>
          <t>No</t>
        </is>
      </c>
      <c r="B977" t="inlineStr">
        <is>
          <t>LB1775.2 .P486 1997</t>
        </is>
      </c>
      <c r="C977" t="inlineStr">
        <is>
          <t>0                      LB 1775200P  486         1997</t>
        </is>
      </c>
      <c r="D977" t="inlineStr">
        <is>
          <t>Plants, animals, and humid beans : fun tales from NEA members / edited by Leona Hiraoka.</t>
        </is>
      </c>
      <c r="F977" t="inlineStr">
        <is>
          <t>No</t>
        </is>
      </c>
      <c r="G977" t="inlineStr">
        <is>
          <t>1</t>
        </is>
      </c>
      <c r="H977" t="inlineStr">
        <is>
          <t>No</t>
        </is>
      </c>
      <c r="I977" t="inlineStr">
        <is>
          <t>No</t>
        </is>
      </c>
      <c r="J977" t="inlineStr">
        <is>
          <t>0</t>
        </is>
      </c>
      <c r="L977" t="inlineStr">
        <is>
          <t>Washington, D.C. : National Education Association, 1997.</t>
        </is>
      </c>
      <c r="M977" t="inlineStr">
        <is>
          <t>1997</t>
        </is>
      </c>
      <c r="O977" t="inlineStr">
        <is>
          <t>eng</t>
        </is>
      </c>
      <c r="P977" t="inlineStr">
        <is>
          <t>dcu</t>
        </is>
      </c>
      <c r="R977" t="inlineStr">
        <is>
          <t xml:space="preserve">LB </t>
        </is>
      </c>
      <c r="S977" t="n">
        <v>6</v>
      </c>
      <c r="T977" t="n">
        <v>6</v>
      </c>
      <c r="U977" t="inlineStr">
        <is>
          <t>2001-09-08</t>
        </is>
      </c>
      <c r="V977" t="inlineStr">
        <is>
          <t>2001-09-08</t>
        </is>
      </c>
      <c r="W977" t="inlineStr">
        <is>
          <t>1997-10-15</t>
        </is>
      </c>
      <c r="X977" t="inlineStr">
        <is>
          <t>1997-10-15</t>
        </is>
      </c>
      <c r="Y977" t="n">
        <v>178</v>
      </c>
      <c r="Z977" t="n">
        <v>176</v>
      </c>
      <c r="AA977" t="n">
        <v>176</v>
      </c>
      <c r="AB977" t="n">
        <v>2</v>
      </c>
      <c r="AC977" t="n">
        <v>2</v>
      </c>
      <c r="AD977" t="n">
        <v>6</v>
      </c>
      <c r="AE977" t="n">
        <v>6</v>
      </c>
      <c r="AF977" t="n">
        <v>4</v>
      </c>
      <c r="AG977" t="n">
        <v>4</v>
      </c>
      <c r="AH977" t="n">
        <v>1</v>
      </c>
      <c r="AI977" t="n">
        <v>1</v>
      </c>
      <c r="AJ977" t="n">
        <v>3</v>
      </c>
      <c r="AK977" t="n">
        <v>3</v>
      </c>
      <c r="AL977" t="n">
        <v>1</v>
      </c>
      <c r="AM977" t="n">
        <v>1</v>
      </c>
      <c r="AN977" t="n">
        <v>0</v>
      </c>
      <c r="AO977" t="n">
        <v>0</v>
      </c>
      <c r="AP977" t="inlineStr">
        <is>
          <t>No</t>
        </is>
      </c>
      <c r="AQ977" t="inlineStr">
        <is>
          <t>No</t>
        </is>
      </c>
      <c r="AS977">
        <f>HYPERLINK("https://creighton-primo.hosted.exlibrisgroup.com/primo-explore/search?tab=default_tab&amp;search_scope=EVERYTHING&amp;vid=01CRU&amp;lang=en_US&amp;offset=0&amp;query=any,contains,991002842829702656","Catalog Record")</f>
        <v/>
      </c>
      <c r="AT977">
        <f>HYPERLINK("http://www.worldcat.org/oclc/37451833","WorldCat Record")</f>
        <v/>
      </c>
      <c r="AU977" t="inlineStr">
        <is>
          <t>617450:eng</t>
        </is>
      </c>
      <c r="AV977" t="inlineStr">
        <is>
          <t>37451833</t>
        </is>
      </c>
      <c r="AW977" t="inlineStr">
        <is>
          <t>991002842829702656</t>
        </is>
      </c>
      <c r="AX977" t="inlineStr">
        <is>
          <t>991002842829702656</t>
        </is>
      </c>
      <c r="AY977" t="inlineStr">
        <is>
          <t>2260345600002656</t>
        </is>
      </c>
      <c r="AZ977" t="inlineStr">
        <is>
          <t>BOOK</t>
        </is>
      </c>
      <c r="BB977" t="inlineStr">
        <is>
          <t>9780810618800</t>
        </is>
      </c>
      <c r="BC977" t="inlineStr">
        <is>
          <t>32285003255378</t>
        </is>
      </c>
      <c r="BD977" t="inlineStr">
        <is>
          <t>893233496</t>
        </is>
      </c>
    </row>
    <row r="978">
      <c r="A978" t="inlineStr">
        <is>
          <t>No</t>
        </is>
      </c>
      <c r="B978" t="inlineStr">
        <is>
          <t>LB1775.2 .S65 2004</t>
        </is>
      </c>
      <c r="C978" t="inlineStr">
        <is>
          <t>0                      LB 1775200S  65          2004</t>
        </is>
      </c>
      <c r="D978" t="inlineStr">
        <is>
          <t>Q &amp; A : the most provocative questions asked of education professionals today and how to answer them / David L. Smith &amp; Lynn Coffin.</t>
        </is>
      </c>
      <c r="F978" t="inlineStr">
        <is>
          <t>No</t>
        </is>
      </c>
      <c r="G978" t="inlineStr">
        <is>
          <t>1</t>
        </is>
      </c>
      <c r="H978" t="inlineStr">
        <is>
          <t>No</t>
        </is>
      </c>
      <c r="I978" t="inlineStr">
        <is>
          <t>No</t>
        </is>
      </c>
      <c r="J978" t="inlineStr">
        <is>
          <t>0</t>
        </is>
      </c>
      <c r="K978" t="inlineStr">
        <is>
          <t>Smith, David L., 1946-</t>
        </is>
      </c>
      <c r="L978" t="inlineStr">
        <is>
          <t>Washington, D.C. : NEA Professional Library, 2004.</t>
        </is>
      </c>
      <c r="M978" t="inlineStr">
        <is>
          <t>2004</t>
        </is>
      </c>
      <c r="N978" t="inlineStr">
        <is>
          <t>1st ed.</t>
        </is>
      </c>
      <c r="O978" t="inlineStr">
        <is>
          <t>eng</t>
        </is>
      </c>
      <c r="P978" t="inlineStr">
        <is>
          <t>dcu</t>
        </is>
      </c>
      <c r="R978" t="inlineStr">
        <is>
          <t xml:space="preserve">LB </t>
        </is>
      </c>
      <c r="S978" t="n">
        <v>7</v>
      </c>
      <c r="T978" t="n">
        <v>7</v>
      </c>
      <c r="U978" t="inlineStr">
        <is>
          <t>2007-04-13</t>
        </is>
      </c>
      <c r="V978" t="inlineStr">
        <is>
          <t>2007-04-13</t>
        </is>
      </c>
      <c r="W978" t="inlineStr">
        <is>
          <t>2005-04-26</t>
        </is>
      </c>
      <c r="X978" t="inlineStr">
        <is>
          <t>2005-04-26</t>
        </is>
      </c>
      <c r="Y978" t="n">
        <v>178</v>
      </c>
      <c r="Z978" t="n">
        <v>171</v>
      </c>
      <c r="AA978" t="n">
        <v>183</v>
      </c>
      <c r="AB978" t="n">
        <v>3</v>
      </c>
      <c r="AC978" t="n">
        <v>3</v>
      </c>
      <c r="AD978" t="n">
        <v>8</v>
      </c>
      <c r="AE978" t="n">
        <v>9</v>
      </c>
      <c r="AF978" t="n">
        <v>4</v>
      </c>
      <c r="AG978" t="n">
        <v>5</v>
      </c>
      <c r="AH978" t="n">
        <v>1</v>
      </c>
      <c r="AI978" t="n">
        <v>1</v>
      </c>
      <c r="AJ978" t="n">
        <v>3</v>
      </c>
      <c r="AK978" t="n">
        <v>4</v>
      </c>
      <c r="AL978" t="n">
        <v>2</v>
      </c>
      <c r="AM978" t="n">
        <v>2</v>
      </c>
      <c r="AN978" t="n">
        <v>0</v>
      </c>
      <c r="AO978" t="n">
        <v>0</v>
      </c>
      <c r="AP978" t="inlineStr">
        <is>
          <t>No</t>
        </is>
      </c>
      <c r="AQ978" t="inlineStr">
        <is>
          <t>No</t>
        </is>
      </c>
      <c r="AS978">
        <f>HYPERLINK("https://creighton-primo.hosted.exlibrisgroup.com/primo-explore/search?tab=default_tab&amp;search_scope=EVERYTHING&amp;vid=01CRU&amp;lang=en_US&amp;offset=0&amp;query=any,contains,991004518919702656","Catalog Record")</f>
        <v/>
      </c>
      <c r="AT978">
        <f>HYPERLINK("http://www.worldcat.org/oclc/57170103","WorldCat Record")</f>
        <v/>
      </c>
      <c r="AU978" t="inlineStr">
        <is>
          <t>17513533:eng</t>
        </is>
      </c>
      <c r="AV978" t="inlineStr">
        <is>
          <t>57170103</t>
        </is>
      </c>
      <c r="AW978" t="inlineStr">
        <is>
          <t>991004518919702656</t>
        </is>
      </c>
      <c r="AX978" t="inlineStr">
        <is>
          <t>991004518919702656</t>
        </is>
      </c>
      <c r="AY978" t="inlineStr">
        <is>
          <t>2258775510002656</t>
        </is>
      </c>
      <c r="AZ978" t="inlineStr">
        <is>
          <t>BOOK</t>
        </is>
      </c>
      <c r="BC978" t="inlineStr">
        <is>
          <t>32285005033559</t>
        </is>
      </c>
      <c r="BD978" t="inlineStr">
        <is>
          <t>893331695</t>
        </is>
      </c>
    </row>
    <row r="979">
      <c r="A979" t="inlineStr">
        <is>
          <t>No</t>
        </is>
      </c>
      <c r="B979" t="inlineStr">
        <is>
          <t>LB1776 .O46</t>
        </is>
      </c>
      <c r="C979" t="inlineStr">
        <is>
          <t>0                      LB 1776000O  46</t>
        </is>
      </c>
      <c r="D979" t="inlineStr">
        <is>
          <t>Classroom-tested techniques for elementary teachers.</t>
        </is>
      </c>
      <c r="F979" t="inlineStr">
        <is>
          <t>No</t>
        </is>
      </c>
      <c r="G979" t="inlineStr">
        <is>
          <t>1</t>
        </is>
      </c>
      <c r="H979" t="inlineStr">
        <is>
          <t>No</t>
        </is>
      </c>
      <c r="I979" t="inlineStr">
        <is>
          <t>No</t>
        </is>
      </c>
      <c r="J979" t="inlineStr">
        <is>
          <t>0</t>
        </is>
      </c>
      <c r="K979" t="inlineStr">
        <is>
          <t>Olson, Lynn.</t>
        </is>
      </c>
      <c r="L979" t="inlineStr">
        <is>
          <t>New York, Center for Applied Research in Education [1971]</t>
        </is>
      </c>
      <c r="M979" t="inlineStr">
        <is>
          <t>1971</t>
        </is>
      </c>
      <c r="O979" t="inlineStr">
        <is>
          <t>eng</t>
        </is>
      </c>
      <c r="P979" t="inlineStr">
        <is>
          <t>nyu</t>
        </is>
      </c>
      <c r="R979" t="inlineStr">
        <is>
          <t xml:space="preserve">LB </t>
        </is>
      </c>
      <c r="S979" t="n">
        <v>3</v>
      </c>
      <c r="T979" t="n">
        <v>3</v>
      </c>
      <c r="U979" t="inlineStr">
        <is>
          <t>2009-02-24</t>
        </is>
      </c>
      <c r="V979" t="inlineStr">
        <is>
          <t>2009-02-24</t>
        </is>
      </c>
      <c r="W979" t="inlineStr">
        <is>
          <t>1997-05-15</t>
        </is>
      </c>
      <c r="X979" t="inlineStr">
        <is>
          <t>1997-05-15</t>
        </is>
      </c>
      <c r="Y979" t="n">
        <v>201</v>
      </c>
      <c r="Z979" t="n">
        <v>184</v>
      </c>
      <c r="AA979" t="n">
        <v>185</v>
      </c>
      <c r="AB979" t="n">
        <v>2</v>
      </c>
      <c r="AC979" t="n">
        <v>2</v>
      </c>
      <c r="AD979" t="n">
        <v>6</v>
      </c>
      <c r="AE979" t="n">
        <v>6</v>
      </c>
      <c r="AF979" t="n">
        <v>1</v>
      </c>
      <c r="AG979" t="n">
        <v>1</v>
      </c>
      <c r="AH979" t="n">
        <v>2</v>
      </c>
      <c r="AI979" t="n">
        <v>2</v>
      </c>
      <c r="AJ979" t="n">
        <v>3</v>
      </c>
      <c r="AK979" t="n">
        <v>3</v>
      </c>
      <c r="AL979" t="n">
        <v>1</v>
      </c>
      <c r="AM979" t="n">
        <v>1</v>
      </c>
      <c r="AN979" t="n">
        <v>0</v>
      </c>
      <c r="AO979" t="n">
        <v>0</v>
      </c>
      <c r="AP979" t="inlineStr">
        <is>
          <t>No</t>
        </is>
      </c>
      <c r="AQ979" t="inlineStr">
        <is>
          <t>Yes</t>
        </is>
      </c>
      <c r="AR979">
        <f>HYPERLINK("http://catalog.hathitrust.org/Record/001068079","HathiTrust Record")</f>
        <v/>
      </c>
      <c r="AS979">
        <f>HYPERLINK("https://creighton-primo.hosted.exlibrisgroup.com/primo-explore/search?tab=default_tab&amp;search_scope=EVERYTHING&amp;vid=01CRU&amp;lang=en_US&amp;offset=0&amp;query=any,contains,991001746699702656","Catalog Record")</f>
        <v/>
      </c>
      <c r="AT979">
        <f>HYPERLINK("http://www.worldcat.org/oclc/235461","WorldCat Record")</f>
        <v/>
      </c>
      <c r="AU979" t="inlineStr">
        <is>
          <t>1367073:eng</t>
        </is>
      </c>
      <c r="AV979" t="inlineStr">
        <is>
          <t>235461</t>
        </is>
      </c>
      <c r="AW979" t="inlineStr">
        <is>
          <t>991001746699702656</t>
        </is>
      </c>
      <c r="AX979" t="inlineStr">
        <is>
          <t>991001746699702656</t>
        </is>
      </c>
      <c r="AY979" t="inlineStr">
        <is>
          <t>2258226030002656</t>
        </is>
      </c>
      <c r="AZ979" t="inlineStr">
        <is>
          <t>BOOK</t>
        </is>
      </c>
      <c r="BC979" t="inlineStr">
        <is>
          <t>32285002667748</t>
        </is>
      </c>
      <c r="BD979" t="inlineStr">
        <is>
          <t>893522796</t>
        </is>
      </c>
    </row>
    <row r="980">
      <c r="A980" t="inlineStr">
        <is>
          <t>No</t>
        </is>
      </c>
      <c r="B980" t="inlineStr">
        <is>
          <t>LB1776 .P75 1987</t>
        </is>
      </c>
      <c r="C980" t="inlineStr">
        <is>
          <t>0                      LB 1776000P  75          1987</t>
        </is>
      </c>
      <c r="D980" t="inlineStr">
        <is>
          <t>The Primary school teacher / edited by Sara Delamont.</t>
        </is>
      </c>
      <c r="F980" t="inlineStr">
        <is>
          <t>No</t>
        </is>
      </c>
      <c r="G980" t="inlineStr">
        <is>
          <t>1</t>
        </is>
      </c>
      <c r="H980" t="inlineStr">
        <is>
          <t>No</t>
        </is>
      </c>
      <c r="I980" t="inlineStr">
        <is>
          <t>No</t>
        </is>
      </c>
      <c r="J980" t="inlineStr">
        <is>
          <t>0</t>
        </is>
      </c>
      <c r="L980" t="inlineStr">
        <is>
          <t>London ; New York : Falmer Press, 1987.</t>
        </is>
      </c>
      <c r="M980" t="inlineStr">
        <is>
          <t>1987</t>
        </is>
      </c>
      <c r="O980" t="inlineStr">
        <is>
          <t>eng</t>
        </is>
      </c>
      <c r="P980" t="inlineStr">
        <is>
          <t>enk</t>
        </is>
      </c>
      <c r="Q980" t="inlineStr">
        <is>
          <t>Contemporary analysis in education series ; 18</t>
        </is>
      </c>
      <c r="R980" t="inlineStr">
        <is>
          <t xml:space="preserve">LB </t>
        </is>
      </c>
      <c r="S980" t="n">
        <v>3</v>
      </c>
      <c r="T980" t="n">
        <v>3</v>
      </c>
      <c r="U980" t="inlineStr">
        <is>
          <t>2000-02-16</t>
        </is>
      </c>
      <c r="V980" t="inlineStr">
        <is>
          <t>2000-02-16</t>
        </is>
      </c>
      <c r="W980" t="inlineStr">
        <is>
          <t>1993-02-02</t>
        </is>
      </c>
      <c r="X980" t="inlineStr">
        <is>
          <t>1993-02-02</t>
        </is>
      </c>
      <c r="Y980" t="n">
        <v>213</v>
      </c>
      <c r="Z980" t="n">
        <v>96</v>
      </c>
      <c r="AA980" t="n">
        <v>96</v>
      </c>
      <c r="AB980" t="n">
        <v>1</v>
      </c>
      <c r="AC980" t="n">
        <v>1</v>
      </c>
      <c r="AD980" t="n">
        <v>5</v>
      </c>
      <c r="AE980" t="n">
        <v>5</v>
      </c>
      <c r="AF980" t="n">
        <v>1</v>
      </c>
      <c r="AG980" t="n">
        <v>1</v>
      </c>
      <c r="AH980" t="n">
        <v>1</v>
      </c>
      <c r="AI980" t="n">
        <v>1</v>
      </c>
      <c r="AJ980" t="n">
        <v>4</v>
      </c>
      <c r="AK980" t="n">
        <v>4</v>
      </c>
      <c r="AL980" t="n">
        <v>0</v>
      </c>
      <c r="AM980" t="n">
        <v>0</v>
      </c>
      <c r="AN980" t="n">
        <v>0</v>
      </c>
      <c r="AO980" t="n">
        <v>0</v>
      </c>
      <c r="AP980" t="inlineStr">
        <is>
          <t>No</t>
        </is>
      </c>
      <c r="AQ980" t="inlineStr">
        <is>
          <t>No</t>
        </is>
      </c>
      <c r="AS980">
        <f>HYPERLINK("https://creighton-primo.hosted.exlibrisgroup.com/primo-explore/search?tab=default_tab&amp;search_scope=EVERYTHING&amp;vid=01CRU&amp;lang=en_US&amp;offset=0&amp;query=any,contains,991001187969702656","Catalog Record")</f>
        <v/>
      </c>
      <c r="AT980">
        <f>HYPERLINK("http://www.worldcat.org/oclc/17231248","WorldCat Record")</f>
        <v/>
      </c>
      <c r="AU980" t="inlineStr">
        <is>
          <t>15927809:eng</t>
        </is>
      </c>
      <c r="AV980" t="inlineStr">
        <is>
          <t>17231248</t>
        </is>
      </c>
      <c r="AW980" t="inlineStr">
        <is>
          <t>991001187969702656</t>
        </is>
      </c>
      <c r="AX980" t="inlineStr">
        <is>
          <t>991001187969702656</t>
        </is>
      </c>
      <c r="AY980" t="inlineStr">
        <is>
          <t>2272548750002656</t>
        </is>
      </c>
      <c r="AZ980" t="inlineStr">
        <is>
          <t>BOOK</t>
        </is>
      </c>
      <c r="BB980" t="inlineStr">
        <is>
          <t>9781850002826</t>
        </is>
      </c>
      <c r="BC980" t="inlineStr">
        <is>
          <t>32285001481752</t>
        </is>
      </c>
      <c r="BD980" t="inlineStr">
        <is>
          <t>893709067</t>
        </is>
      </c>
    </row>
    <row r="981">
      <c r="A981" t="inlineStr">
        <is>
          <t>No</t>
        </is>
      </c>
      <c r="B981" t="inlineStr">
        <is>
          <t>LB1776 .R3</t>
        </is>
      </c>
      <c r="C981" t="inlineStr">
        <is>
          <t>0                      LB 1776000R  3</t>
        </is>
      </c>
      <c r="D981" t="inlineStr">
        <is>
          <t>Teaching in the new elementary school [by] William B. Ragan, John H. Wilson [and] Tillman J. Ragan.</t>
        </is>
      </c>
      <c r="F981" t="inlineStr">
        <is>
          <t>No</t>
        </is>
      </c>
      <c r="G981" t="inlineStr">
        <is>
          <t>1</t>
        </is>
      </c>
      <c r="H981" t="inlineStr">
        <is>
          <t>No</t>
        </is>
      </c>
      <c r="I981" t="inlineStr">
        <is>
          <t>No</t>
        </is>
      </c>
      <c r="J981" t="inlineStr">
        <is>
          <t>0</t>
        </is>
      </c>
      <c r="K981" t="inlineStr">
        <is>
          <t>Ragan, William B. (William Burk), 1896-1973.</t>
        </is>
      </c>
      <c r="L981" t="inlineStr">
        <is>
          <t>New York, Holt, Rinehart and Winston [1972]</t>
        </is>
      </c>
      <c r="M981" t="inlineStr">
        <is>
          <t>1972</t>
        </is>
      </c>
      <c r="O981" t="inlineStr">
        <is>
          <t>eng</t>
        </is>
      </c>
      <c r="P981" t="inlineStr">
        <is>
          <t>nyu</t>
        </is>
      </c>
      <c r="R981" t="inlineStr">
        <is>
          <t xml:space="preserve">LB </t>
        </is>
      </c>
      <c r="S981" t="n">
        <v>3</v>
      </c>
      <c r="T981" t="n">
        <v>3</v>
      </c>
      <c r="U981" t="inlineStr">
        <is>
          <t>2009-04-07</t>
        </is>
      </c>
      <c r="V981" t="inlineStr">
        <is>
          <t>2009-04-07</t>
        </is>
      </c>
      <c r="W981" t="inlineStr">
        <is>
          <t>1997-05-15</t>
        </is>
      </c>
      <c r="X981" t="inlineStr">
        <is>
          <t>1997-05-15</t>
        </is>
      </c>
      <c r="Y981" t="n">
        <v>272</v>
      </c>
      <c r="Z981" t="n">
        <v>230</v>
      </c>
      <c r="AA981" t="n">
        <v>233</v>
      </c>
      <c r="AB981" t="n">
        <v>2</v>
      </c>
      <c r="AC981" t="n">
        <v>2</v>
      </c>
      <c r="AD981" t="n">
        <v>12</v>
      </c>
      <c r="AE981" t="n">
        <v>12</v>
      </c>
      <c r="AF981" t="n">
        <v>5</v>
      </c>
      <c r="AG981" t="n">
        <v>5</v>
      </c>
      <c r="AH981" t="n">
        <v>2</v>
      </c>
      <c r="AI981" t="n">
        <v>2</v>
      </c>
      <c r="AJ981" t="n">
        <v>9</v>
      </c>
      <c r="AK981" t="n">
        <v>9</v>
      </c>
      <c r="AL981" t="n">
        <v>1</v>
      </c>
      <c r="AM981" t="n">
        <v>1</v>
      </c>
      <c r="AN981" t="n">
        <v>0</v>
      </c>
      <c r="AO981" t="n">
        <v>0</v>
      </c>
      <c r="AP981" t="inlineStr">
        <is>
          <t>No</t>
        </is>
      </c>
      <c r="AQ981" t="inlineStr">
        <is>
          <t>Yes</t>
        </is>
      </c>
      <c r="AR981">
        <f>HYPERLINK("http://catalog.hathitrust.org/Record/001068080","HathiTrust Record")</f>
        <v/>
      </c>
      <c r="AS981">
        <f>HYPERLINK("https://creighton-primo.hosted.exlibrisgroup.com/primo-explore/search?tab=default_tab&amp;search_scope=EVERYTHING&amp;vid=01CRU&amp;lang=en_US&amp;offset=0&amp;query=any,contains,991002250649702656","Catalog Record")</f>
        <v/>
      </c>
      <c r="AT981">
        <f>HYPERLINK("http://www.worldcat.org/oclc/298718","WorldCat Record")</f>
        <v/>
      </c>
      <c r="AU981" t="inlineStr">
        <is>
          <t>156653531:eng</t>
        </is>
      </c>
      <c r="AV981" t="inlineStr">
        <is>
          <t>298718</t>
        </is>
      </c>
      <c r="AW981" t="inlineStr">
        <is>
          <t>991002250649702656</t>
        </is>
      </c>
      <c r="AX981" t="inlineStr">
        <is>
          <t>991002250649702656</t>
        </is>
      </c>
      <c r="AY981" t="inlineStr">
        <is>
          <t>2264938660002656</t>
        </is>
      </c>
      <c r="AZ981" t="inlineStr">
        <is>
          <t>BOOK</t>
        </is>
      </c>
      <c r="BB981" t="inlineStr">
        <is>
          <t>9780030853593</t>
        </is>
      </c>
      <c r="BC981" t="inlineStr">
        <is>
          <t>32285002667755</t>
        </is>
      </c>
      <c r="BD981" t="inlineStr">
        <is>
          <t>893427391</t>
        </is>
      </c>
    </row>
    <row r="982">
      <c r="A982" t="inlineStr">
        <is>
          <t>No</t>
        </is>
      </c>
      <c r="B982" t="inlineStr">
        <is>
          <t>LB1778 .E33</t>
        </is>
      </c>
      <c r="C982" t="inlineStr">
        <is>
          <t>0                      LB 1778000E  33</t>
        </is>
      </c>
      <c r="D982" t="inlineStr">
        <is>
          <t>Career development of the effective college teacher / by Kenneth E. Eble and the Conference on Career Development.</t>
        </is>
      </c>
      <c r="F982" t="inlineStr">
        <is>
          <t>No</t>
        </is>
      </c>
      <c r="G982" t="inlineStr">
        <is>
          <t>1</t>
        </is>
      </c>
      <c r="H982" t="inlineStr">
        <is>
          <t>No</t>
        </is>
      </c>
      <c r="I982" t="inlineStr">
        <is>
          <t>No</t>
        </is>
      </c>
      <c r="J982" t="inlineStr">
        <is>
          <t>0</t>
        </is>
      </c>
      <c r="K982" t="inlineStr">
        <is>
          <t>Eble, Kenneth E. (Kenneth Eugene)</t>
        </is>
      </c>
      <c r="L982" t="inlineStr">
        <is>
          <t>Washington : American Association of University Professors, 1971.</t>
        </is>
      </c>
      <c r="M982" t="inlineStr">
        <is>
          <t>1971</t>
        </is>
      </c>
      <c r="O982" t="inlineStr">
        <is>
          <t>eng</t>
        </is>
      </c>
      <c r="P982" t="inlineStr">
        <is>
          <t>dcu</t>
        </is>
      </c>
      <c r="R982" t="inlineStr">
        <is>
          <t xml:space="preserve">LB </t>
        </is>
      </c>
      <c r="S982" t="n">
        <v>3</v>
      </c>
      <c r="T982" t="n">
        <v>3</v>
      </c>
      <c r="U982" t="inlineStr">
        <is>
          <t>2003-02-11</t>
        </is>
      </c>
      <c r="V982" t="inlineStr">
        <is>
          <t>2003-02-11</t>
        </is>
      </c>
      <c r="W982" t="inlineStr">
        <is>
          <t>1993-02-02</t>
        </is>
      </c>
      <c r="X982" t="inlineStr">
        <is>
          <t>1993-02-02</t>
        </is>
      </c>
      <c r="Y982" t="n">
        <v>257</v>
      </c>
      <c r="Z982" t="n">
        <v>244</v>
      </c>
      <c r="AA982" t="n">
        <v>246</v>
      </c>
      <c r="AB982" t="n">
        <v>2</v>
      </c>
      <c r="AC982" t="n">
        <v>2</v>
      </c>
      <c r="AD982" t="n">
        <v>9</v>
      </c>
      <c r="AE982" t="n">
        <v>9</v>
      </c>
      <c r="AF982" t="n">
        <v>3</v>
      </c>
      <c r="AG982" t="n">
        <v>3</v>
      </c>
      <c r="AH982" t="n">
        <v>1</v>
      </c>
      <c r="AI982" t="n">
        <v>1</v>
      </c>
      <c r="AJ982" t="n">
        <v>5</v>
      </c>
      <c r="AK982" t="n">
        <v>5</v>
      </c>
      <c r="AL982" t="n">
        <v>1</v>
      </c>
      <c r="AM982" t="n">
        <v>1</v>
      </c>
      <c r="AN982" t="n">
        <v>0</v>
      </c>
      <c r="AO982" t="n">
        <v>0</v>
      </c>
      <c r="AP982" t="inlineStr">
        <is>
          <t>No</t>
        </is>
      </c>
      <c r="AQ982" t="inlineStr">
        <is>
          <t>Yes</t>
        </is>
      </c>
      <c r="AR982">
        <f>HYPERLINK("http://catalog.hathitrust.org/Record/005790789","HathiTrust Record")</f>
        <v/>
      </c>
      <c r="AS982">
        <f>HYPERLINK("https://creighton-primo.hosted.exlibrisgroup.com/primo-explore/search?tab=default_tab&amp;search_scope=EVERYTHING&amp;vid=01CRU&amp;lang=en_US&amp;offset=0&amp;query=any,contains,991002966029702656","Catalog Record")</f>
        <v/>
      </c>
      <c r="AT982">
        <f>HYPERLINK("http://www.worldcat.org/oclc/545941","WorldCat Record")</f>
        <v/>
      </c>
      <c r="AU982" t="inlineStr">
        <is>
          <t>1578120:eng</t>
        </is>
      </c>
      <c r="AV982" t="inlineStr">
        <is>
          <t>545941</t>
        </is>
      </c>
      <c r="AW982" t="inlineStr">
        <is>
          <t>991002966029702656</t>
        </is>
      </c>
      <c r="AX982" t="inlineStr">
        <is>
          <t>991002966029702656</t>
        </is>
      </c>
      <c r="AY982" t="inlineStr">
        <is>
          <t>2264609050002656</t>
        </is>
      </c>
      <c r="AZ982" t="inlineStr">
        <is>
          <t>BOOK</t>
        </is>
      </c>
      <c r="BC982" t="inlineStr">
        <is>
          <t>32285001481786</t>
        </is>
      </c>
      <c r="BD982" t="inlineStr">
        <is>
          <t>893809757</t>
        </is>
      </c>
    </row>
    <row r="983">
      <c r="A983" t="inlineStr">
        <is>
          <t>No</t>
        </is>
      </c>
      <c r="B983" t="inlineStr">
        <is>
          <t>LB1778.2 .A53 1992</t>
        </is>
      </c>
      <c r="C983" t="inlineStr">
        <is>
          <t>0                      LB 1778200A  53          1992</t>
        </is>
      </c>
      <c r="D983" t="inlineStr">
        <is>
          <t>Impostors in the temple / Martin Anderson.</t>
        </is>
      </c>
      <c r="F983" t="inlineStr">
        <is>
          <t>No</t>
        </is>
      </c>
      <c r="G983" t="inlineStr">
        <is>
          <t>1</t>
        </is>
      </c>
      <c r="H983" t="inlineStr">
        <is>
          <t>No</t>
        </is>
      </c>
      <c r="I983" t="inlineStr">
        <is>
          <t>No</t>
        </is>
      </c>
      <c r="J983" t="inlineStr">
        <is>
          <t>0</t>
        </is>
      </c>
      <c r="K983" t="inlineStr">
        <is>
          <t>Anderson, Martin, 1936-2015.</t>
        </is>
      </c>
      <c r="L983" t="inlineStr">
        <is>
          <t>New York : Simon &amp; Schuster, c1992.</t>
        </is>
      </c>
      <c r="M983" t="inlineStr">
        <is>
          <t>1992</t>
        </is>
      </c>
      <c r="O983" t="inlineStr">
        <is>
          <t>eng</t>
        </is>
      </c>
      <c r="P983" t="inlineStr">
        <is>
          <t>nyu</t>
        </is>
      </c>
      <c r="R983" t="inlineStr">
        <is>
          <t xml:space="preserve">LB </t>
        </is>
      </c>
      <c r="S983" t="n">
        <v>9</v>
      </c>
      <c r="T983" t="n">
        <v>9</v>
      </c>
      <c r="U983" t="inlineStr">
        <is>
          <t>2007-10-10</t>
        </is>
      </c>
      <c r="V983" t="inlineStr">
        <is>
          <t>2007-10-10</t>
        </is>
      </c>
      <c r="W983" t="inlineStr">
        <is>
          <t>1992-10-08</t>
        </is>
      </c>
      <c r="X983" t="inlineStr">
        <is>
          <t>1992-10-08</t>
        </is>
      </c>
      <c r="Y983" t="n">
        <v>837</v>
      </c>
      <c r="Z983" t="n">
        <v>776</v>
      </c>
      <c r="AA983" t="n">
        <v>785</v>
      </c>
      <c r="AB983" t="n">
        <v>4</v>
      </c>
      <c r="AC983" t="n">
        <v>4</v>
      </c>
      <c r="AD983" t="n">
        <v>32</v>
      </c>
      <c r="AE983" t="n">
        <v>32</v>
      </c>
      <c r="AF983" t="n">
        <v>13</v>
      </c>
      <c r="AG983" t="n">
        <v>13</v>
      </c>
      <c r="AH983" t="n">
        <v>7</v>
      </c>
      <c r="AI983" t="n">
        <v>7</v>
      </c>
      <c r="AJ983" t="n">
        <v>14</v>
      </c>
      <c r="AK983" t="n">
        <v>14</v>
      </c>
      <c r="AL983" t="n">
        <v>3</v>
      </c>
      <c r="AM983" t="n">
        <v>3</v>
      </c>
      <c r="AN983" t="n">
        <v>2</v>
      </c>
      <c r="AO983" t="n">
        <v>2</v>
      </c>
      <c r="AP983" t="inlineStr">
        <is>
          <t>No</t>
        </is>
      </c>
      <c r="AQ983" t="inlineStr">
        <is>
          <t>Yes</t>
        </is>
      </c>
      <c r="AR983">
        <f>HYPERLINK("http://catalog.hathitrust.org/Record/002561157","HathiTrust Record")</f>
        <v/>
      </c>
      <c r="AS983">
        <f>HYPERLINK("https://creighton-primo.hosted.exlibrisgroup.com/primo-explore/search?tab=default_tab&amp;search_scope=EVERYTHING&amp;vid=01CRU&amp;lang=en_US&amp;offset=0&amp;query=any,contains,991002012589702656","Catalog Record")</f>
        <v/>
      </c>
      <c r="AT983">
        <f>HYPERLINK("http://www.worldcat.org/oclc/25628658","WorldCat Record")</f>
        <v/>
      </c>
      <c r="AU983" t="inlineStr">
        <is>
          <t>28278804:eng</t>
        </is>
      </c>
      <c r="AV983" t="inlineStr">
        <is>
          <t>25628658</t>
        </is>
      </c>
      <c r="AW983" t="inlineStr">
        <is>
          <t>991002012589702656</t>
        </is>
      </c>
      <c r="AX983" t="inlineStr">
        <is>
          <t>991002012589702656</t>
        </is>
      </c>
      <c r="AY983" t="inlineStr">
        <is>
          <t>2263444950002656</t>
        </is>
      </c>
      <c r="AZ983" t="inlineStr">
        <is>
          <t>BOOK</t>
        </is>
      </c>
      <c r="BB983" t="inlineStr">
        <is>
          <t>9780671709150</t>
        </is>
      </c>
      <c r="BC983" t="inlineStr">
        <is>
          <t>32285001316347</t>
        </is>
      </c>
      <c r="BD983" t="inlineStr">
        <is>
          <t>893427108</t>
        </is>
      </c>
    </row>
    <row r="984">
      <c r="A984" t="inlineStr">
        <is>
          <t>No</t>
        </is>
      </c>
      <c r="B984" t="inlineStr">
        <is>
          <t>LB1778.2 .H88 1993</t>
        </is>
      </c>
      <c r="C984" t="inlineStr">
        <is>
          <t>0                      LB 1778200H  88          1993</t>
        </is>
      </c>
      <c r="D984" t="inlineStr">
        <is>
          <t>Using cases to improve college teaching : a guide to more reflective practice / by Pat Hutchings.</t>
        </is>
      </c>
      <c r="F984" t="inlineStr">
        <is>
          <t>No</t>
        </is>
      </c>
      <c r="G984" t="inlineStr">
        <is>
          <t>1</t>
        </is>
      </c>
      <c r="H984" t="inlineStr">
        <is>
          <t>No</t>
        </is>
      </c>
      <c r="I984" t="inlineStr">
        <is>
          <t>No</t>
        </is>
      </c>
      <c r="J984" t="inlineStr">
        <is>
          <t>0</t>
        </is>
      </c>
      <c r="K984" t="inlineStr">
        <is>
          <t>Hutchings, Pat.</t>
        </is>
      </c>
      <c r="L984" t="inlineStr">
        <is>
          <t>Washington, DC : American Association for Higher Education, c1993.</t>
        </is>
      </c>
      <c r="M984" t="inlineStr">
        <is>
          <t>1993</t>
        </is>
      </c>
      <c r="O984" t="inlineStr">
        <is>
          <t>eng</t>
        </is>
      </c>
      <c r="P984" t="inlineStr">
        <is>
          <t>dcu</t>
        </is>
      </c>
      <c r="R984" t="inlineStr">
        <is>
          <t xml:space="preserve">LB </t>
        </is>
      </c>
      <c r="S984" t="n">
        <v>1</v>
      </c>
      <c r="T984" t="n">
        <v>1</v>
      </c>
      <c r="U984" t="inlineStr">
        <is>
          <t>2003-12-01</t>
        </is>
      </c>
      <c r="V984" t="inlineStr">
        <is>
          <t>2003-12-01</t>
        </is>
      </c>
      <c r="W984" t="inlineStr">
        <is>
          <t>2003-12-01</t>
        </is>
      </c>
      <c r="X984" t="inlineStr">
        <is>
          <t>2003-12-01</t>
        </is>
      </c>
      <c r="Y984" t="n">
        <v>209</v>
      </c>
      <c r="Z984" t="n">
        <v>185</v>
      </c>
      <c r="AA984" t="n">
        <v>193</v>
      </c>
      <c r="AB984" t="n">
        <v>2</v>
      </c>
      <c r="AC984" t="n">
        <v>2</v>
      </c>
      <c r="AD984" t="n">
        <v>12</v>
      </c>
      <c r="AE984" t="n">
        <v>12</v>
      </c>
      <c r="AF984" t="n">
        <v>5</v>
      </c>
      <c r="AG984" t="n">
        <v>5</v>
      </c>
      <c r="AH984" t="n">
        <v>4</v>
      </c>
      <c r="AI984" t="n">
        <v>4</v>
      </c>
      <c r="AJ984" t="n">
        <v>5</v>
      </c>
      <c r="AK984" t="n">
        <v>5</v>
      </c>
      <c r="AL984" t="n">
        <v>1</v>
      </c>
      <c r="AM984" t="n">
        <v>1</v>
      </c>
      <c r="AN984" t="n">
        <v>0</v>
      </c>
      <c r="AO984" t="n">
        <v>0</v>
      </c>
      <c r="AP984" t="inlineStr">
        <is>
          <t>No</t>
        </is>
      </c>
      <c r="AQ984" t="inlineStr">
        <is>
          <t>Yes</t>
        </is>
      </c>
      <c r="AR984">
        <f>HYPERLINK("http://catalog.hathitrust.org/Record/101980735","HathiTrust Record")</f>
        <v/>
      </c>
      <c r="AS984">
        <f>HYPERLINK("https://creighton-primo.hosted.exlibrisgroup.com/primo-explore/search?tab=default_tab&amp;search_scope=EVERYTHING&amp;vid=01CRU&amp;lang=en_US&amp;offset=0&amp;query=any,contains,991004194209702656","Catalog Record")</f>
        <v/>
      </c>
      <c r="AT984">
        <f>HYPERLINK("http://www.worldcat.org/oclc/29453441","WorldCat Record")</f>
        <v/>
      </c>
      <c r="AU984" t="inlineStr">
        <is>
          <t>311416920:eng</t>
        </is>
      </c>
      <c r="AV984" t="inlineStr">
        <is>
          <t>29453441</t>
        </is>
      </c>
      <c r="AW984" t="inlineStr">
        <is>
          <t>991004194209702656</t>
        </is>
      </c>
      <c r="AX984" t="inlineStr">
        <is>
          <t>991004194209702656</t>
        </is>
      </c>
      <c r="AY984" t="inlineStr">
        <is>
          <t>2261739820002656</t>
        </is>
      </c>
      <c r="AZ984" t="inlineStr">
        <is>
          <t>BOOK</t>
        </is>
      </c>
      <c r="BC984" t="inlineStr">
        <is>
          <t>32285004842497</t>
        </is>
      </c>
      <c r="BD984" t="inlineStr">
        <is>
          <t>893337423</t>
        </is>
      </c>
    </row>
    <row r="985">
      <c r="A985" t="inlineStr">
        <is>
          <t>No</t>
        </is>
      </c>
      <c r="B985" t="inlineStr">
        <is>
          <t>LB2157.A3 A29 1997</t>
        </is>
      </c>
      <c r="C985" t="inlineStr">
        <is>
          <t>0                      LB 2157000A  3                  A  29          1997</t>
        </is>
      </c>
      <c r="D985" t="inlineStr">
        <is>
          <t>Techniques in the clinical supervision of teachers : preservice and inservice applications / Keith A. Acheson, Meredith Damien Gall.</t>
        </is>
      </c>
      <c r="F985" t="inlineStr">
        <is>
          <t>No</t>
        </is>
      </c>
      <c r="G985" t="inlineStr">
        <is>
          <t>1</t>
        </is>
      </c>
      <c r="H985" t="inlineStr">
        <is>
          <t>No</t>
        </is>
      </c>
      <c r="I985" t="inlineStr">
        <is>
          <t>No</t>
        </is>
      </c>
      <c r="J985" t="inlineStr">
        <is>
          <t>0</t>
        </is>
      </c>
      <c r="K985" t="inlineStr">
        <is>
          <t>Acheson, Keith A., 1925-</t>
        </is>
      </c>
      <c r="L985" t="inlineStr">
        <is>
          <t>New York : Longman, c1997.</t>
        </is>
      </c>
      <c r="M985" t="inlineStr">
        <is>
          <t>1997</t>
        </is>
      </c>
      <c r="N985" t="inlineStr">
        <is>
          <t>4th ed.</t>
        </is>
      </c>
      <c r="O985" t="inlineStr">
        <is>
          <t>eng</t>
        </is>
      </c>
      <c r="P985" t="inlineStr">
        <is>
          <t>nyu</t>
        </is>
      </c>
      <c r="R985" t="inlineStr">
        <is>
          <t xml:space="preserve">LB </t>
        </is>
      </c>
      <c r="S985" t="n">
        <v>0</v>
      </c>
      <c r="T985" t="n">
        <v>0</v>
      </c>
      <c r="U985" t="inlineStr">
        <is>
          <t>2001-05-17</t>
        </is>
      </c>
      <c r="V985" t="inlineStr">
        <is>
          <t>2001-05-17</t>
        </is>
      </c>
      <c r="W985" t="inlineStr">
        <is>
          <t>1997-02-14</t>
        </is>
      </c>
      <c r="X985" t="inlineStr">
        <is>
          <t>1997-02-14</t>
        </is>
      </c>
      <c r="Y985" t="n">
        <v>232</v>
      </c>
      <c r="Z985" t="n">
        <v>197</v>
      </c>
      <c r="AA985" t="n">
        <v>725</v>
      </c>
      <c r="AB985" t="n">
        <v>4</v>
      </c>
      <c r="AC985" t="n">
        <v>7</v>
      </c>
      <c r="AD985" t="n">
        <v>8</v>
      </c>
      <c r="AE985" t="n">
        <v>36</v>
      </c>
      <c r="AF985" t="n">
        <v>0</v>
      </c>
      <c r="AG985" t="n">
        <v>17</v>
      </c>
      <c r="AH985" t="n">
        <v>3</v>
      </c>
      <c r="AI985" t="n">
        <v>6</v>
      </c>
      <c r="AJ985" t="n">
        <v>3</v>
      </c>
      <c r="AK985" t="n">
        <v>15</v>
      </c>
      <c r="AL985" t="n">
        <v>3</v>
      </c>
      <c r="AM985" t="n">
        <v>6</v>
      </c>
      <c r="AN985" t="n">
        <v>0</v>
      </c>
      <c r="AO985" t="n">
        <v>0</v>
      </c>
      <c r="AP985" t="inlineStr">
        <is>
          <t>No</t>
        </is>
      </c>
      <c r="AQ985" t="inlineStr">
        <is>
          <t>No</t>
        </is>
      </c>
      <c r="AS985">
        <f>HYPERLINK("https://creighton-primo.hosted.exlibrisgroup.com/primo-explore/search?tab=default_tab&amp;search_scope=EVERYTHING&amp;vid=01CRU&amp;lang=en_US&amp;offset=0&amp;query=any,contains,991002645929702656","Catalog Record")</f>
        <v/>
      </c>
      <c r="AT985">
        <f>HYPERLINK("http://www.worldcat.org/oclc/34618201","WorldCat Record")</f>
        <v/>
      </c>
      <c r="AU985" t="inlineStr">
        <is>
          <t>7349657:eng</t>
        </is>
      </c>
      <c r="AV985" t="inlineStr">
        <is>
          <t>34618201</t>
        </is>
      </c>
      <c r="AW985" t="inlineStr">
        <is>
          <t>991002645929702656</t>
        </is>
      </c>
      <c r="AX985" t="inlineStr">
        <is>
          <t>991002645929702656</t>
        </is>
      </c>
      <c r="AY985" t="inlineStr">
        <is>
          <t>2271988570002656</t>
        </is>
      </c>
      <c r="AZ985" t="inlineStr">
        <is>
          <t>BOOK</t>
        </is>
      </c>
      <c r="BB985" t="inlineStr">
        <is>
          <t>9780801315091</t>
        </is>
      </c>
      <c r="BC985" t="inlineStr">
        <is>
          <t>32285002431533</t>
        </is>
      </c>
      <c r="BD985" t="inlineStr">
        <is>
          <t>893504634</t>
        </is>
      </c>
    </row>
    <row r="986">
      <c r="A986" t="inlineStr">
        <is>
          <t>No</t>
        </is>
      </c>
      <c r="B986" t="inlineStr">
        <is>
          <t>LB2157.A3 M28 1993</t>
        </is>
      </c>
      <c r="C986" t="inlineStr">
        <is>
          <t>0                      LB 2157000A  3                  M  28          1993</t>
        </is>
      </c>
      <c r="D986" t="inlineStr">
        <is>
          <t>Student teaching : early childhood practicum guide / Jeanne M. Machado, Helen Meyer Botnarescue ; contributors, Kathy Kelley, Irene Sterling, Cia McClung.</t>
        </is>
      </c>
      <c r="F986" t="inlineStr">
        <is>
          <t>No</t>
        </is>
      </c>
      <c r="G986" t="inlineStr">
        <is>
          <t>1</t>
        </is>
      </c>
      <c r="H986" t="inlineStr">
        <is>
          <t>No</t>
        </is>
      </c>
      <c r="I986" t="inlineStr">
        <is>
          <t>No</t>
        </is>
      </c>
      <c r="J986" t="inlineStr">
        <is>
          <t>0</t>
        </is>
      </c>
      <c r="K986" t="inlineStr">
        <is>
          <t>Machado, Jeanne M.</t>
        </is>
      </c>
      <c r="L986" t="inlineStr">
        <is>
          <t>Albany, N.Y. : Delmar Publishers, c1993.</t>
        </is>
      </c>
      <c r="M986" t="inlineStr">
        <is>
          <t>1993</t>
        </is>
      </c>
      <c r="O986" t="inlineStr">
        <is>
          <t>eng</t>
        </is>
      </c>
      <c r="P986" t="inlineStr">
        <is>
          <t>nyu</t>
        </is>
      </c>
      <c r="R986" t="inlineStr">
        <is>
          <t xml:space="preserve">LB </t>
        </is>
      </c>
      <c r="S986" t="n">
        <v>5</v>
      </c>
      <c r="T986" t="n">
        <v>5</v>
      </c>
      <c r="U986" t="inlineStr">
        <is>
          <t>1996-11-24</t>
        </is>
      </c>
      <c r="V986" t="inlineStr">
        <is>
          <t>1996-11-24</t>
        </is>
      </c>
      <c r="W986" t="inlineStr">
        <is>
          <t>1994-04-05</t>
        </is>
      </c>
      <c r="X986" t="inlineStr">
        <is>
          <t>1994-04-05</t>
        </is>
      </c>
      <c r="Y986" t="n">
        <v>164</v>
      </c>
      <c r="Z986" t="n">
        <v>146</v>
      </c>
      <c r="AA986" t="n">
        <v>490</v>
      </c>
      <c r="AB986" t="n">
        <v>1</v>
      </c>
      <c r="AC986" t="n">
        <v>4</v>
      </c>
      <c r="AD986" t="n">
        <v>1</v>
      </c>
      <c r="AE986" t="n">
        <v>12</v>
      </c>
      <c r="AF986" t="n">
        <v>1</v>
      </c>
      <c r="AG986" t="n">
        <v>5</v>
      </c>
      <c r="AH986" t="n">
        <v>0</v>
      </c>
      <c r="AI986" t="n">
        <v>1</v>
      </c>
      <c r="AJ986" t="n">
        <v>1</v>
      </c>
      <c r="AK986" t="n">
        <v>6</v>
      </c>
      <c r="AL986" t="n">
        <v>0</v>
      </c>
      <c r="AM986" t="n">
        <v>3</v>
      </c>
      <c r="AN986" t="n">
        <v>0</v>
      </c>
      <c r="AO986" t="n">
        <v>0</v>
      </c>
      <c r="AP986" t="inlineStr">
        <is>
          <t>No</t>
        </is>
      </c>
      <c r="AQ986" t="inlineStr">
        <is>
          <t>Yes</t>
        </is>
      </c>
      <c r="AR986">
        <f>HYPERLINK("http://catalog.hathitrust.org/Record/101946170","HathiTrust Record")</f>
        <v/>
      </c>
      <c r="AS986">
        <f>HYPERLINK("https://creighton-primo.hosted.exlibrisgroup.com/primo-explore/search?tab=default_tab&amp;search_scope=EVERYTHING&amp;vid=01CRU&amp;lang=en_US&amp;offset=0&amp;query=any,contains,991002013379702656","Catalog Record")</f>
        <v/>
      </c>
      <c r="AT986">
        <f>HYPERLINK("http://www.worldcat.org/oclc/25629158","WorldCat Record")</f>
        <v/>
      </c>
      <c r="AU986" t="inlineStr">
        <is>
          <t>12884432:eng</t>
        </is>
      </c>
      <c r="AV986" t="inlineStr">
        <is>
          <t>25629158</t>
        </is>
      </c>
      <c r="AW986" t="inlineStr">
        <is>
          <t>991002013379702656</t>
        </is>
      </c>
      <c r="AX986" t="inlineStr">
        <is>
          <t>991002013379702656</t>
        </is>
      </c>
      <c r="AY986" t="inlineStr">
        <is>
          <t>2261791090002656</t>
        </is>
      </c>
      <c r="AZ986" t="inlineStr">
        <is>
          <t>BOOK</t>
        </is>
      </c>
      <c r="BB986" t="inlineStr">
        <is>
          <t>9780827352421</t>
        </is>
      </c>
      <c r="BC986" t="inlineStr">
        <is>
          <t>32285001859379</t>
        </is>
      </c>
      <c r="BD986" t="inlineStr">
        <is>
          <t>893414723</t>
        </is>
      </c>
    </row>
    <row r="987">
      <c r="A987" t="inlineStr">
        <is>
          <t>No</t>
        </is>
      </c>
      <c r="B987" t="inlineStr">
        <is>
          <t>LB2157.A3 P6 1985</t>
        </is>
      </c>
      <c r="C987" t="inlineStr">
        <is>
          <t>0                      LB 2157000A  3                  P  6           1985</t>
        </is>
      </c>
      <c r="D987" t="inlineStr">
        <is>
          <t>Field experience : a guide to reflective teaching / George J. Posner.</t>
        </is>
      </c>
      <c r="F987" t="inlineStr">
        <is>
          <t>No</t>
        </is>
      </c>
      <c r="G987" t="inlineStr">
        <is>
          <t>1</t>
        </is>
      </c>
      <c r="H987" t="inlineStr">
        <is>
          <t>No</t>
        </is>
      </c>
      <c r="I987" t="inlineStr">
        <is>
          <t>No</t>
        </is>
      </c>
      <c r="J987" t="inlineStr">
        <is>
          <t>0</t>
        </is>
      </c>
      <c r="K987" t="inlineStr">
        <is>
          <t>Posner, George J.</t>
        </is>
      </c>
      <c r="L987" t="inlineStr">
        <is>
          <t>New York : Longman, c1985.</t>
        </is>
      </c>
      <c r="M987" t="inlineStr">
        <is>
          <t>1984</t>
        </is>
      </c>
      <c r="O987" t="inlineStr">
        <is>
          <t>eng</t>
        </is>
      </c>
      <c r="P987" t="inlineStr">
        <is>
          <t>nyu</t>
        </is>
      </c>
      <c r="R987" t="inlineStr">
        <is>
          <t xml:space="preserve">LB </t>
        </is>
      </c>
      <c r="S987" t="n">
        <v>5</v>
      </c>
      <c r="T987" t="n">
        <v>5</v>
      </c>
      <c r="U987" t="inlineStr">
        <is>
          <t>2006-09-20</t>
        </is>
      </c>
      <c r="V987" t="inlineStr">
        <is>
          <t>2006-09-20</t>
        </is>
      </c>
      <c r="W987" t="inlineStr">
        <is>
          <t>1990-05-07</t>
        </is>
      </c>
      <c r="X987" t="inlineStr">
        <is>
          <t>1990-05-07</t>
        </is>
      </c>
      <c r="Y987" t="n">
        <v>334</v>
      </c>
      <c r="Z987" t="n">
        <v>302</v>
      </c>
      <c r="AA987" t="n">
        <v>673</v>
      </c>
      <c r="AB987" t="n">
        <v>3</v>
      </c>
      <c r="AC987" t="n">
        <v>8</v>
      </c>
      <c r="AD987" t="n">
        <v>11</v>
      </c>
      <c r="AE987" t="n">
        <v>32</v>
      </c>
      <c r="AF987" t="n">
        <v>5</v>
      </c>
      <c r="AG987" t="n">
        <v>14</v>
      </c>
      <c r="AH987" t="n">
        <v>1</v>
      </c>
      <c r="AI987" t="n">
        <v>6</v>
      </c>
      <c r="AJ987" t="n">
        <v>5</v>
      </c>
      <c r="AK987" t="n">
        <v>14</v>
      </c>
      <c r="AL987" t="n">
        <v>2</v>
      </c>
      <c r="AM987" t="n">
        <v>7</v>
      </c>
      <c r="AN987" t="n">
        <v>0</v>
      </c>
      <c r="AO987" t="n">
        <v>0</v>
      </c>
      <c r="AP987" t="inlineStr">
        <is>
          <t>No</t>
        </is>
      </c>
      <c r="AQ987" t="inlineStr">
        <is>
          <t>Yes</t>
        </is>
      </c>
      <c r="AR987">
        <f>HYPERLINK("http://catalog.hathitrust.org/Record/000457546","HathiTrust Record")</f>
        <v/>
      </c>
      <c r="AS987">
        <f>HYPERLINK("https://creighton-primo.hosted.exlibrisgroup.com/primo-explore/search?tab=default_tab&amp;search_scope=EVERYTHING&amp;vid=01CRU&amp;lang=en_US&amp;offset=0&amp;query=any,contains,991000424839702656","Catalog Record")</f>
        <v/>
      </c>
      <c r="AT987">
        <f>HYPERLINK("http://www.worldcat.org/oclc/10752961","WorldCat Record")</f>
        <v/>
      </c>
      <c r="AU987" t="inlineStr">
        <is>
          <t>2283375:eng</t>
        </is>
      </c>
      <c r="AV987" t="inlineStr">
        <is>
          <t>10752961</t>
        </is>
      </c>
      <c r="AW987" t="inlineStr">
        <is>
          <t>991000424839702656</t>
        </is>
      </c>
      <c r="AX987" t="inlineStr">
        <is>
          <t>991000424839702656</t>
        </is>
      </c>
      <c r="AY987" t="inlineStr">
        <is>
          <t>2264674180002656</t>
        </is>
      </c>
      <c r="AZ987" t="inlineStr">
        <is>
          <t>BOOK</t>
        </is>
      </c>
      <c r="BB987" t="inlineStr">
        <is>
          <t>9780582283886</t>
        </is>
      </c>
      <c r="BC987" t="inlineStr">
        <is>
          <t>32285000149962</t>
        </is>
      </c>
      <c r="BD987" t="inlineStr">
        <is>
          <t>893708364</t>
        </is>
      </c>
    </row>
    <row r="988">
      <c r="A988" t="inlineStr">
        <is>
          <t>No</t>
        </is>
      </c>
      <c r="B988" t="inlineStr">
        <is>
          <t>LB2157.U5 L43 1998</t>
        </is>
      </c>
      <c r="C988" t="inlineStr">
        <is>
          <t>0                      LB 2157000U  5                  L  43          1998</t>
        </is>
      </c>
      <c r="D988" t="inlineStr">
        <is>
          <t>Learning to teach : a critical approach to field experiences / Natalie G. Adams ... [et al.].</t>
        </is>
      </c>
      <c r="F988" t="inlineStr">
        <is>
          <t>No</t>
        </is>
      </c>
      <c r="G988" t="inlineStr">
        <is>
          <t>1</t>
        </is>
      </c>
      <c r="H988" t="inlineStr">
        <is>
          <t>No</t>
        </is>
      </c>
      <c r="I988" t="inlineStr">
        <is>
          <t>No</t>
        </is>
      </c>
      <c r="J988" t="inlineStr">
        <is>
          <t>0</t>
        </is>
      </c>
      <c r="L988" t="inlineStr">
        <is>
          <t>Mahwah, N.J. : L. Erlbaum Associates, 1998.</t>
        </is>
      </c>
      <c r="M988" t="inlineStr">
        <is>
          <t>1998</t>
        </is>
      </c>
      <c r="O988" t="inlineStr">
        <is>
          <t>eng</t>
        </is>
      </c>
      <c r="P988" t="inlineStr">
        <is>
          <t>nju</t>
        </is>
      </c>
      <c r="R988" t="inlineStr">
        <is>
          <t xml:space="preserve">LB </t>
        </is>
      </c>
      <c r="S988" t="n">
        <v>2</v>
      </c>
      <c r="T988" t="n">
        <v>2</v>
      </c>
      <c r="U988" t="inlineStr">
        <is>
          <t>2003-12-01</t>
        </is>
      </c>
      <c r="V988" t="inlineStr">
        <is>
          <t>2003-12-01</t>
        </is>
      </c>
      <c r="W988" t="inlineStr">
        <is>
          <t>2003-12-01</t>
        </is>
      </c>
      <c r="X988" t="inlineStr">
        <is>
          <t>2003-12-01</t>
        </is>
      </c>
      <c r="Y988" t="n">
        <v>182</v>
      </c>
      <c r="Z988" t="n">
        <v>136</v>
      </c>
      <c r="AA988" t="n">
        <v>254</v>
      </c>
      <c r="AB988" t="n">
        <v>1</v>
      </c>
      <c r="AC988" t="n">
        <v>1</v>
      </c>
      <c r="AD988" t="n">
        <v>4</v>
      </c>
      <c r="AE988" t="n">
        <v>8</v>
      </c>
      <c r="AF988" t="n">
        <v>3</v>
      </c>
      <c r="AG988" t="n">
        <v>5</v>
      </c>
      <c r="AH988" t="n">
        <v>1</v>
      </c>
      <c r="AI988" t="n">
        <v>2</v>
      </c>
      <c r="AJ988" t="n">
        <v>3</v>
      </c>
      <c r="AK988" t="n">
        <v>4</v>
      </c>
      <c r="AL988" t="n">
        <v>0</v>
      </c>
      <c r="AM988" t="n">
        <v>0</v>
      </c>
      <c r="AN988" t="n">
        <v>0</v>
      </c>
      <c r="AO988" t="n">
        <v>0</v>
      </c>
      <c r="AP988" t="inlineStr">
        <is>
          <t>No</t>
        </is>
      </c>
      <c r="AQ988" t="inlineStr">
        <is>
          <t>No</t>
        </is>
      </c>
      <c r="AS988">
        <f>HYPERLINK("https://creighton-primo.hosted.exlibrisgroup.com/primo-explore/search?tab=default_tab&amp;search_scope=EVERYTHING&amp;vid=01CRU&amp;lang=en_US&amp;offset=0&amp;query=any,contains,991004194799702656","Catalog Record")</f>
        <v/>
      </c>
      <c r="AT988">
        <f>HYPERLINK("http://www.worldcat.org/oclc/37221065","WorldCat Record")</f>
        <v/>
      </c>
      <c r="AU988" t="inlineStr">
        <is>
          <t>802440154:eng</t>
        </is>
      </c>
      <c r="AV988" t="inlineStr">
        <is>
          <t>37221065</t>
        </is>
      </c>
      <c r="AW988" t="inlineStr">
        <is>
          <t>991004194799702656</t>
        </is>
      </c>
      <c r="AX988" t="inlineStr">
        <is>
          <t>991004194799702656</t>
        </is>
      </c>
      <c r="AY988" t="inlineStr">
        <is>
          <t>2258050130002656</t>
        </is>
      </c>
      <c r="AZ988" t="inlineStr">
        <is>
          <t>BOOK</t>
        </is>
      </c>
      <c r="BB988" t="inlineStr">
        <is>
          <t>9780805824469</t>
        </is>
      </c>
      <c r="BC988" t="inlineStr">
        <is>
          <t>32285004841671</t>
        </is>
      </c>
      <c r="BD988" t="inlineStr">
        <is>
          <t>893794586</t>
        </is>
      </c>
    </row>
    <row r="989">
      <c r="A989" t="inlineStr">
        <is>
          <t>No</t>
        </is>
      </c>
      <c r="B989" t="inlineStr">
        <is>
          <t>LB2157.U5 W46 2001</t>
        </is>
      </c>
      <c r="C989" t="inlineStr">
        <is>
          <t>0                      LB 2157000U  5                  W  46          2001</t>
        </is>
      </c>
      <c r="D989" t="inlineStr">
        <is>
          <t>The student teaching experience : cases from the classroom / Patricia J. Wentz.</t>
        </is>
      </c>
      <c r="F989" t="inlineStr">
        <is>
          <t>No</t>
        </is>
      </c>
      <c r="G989" t="inlineStr">
        <is>
          <t>1</t>
        </is>
      </c>
      <c r="H989" t="inlineStr">
        <is>
          <t>No</t>
        </is>
      </c>
      <c r="I989" t="inlineStr">
        <is>
          <t>No</t>
        </is>
      </c>
      <c r="J989" t="inlineStr">
        <is>
          <t>0</t>
        </is>
      </c>
      <c r="K989" t="inlineStr">
        <is>
          <t>Wentz, Patricia J.</t>
        </is>
      </c>
      <c r="L989" t="inlineStr">
        <is>
          <t>Upper Saddle River, N.J. : Merrill c2001.</t>
        </is>
      </c>
      <c r="M989" t="inlineStr">
        <is>
          <t>2001</t>
        </is>
      </c>
      <c r="N989" t="inlineStr">
        <is>
          <t>2nd ed.</t>
        </is>
      </c>
      <c r="O989" t="inlineStr">
        <is>
          <t>eng</t>
        </is>
      </c>
      <c r="P989" t="inlineStr">
        <is>
          <t>nju</t>
        </is>
      </c>
      <c r="R989" t="inlineStr">
        <is>
          <t xml:space="preserve">LB </t>
        </is>
      </c>
      <c r="S989" t="n">
        <v>2</v>
      </c>
      <c r="T989" t="n">
        <v>2</v>
      </c>
      <c r="U989" t="inlineStr">
        <is>
          <t>2003-02-05</t>
        </is>
      </c>
      <c r="V989" t="inlineStr">
        <is>
          <t>2003-02-05</t>
        </is>
      </c>
      <c r="W989" t="inlineStr">
        <is>
          <t>2001-10-03</t>
        </is>
      </c>
      <c r="X989" t="inlineStr">
        <is>
          <t>2001-10-03</t>
        </is>
      </c>
      <c r="Y989" t="n">
        <v>227</v>
      </c>
      <c r="Z989" t="n">
        <v>188</v>
      </c>
      <c r="AA989" t="n">
        <v>188</v>
      </c>
      <c r="AB989" t="n">
        <v>2</v>
      </c>
      <c r="AC989" t="n">
        <v>2</v>
      </c>
      <c r="AD989" t="n">
        <v>8</v>
      </c>
      <c r="AE989" t="n">
        <v>8</v>
      </c>
      <c r="AF989" t="n">
        <v>3</v>
      </c>
      <c r="AG989" t="n">
        <v>3</v>
      </c>
      <c r="AH989" t="n">
        <v>1</v>
      </c>
      <c r="AI989" t="n">
        <v>1</v>
      </c>
      <c r="AJ989" t="n">
        <v>5</v>
      </c>
      <c r="AK989" t="n">
        <v>5</v>
      </c>
      <c r="AL989" t="n">
        <v>1</v>
      </c>
      <c r="AM989" t="n">
        <v>1</v>
      </c>
      <c r="AN989" t="n">
        <v>0</v>
      </c>
      <c r="AO989" t="n">
        <v>0</v>
      </c>
      <c r="AP989" t="inlineStr">
        <is>
          <t>No</t>
        </is>
      </c>
      <c r="AQ989" t="inlineStr">
        <is>
          <t>No</t>
        </is>
      </c>
      <c r="AS989">
        <f>HYPERLINK("https://creighton-primo.hosted.exlibrisgroup.com/primo-explore/search?tab=default_tab&amp;search_scope=EVERYTHING&amp;vid=01CRU&amp;lang=en_US&amp;offset=0&amp;query=any,contains,991003609339702656","Catalog Record")</f>
        <v/>
      </c>
      <c r="AT989">
        <f>HYPERLINK("http://www.worldcat.org/oclc/43864473","WorldCat Record")</f>
        <v/>
      </c>
      <c r="AU989" t="inlineStr">
        <is>
          <t>20566834:eng</t>
        </is>
      </c>
      <c r="AV989" t="inlineStr">
        <is>
          <t>43864473</t>
        </is>
      </c>
      <c r="AW989" t="inlineStr">
        <is>
          <t>991003609339702656</t>
        </is>
      </c>
      <c r="AX989" t="inlineStr">
        <is>
          <t>991003609339702656</t>
        </is>
      </c>
      <c r="AY989" t="inlineStr">
        <is>
          <t>2259269150002656</t>
        </is>
      </c>
      <c r="AZ989" t="inlineStr">
        <is>
          <t>BOOK</t>
        </is>
      </c>
      <c r="BB989" t="inlineStr">
        <is>
          <t>9780130261007</t>
        </is>
      </c>
      <c r="BC989" t="inlineStr">
        <is>
          <t>32285004394929</t>
        </is>
      </c>
      <c r="BD989" t="inlineStr">
        <is>
          <t>893874954</t>
        </is>
      </c>
    </row>
    <row r="990">
      <c r="A990" t="inlineStr">
        <is>
          <t>No</t>
        </is>
      </c>
      <c r="B990" t="inlineStr">
        <is>
          <t>LB217.2 .S65 1994</t>
        </is>
      </c>
      <c r="C990" t="inlineStr">
        <is>
          <t>0                      LB 0217200S  65          1994</t>
        </is>
      </c>
      <c r="D990" t="inlineStr">
        <is>
          <t>Education today : the foundations of a profession / Joan K. Smith, L. Glenn Smith.</t>
        </is>
      </c>
      <c r="F990" t="inlineStr">
        <is>
          <t>No</t>
        </is>
      </c>
      <c r="G990" t="inlineStr">
        <is>
          <t>1</t>
        </is>
      </c>
      <c r="H990" t="inlineStr">
        <is>
          <t>No</t>
        </is>
      </c>
      <c r="I990" t="inlineStr">
        <is>
          <t>No</t>
        </is>
      </c>
      <c r="J990" t="inlineStr">
        <is>
          <t>0</t>
        </is>
      </c>
      <c r="K990" t="inlineStr">
        <is>
          <t>Smith, Joan K.</t>
        </is>
      </c>
      <c r="L990" t="inlineStr">
        <is>
          <t>New York : St. Martin's Press, c1994.</t>
        </is>
      </c>
      <c r="M990" t="inlineStr">
        <is>
          <t>1994</t>
        </is>
      </c>
      <c r="O990" t="inlineStr">
        <is>
          <t>eng</t>
        </is>
      </c>
      <c r="P990" t="inlineStr">
        <is>
          <t>nyu</t>
        </is>
      </c>
      <c r="R990" t="inlineStr">
        <is>
          <t xml:space="preserve">LB </t>
        </is>
      </c>
      <c r="S990" t="n">
        <v>27</v>
      </c>
      <c r="T990" t="n">
        <v>27</v>
      </c>
      <c r="U990" t="inlineStr">
        <is>
          <t>2007-02-04</t>
        </is>
      </c>
      <c r="V990" t="inlineStr">
        <is>
          <t>2007-02-04</t>
        </is>
      </c>
      <c r="W990" t="inlineStr">
        <is>
          <t>1994-05-06</t>
        </is>
      </c>
      <c r="X990" t="inlineStr">
        <is>
          <t>1994-05-06</t>
        </is>
      </c>
      <c r="Y990" t="n">
        <v>173</v>
      </c>
      <c r="Z990" t="n">
        <v>162</v>
      </c>
      <c r="AA990" t="n">
        <v>167</v>
      </c>
      <c r="AB990" t="n">
        <v>4</v>
      </c>
      <c r="AC990" t="n">
        <v>4</v>
      </c>
      <c r="AD990" t="n">
        <v>10</v>
      </c>
      <c r="AE990" t="n">
        <v>10</v>
      </c>
      <c r="AF990" t="n">
        <v>5</v>
      </c>
      <c r="AG990" t="n">
        <v>5</v>
      </c>
      <c r="AH990" t="n">
        <v>0</v>
      </c>
      <c r="AI990" t="n">
        <v>0</v>
      </c>
      <c r="AJ990" t="n">
        <v>5</v>
      </c>
      <c r="AK990" t="n">
        <v>5</v>
      </c>
      <c r="AL990" t="n">
        <v>3</v>
      </c>
      <c r="AM990" t="n">
        <v>3</v>
      </c>
      <c r="AN990" t="n">
        <v>0</v>
      </c>
      <c r="AO990" t="n">
        <v>0</v>
      </c>
      <c r="AP990" t="inlineStr">
        <is>
          <t>No</t>
        </is>
      </c>
      <c r="AQ990" t="inlineStr">
        <is>
          <t>No</t>
        </is>
      </c>
      <c r="AS990">
        <f>HYPERLINK("https://creighton-primo.hosted.exlibrisgroup.com/primo-explore/search?tab=default_tab&amp;search_scope=EVERYTHING&amp;vid=01CRU&amp;lang=en_US&amp;offset=0&amp;query=any,contains,991002290209702656","Catalog Record")</f>
        <v/>
      </c>
      <c r="AT990">
        <f>HYPERLINK("http://www.worldcat.org/oclc/29674992","WorldCat Record")</f>
        <v/>
      </c>
      <c r="AU990" t="inlineStr">
        <is>
          <t>138731665:eng</t>
        </is>
      </c>
      <c r="AV990" t="inlineStr">
        <is>
          <t>29674992</t>
        </is>
      </c>
      <c r="AW990" t="inlineStr">
        <is>
          <t>991002290209702656</t>
        </is>
      </c>
      <c r="AX990" t="inlineStr">
        <is>
          <t>991002290209702656</t>
        </is>
      </c>
      <c r="AY990" t="inlineStr">
        <is>
          <t>2259516810002656</t>
        </is>
      </c>
      <c r="AZ990" t="inlineStr">
        <is>
          <t>BOOK</t>
        </is>
      </c>
      <c r="BB990" t="inlineStr">
        <is>
          <t>9780312046958</t>
        </is>
      </c>
      <c r="BC990" t="inlineStr">
        <is>
          <t>32285001878700</t>
        </is>
      </c>
      <c r="BD990" t="inlineStr">
        <is>
          <t>893517116</t>
        </is>
      </c>
    </row>
    <row r="991">
      <c r="A991" t="inlineStr">
        <is>
          <t>No</t>
        </is>
      </c>
      <c r="B991" t="inlineStr">
        <is>
          <t>LB2283 .G46 1995</t>
        </is>
      </c>
      <c r="C991" t="inlineStr">
        <is>
          <t>0                      LB 2283000G  46          1995</t>
        </is>
      </c>
      <c r="D991" t="inlineStr">
        <is>
          <t>College teaching abroad : a handbook of strategies for successful cross-cultural exchanges / Pamela Gale George.</t>
        </is>
      </c>
      <c r="F991" t="inlineStr">
        <is>
          <t>No</t>
        </is>
      </c>
      <c r="G991" t="inlineStr">
        <is>
          <t>1</t>
        </is>
      </c>
      <c r="H991" t="inlineStr">
        <is>
          <t>No</t>
        </is>
      </c>
      <c r="I991" t="inlineStr">
        <is>
          <t>No</t>
        </is>
      </c>
      <c r="J991" t="inlineStr">
        <is>
          <t>0</t>
        </is>
      </c>
      <c r="K991" t="inlineStr">
        <is>
          <t>George, Pamela.</t>
        </is>
      </c>
      <c r="L991" t="inlineStr">
        <is>
          <t>Boston : Allyn and Bacon, c1995.</t>
        </is>
      </c>
      <c r="M991" t="inlineStr">
        <is>
          <t>1995</t>
        </is>
      </c>
      <c r="O991" t="inlineStr">
        <is>
          <t>eng</t>
        </is>
      </c>
      <c r="P991" t="inlineStr">
        <is>
          <t>cau</t>
        </is>
      </c>
      <c r="R991" t="inlineStr">
        <is>
          <t xml:space="preserve">LB </t>
        </is>
      </c>
      <c r="S991" t="n">
        <v>1</v>
      </c>
      <c r="T991" t="n">
        <v>1</v>
      </c>
      <c r="U991" t="inlineStr">
        <is>
          <t>1995-11-13</t>
        </is>
      </c>
      <c r="V991" t="inlineStr">
        <is>
          <t>1995-11-13</t>
        </is>
      </c>
      <c r="W991" t="inlineStr">
        <is>
          <t>1995-04-10</t>
        </is>
      </c>
      <c r="X991" t="inlineStr">
        <is>
          <t>1995-04-10</t>
        </is>
      </c>
      <c r="Y991" t="n">
        <v>283</v>
      </c>
      <c r="Z991" t="n">
        <v>270</v>
      </c>
      <c r="AA991" t="n">
        <v>365</v>
      </c>
      <c r="AB991" t="n">
        <v>4</v>
      </c>
      <c r="AC991" t="n">
        <v>4</v>
      </c>
      <c r="AD991" t="n">
        <v>14</v>
      </c>
      <c r="AE991" t="n">
        <v>17</v>
      </c>
      <c r="AF991" t="n">
        <v>7</v>
      </c>
      <c r="AG991" t="n">
        <v>8</v>
      </c>
      <c r="AH991" t="n">
        <v>2</v>
      </c>
      <c r="AI991" t="n">
        <v>4</v>
      </c>
      <c r="AJ991" t="n">
        <v>6</v>
      </c>
      <c r="AK991" t="n">
        <v>7</v>
      </c>
      <c r="AL991" t="n">
        <v>3</v>
      </c>
      <c r="AM991" t="n">
        <v>3</v>
      </c>
      <c r="AN991" t="n">
        <v>0</v>
      </c>
      <c r="AO991" t="n">
        <v>0</v>
      </c>
      <c r="AP991" t="inlineStr">
        <is>
          <t>No</t>
        </is>
      </c>
      <c r="AQ991" t="inlineStr">
        <is>
          <t>Yes</t>
        </is>
      </c>
      <c r="AR991">
        <f>HYPERLINK("http://catalog.hathitrust.org/Record/002865489","HathiTrust Record")</f>
        <v/>
      </c>
      <c r="AS991">
        <f>HYPERLINK("https://creighton-primo.hosted.exlibrisgroup.com/primo-explore/search?tab=default_tab&amp;search_scope=EVERYTHING&amp;vid=01CRU&amp;lang=en_US&amp;offset=0&amp;query=any,contains,991002286049702656","Catalog Record")</f>
        <v/>
      </c>
      <c r="AT991">
        <f>HYPERLINK("http://www.worldcat.org/oclc/29636822","WorldCat Record")</f>
        <v/>
      </c>
      <c r="AU991" t="inlineStr">
        <is>
          <t>31975870:eng</t>
        </is>
      </c>
      <c r="AV991" t="inlineStr">
        <is>
          <t>29636822</t>
        </is>
      </c>
      <c r="AW991" t="inlineStr">
        <is>
          <t>991002286049702656</t>
        </is>
      </c>
      <c r="AX991" t="inlineStr">
        <is>
          <t>991002286049702656</t>
        </is>
      </c>
      <c r="AY991" t="inlineStr">
        <is>
          <t>2254913760002656</t>
        </is>
      </c>
      <c r="AZ991" t="inlineStr">
        <is>
          <t>BOOK</t>
        </is>
      </c>
      <c r="BB991" t="inlineStr">
        <is>
          <t>9780205157679</t>
        </is>
      </c>
      <c r="BC991" t="inlineStr">
        <is>
          <t>32285002017464</t>
        </is>
      </c>
      <c r="BD991" t="inlineStr">
        <is>
          <t>893251036</t>
        </is>
      </c>
    </row>
    <row r="992">
      <c r="A992" t="inlineStr">
        <is>
          <t>No</t>
        </is>
      </c>
      <c r="B992" t="inlineStr">
        <is>
          <t>LB2321 .H282 1962</t>
        </is>
      </c>
      <c r="C992" t="inlineStr">
        <is>
          <t>0                      LB 2321000H  282         1962</t>
        </is>
      </c>
      <c r="D992" t="inlineStr">
        <is>
          <t>Profession of English / G.B. Harrison.</t>
        </is>
      </c>
      <c r="F992" t="inlineStr">
        <is>
          <t>No</t>
        </is>
      </c>
      <c r="G992" t="inlineStr">
        <is>
          <t>1</t>
        </is>
      </c>
      <c r="H992" t="inlineStr">
        <is>
          <t>No</t>
        </is>
      </c>
      <c r="I992" t="inlineStr">
        <is>
          <t>No</t>
        </is>
      </c>
      <c r="J992" t="inlineStr">
        <is>
          <t>0</t>
        </is>
      </c>
      <c r="K992" t="inlineStr">
        <is>
          <t>Harrison, G. B. (George Bagshawe), 1894-1991.</t>
        </is>
      </c>
      <c r="L992" t="inlineStr">
        <is>
          <t>New York : Harcourt, Brace &amp; World, [1962]</t>
        </is>
      </c>
      <c r="M992" t="inlineStr">
        <is>
          <t>1962</t>
        </is>
      </c>
      <c r="O992" t="inlineStr">
        <is>
          <t>eng</t>
        </is>
      </c>
      <c r="P992" t="inlineStr">
        <is>
          <t>nyu</t>
        </is>
      </c>
      <c r="R992" t="inlineStr">
        <is>
          <t xml:space="preserve">LB </t>
        </is>
      </c>
      <c r="S992" t="n">
        <v>1</v>
      </c>
      <c r="T992" t="n">
        <v>1</v>
      </c>
      <c r="U992" t="inlineStr">
        <is>
          <t>2004-11-18</t>
        </is>
      </c>
      <c r="V992" t="inlineStr">
        <is>
          <t>2004-11-18</t>
        </is>
      </c>
      <c r="W992" t="inlineStr">
        <is>
          <t>2004-11-18</t>
        </is>
      </c>
      <c r="X992" t="inlineStr">
        <is>
          <t>2004-11-18</t>
        </is>
      </c>
      <c r="Y992" t="n">
        <v>528</v>
      </c>
      <c r="Z992" t="n">
        <v>489</v>
      </c>
      <c r="AA992" t="n">
        <v>568</v>
      </c>
      <c r="AB992" t="n">
        <v>3</v>
      </c>
      <c r="AC992" t="n">
        <v>4</v>
      </c>
      <c r="AD992" t="n">
        <v>26</v>
      </c>
      <c r="AE992" t="n">
        <v>28</v>
      </c>
      <c r="AF992" t="n">
        <v>7</v>
      </c>
      <c r="AG992" t="n">
        <v>7</v>
      </c>
      <c r="AH992" t="n">
        <v>5</v>
      </c>
      <c r="AI992" t="n">
        <v>6</v>
      </c>
      <c r="AJ992" t="n">
        <v>20</v>
      </c>
      <c r="AK992" t="n">
        <v>21</v>
      </c>
      <c r="AL992" t="n">
        <v>2</v>
      </c>
      <c r="AM992" t="n">
        <v>3</v>
      </c>
      <c r="AN992" t="n">
        <v>0</v>
      </c>
      <c r="AO992" t="n">
        <v>0</v>
      </c>
      <c r="AP992" t="inlineStr">
        <is>
          <t>No</t>
        </is>
      </c>
      <c r="AQ992" t="inlineStr">
        <is>
          <t>No</t>
        </is>
      </c>
      <c r="AR992">
        <f>HYPERLINK("http://catalog.hathitrust.org/Record/001068309","HathiTrust Record")</f>
        <v/>
      </c>
      <c r="AS992">
        <f>HYPERLINK("https://creighton-primo.hosted.exlibrisgroup.com/primo-explore/search?tab=default_tab&amp;search_scope=EVERYTHING&amp;vid=01CRU&amp;lang=en_US&amp;offset=0&amp;query=any,contains,991004425949702656","Catalog Record")</f>
        <v/>
      </c>
      <c r="AT992">
        <f>HYPERLINK("http://www.worldcat.org/oclc/185280","WorldCat Record")</f>
        <v/>
      </c>
      <c r="AU992" t="inlineStr">
        <is>
          <t>57857327:eng</t>
        </is>
      </c>
      <c r="AV992" t="inlineStr">
        <is>
          <t>185280</t>
        </is>
      </c>
      <c r="AW992" t="inlineStr">
        <is>
          <t>991004425949702656</t>
        </is>
      </c>
      <c r="AX992" t="inlineStr">
        <is>
          <t>991004425949702656</t>
        </is>
      </c>
      <c r="AY992" t="inlineStr">
        <is>
          <t>2270851250002656</t>
        </is>
      </c>
      <c r="AZ992" t="inlineStr">
        <is>
          <t>BOOK</t>
        </is>
      </c>
      <c r="BC992" t="inlineStr">
        <is>
          <t>32285005012090</t>
        </is>
      </c>
      <c r="BD992" t="inlineStr">
        <is>
          <t>893618652</t>
        </is>
      </c>
    </row>
    <row r="993">
      <c r="A993" t="inlineStr">
        <is>
          <t>No</t>
        </is>
      </c>
      <c r="B993" t="inlineStr">
        <is>
          <t>LB2321 .P383 1992</t>
        </is>
      </c>
      <c r="C993" t="inlineStr">
        <is>
          <t>0                      LB 2321000P  383         1992</t>
        </is>
      </c>
      <c r="D993" t="inlineStr">
        <is>
          <t>The idea of the university : a reexamination / Jaroslav Pelikan.</t>
        </is>
      </c>
      <c r="F993" t="inlineStr">
        <is>
          <t>No</t>
        </is>
      </c>
      <c r="G993" t="inlineStr">
        <is>
          <t>1</t>
        </is>
      </c>
      <c r="H993" t="inlineStr">
        <is>
          <t>No</t>
        </is>
      </c>
      <c r="I993" t="inlineStr">
        <is>
          <t>No</t>
        </is>
      </c>
      <c r="J993" t="inlineStr">
        <is>
          <t>0</t>
        </is>
      </c>
      <c r="K993" t="inlineStr">
        <is>
          <t>Pelikan, Jaroslav, 1923-2006.</t>
        </is>
      </c>
      <c r="L993" t="inlineStr">
        <is>
          <t>New Haven : Yale University Press, c1992.</t>
        </is>
      </c>
      <c r="M993" t="inlineStr">
        <is>
          <t>1992</t>
        </is>
      </c>
      <c r="O993" t="inlineStr">
        <is>
          <t>eng</t>
        </is>
      </c>
      <c r="P993" t="inlineStr">
        <is>
          <t>ctu</t>
        </is>
      </c>
      <c r="R993" t="inlineStr">
        <is>
          <t xml:space="preserve">LB </t>
        </is>
      </c>
      <c r="S993" t="n">
        <v>14</v>
      </c>
      <c r="T993" t="n">
        <v>14</v>
      </c>
      <c r="U993" t="inlineStr">
        <is>
          <t>2009-10-01</t>
        </is>
      </c>
      <c r="V993" t="inlineStr">
        <is>
          <t>2009-10-01</t>
        </is>
      </c>
      <c r="W993" t="inlineStr">
        <is>
          <t>1997-01-07</t>
        </is>
      </c>
      <c r="X993" t="inlineStr">
        <is>
          <t>1997-01-07</t>
        </is>
      </c>
      <c r="Y993" t="n">
        <v>1308</v>
      </c>
      <c r="Z993" t="n">
        <v>1074</v>
      </c>
      <c r="AA993" t="n">
        <v>1183</v>
      </c>
      <c r="AB993" t="n">
        <v>10</v>
      </c>
      <c r="AC993" t="n">
        <v>12</v>
      </c>
      <c r="AD993" t="n">
        <v>59</v>
      </c>
      <c r="AE993" t="n">
        <v>61</v>
      </c>
      <c r="AF993" t="n">
        <v>22</v>
      </c>
      <c r="AG993" t="n">
        <v>22</v>
      </c>
      <c r="AH993" t="n">
        <v>11</v>
      </c>
      <c r="AI993" t="n">
        <v>11</v>
      </c>
      <c r="AJ993" t="n">
        <v>24</v>
      </c>
      <c r="AK993" t="n">
        <v>25</v>
      </c>
      <c r="AL993" t="n">
        <v>9</v>
      </c>
      <c r="AM993" t="n">
        <v>10</v>
      </c>
      <c r="AN993" t="n">
        <v>6</v>
      </c>
      <c r="AO993" t="n">
        <v>6</v>
      </c>
      <c r="AP993" t="inlineStr">
        <is>
          <t>No</t>
        </is>
      </c>
      <c r="AQ993" t="inlineStr">
        <is>
          <t>No</t>
        </is>
      </c>
      <c r="AS993">
        <f>HYPERLINK("https://creighton-primo.hosted.exlibrisgroup.com/primo-explore/search?tab=default_tab&amp;search_scope=EVERYTHING&amp;vid=01CRU&amp;lang=en_US&amp;offset=0&amp;query=any,contains,991001982219702656","Catalog Record")</f>
        <v/>
      </c>
      <c r="AT993">
        <f>HYPERLINK("http://www.worldcat.org/oclc/25164014","WorldCat Record")</f>
        <v/>
      </c>
      <c r="AU993" t="inlineStr">
        <is>
          <t>481230072:eng</t>
        </is>
      </c>
      <c r="AV993" t="inlineStr">
        <is>
          <t>25164014</t>
        </is>
      </c>
      <c r="AW993" t="inlineStr">
        <is>
          <t>991001982219702656</t>
        </is>
      </c>
      <c r="AX993" t="inlineStr">
        <is>
          <t>991001982219702656</t>
        </is>
      </c>
      <c r="AY993" t="inlineStr">
        <is>
          <t>2263873300002656</t>
        </is>
      </c>
      <c r="AZ993" t="inlineStr">
        <is>
          <t>BOOK</t>
        </is>
      </c>
      <c r="BB993" t="inlineStr">
        <is>
          <t>9780300057256</t>
        </is>
      </c>
      <c r="BC993" t="inlineStr">
        <is>
          <t>32285002122074</t>
        </is>
      </c>
      <c r="BD993" t="inlineStr">
        <is>
          <t>893420824</t>
        </is>
      </c>
    </row>
    <row r="994">
      <c r="A994" t="inlineStr">
        <is>
          <t>No</t>
        </is>
      </c>
      <c r="B994" t="inlineStr">
        <is>
          <t>LB2322.2 .G55 2004</t>
        </is>
      </c>
      <c r="C994" t="inlineStr">
        <is>
          <t>0                      LB 2322200G  55          2004</t>
        </is>
      </c>
      <c r="D994" t="inlineStr">
        <is>
          <t>Globalization and higher education / Jaishree K. Odin and Peter T. Manicas, editors.</t>
        </is>
      </c>
      <c r="F994" t="inlineStr">
        <is>
          <t>No</t>
        </is>
      </c>
      <c r="G994" t="inlineStr">
        <is>
          <t>1</t>
        </is>
      </c>
      <c r="H994" t="inlineStr">
        <is>
          <t>No</t>
        </is>
      </c>
      <c r="I994" t="inlineStr">
        <is>
          <t>No</t>
        </is>
      </c>
      <c r="J994" t="inlineStr">
        <is>
          <t>0</t>
        </is>
      </c>
      <c r="L994" t="inlineStr">
        <is>
          <t>Honolulu : University of Hawai'i Press, c2004.</t>
        </is>
      </c>
      <c r="M994" t="inlineStr">
        <is>
          <t>2004</t>
        </is>
      </c>
      <c r="O994" t="inlineStr">
        <is>
          <t>eng</t>
        </is>
      </c>
      <c r="P994" t="inlineStr">
        <is>
          <t>hiu</t>
        </is>
      </c>
      <c r="R994" t="inlineStr">
        <is>
          <t xml:space="preserve">LB </t>
        </is>
      </c>
      <c r="S994" t="n">
        <v>2</v>
      </c>
      <c r="T994" t="n">
        <v>2</v>
      </c>
      <c r="U994" t="inlineStr">
        <is>
          <t>2004-04-15</t>
        </is>
      </c>
      <c r="V994" t="inlineStr">
        <is>
          <t>2004-04-15</t>
        </is>
      </c>
      <c r="W994" t="inlineStr">
        <is>
          <t>2004-04-15</t>
        </is>
      </c>
      <c r="X994" t="inlineStr">
        <is>
          <t>2004-04-15</t>
        </is>
      </c>
      <c r="Y994" t="n">
        <v>285</v>
      </c>
      <c r="Z994" t="n">
        <v>209</v>
      </c>
      <c r="AA994" t="n">
        <v>438</v>
      </c>
      <c r="AB994" t="n">
        <v>3</v>
      </c>
      <c r="AC994" t="n">
        <v>3</v>
      </c>
      <c r="AD994" t="n">
        <v>12</v>
      </c>
      <c r="AE994" t="n">
        <v>23</v>
      </c>
      <c r="AF994" t="n">
        <v>4</v>
      </c>
      <c r="AG994" t="n">
        <v>10</v>
      </c>
      <c r="AH994" t="n">
        <v>4</v>
      </c>
      <c r="AI994" t="n">
        <v>7</v>
      </c>
      <c r="AJ994" t="n">
        <v>5</v>
      </c>
      <c r="AK994" t="n">
        <v>11</v>
      </c>
      <c r="AL994" t="n">
        <v>2</v>
      </c>
      <c r="AM994" t="n">
        <v>2</v>
      </c>
      <c r="AN994" t="n">
        <v>0</v>
      </c>
      <c r="AO994" t="n">
        <v>0</v>
      </c>
      <c r="AP994" t="inlineStr">
        <is>
          <t>No</t>
        </is>
      </c>
      <c r="AQ994" t="inlineStr">
        <is>
          <t>No</t>
        </is>
      </c>
      <c r="AS994">
        <f>HYPERLINK("https://creighton-primo.hosted.exlibrisgroup.com/primo-explore/search?tab=default_tab&amp;search_scope=EVERYTHING&amp;vid=01CRU&amp;lang=en_US&amp;offset=0&amp;query=any,contains,991004263299702656","Catalog Record")</f>
        <v/>
      </c>
      <c r="AT994">
        <f>HYPERLINK("http://www.worldcat.org/oclc/52839012","WorldCat Record")</f>
        <v/>
      </c>
      <c r="AU994" t="inlineStr">
        <is>
          <t>354870491:eng</t>
        </is>
      </c>
      <c r="AV994" t="inlineStr">
        <is>
          <t>52839012</t>
        </is>
      </c>
      <c r="AW994" t="inlineStr">
        <is>
          <t>991004263299702656</t>
        </is>
      </c>
      <c r="AX994" t="inlineStr">
        <is>
          <t>991004263299702656</t>
        </is>
      </c>
      <c r="AY994" t="inlineStr">
        <is>
          <t>2270412740002656</t>
        </is>
      </c>
      <c r="AZ994" t="inlineStr">
        <is>
          <t>BOOK</t>
        </is>
      </c>
      <c r="BB994" t="inlineStr">
        <is>
          <t>9780824827823</t>
        </is>
      </c>
      <c r="BC994" t="inlineStr">
        <is>
          <t>32285004899588</t>
        </is>
      </c>
      <c r="BD994" t="inlineStr">
        <is>
          <t>893618462</t>
        </is>
      </c>
    </row>
    <row r="995">
      <c r="A995" t="inlineStr">
        <is>
          <t>No</t>
        </is>
      </c>
      <c r="B995" t="inlineStr">
        <is>
          <t>LB2322.2 .R42 1996</t>
        </is>
      </c>
      <c r="C995" t="inlineStr">
        <is>
          <t>0                      LB 2322200R  42          1996</t>
        </is>
      </c>
      <c r="D995" t="inlineStr">
        <is>
          <t>The university in ruins / Bill Readings.</t>
        </is>
      </c>
      <c r="F995" t="inlineStr">
        <is>
          <t>No</t>
        </is>
      </c>
      <c r="G995" t="inlineStr">
        <is>
          <t>1</t>
        </is>
      </c>
      <c r="H995" t="inlineStr">
        <is>
          <t>No</t>
        </is>
      </c>
      <c r="I995" t="inlineStr">
        <is>
          <t>No</t>
        </is>
      </c>
      <c r="J995" t="inlineStr">
        <is>
          <t>0</t>
        </is>
      </c>
      <c r="K995" t="inlineStr">
        <is>
          <t>Readings, Bill, 1960-</t>
        </is>
      </c>
      <c r="L995" t="inlineStr">
        <is>
          <t>Cambridge, Mass. : Harvard University Press, 1996.</t>
        </is>
      </c>
      <c r="M995" t="inlineStr">
        <is>
          <t>1996</t>
        </is>
      </c>
      <c r="O995" t="inlineStr">
        <is>
          <t>eng</t>
        </is>
      </c>
      <c r="P995" t="inlineStr">
        <is>
          <t>mau</t>
        </is>
      </c>
      <c r="R995" t="inlineStr">
        <is>
          <t xml:space="preserve">LB </t>
        </is>
      </c>
      <c r="S995" t="n">
        <v>7</v>
      </c>
      <c r="T995" t="n">
        <v>7</v>
      </c>
      <c r="U995" t="inlineStr">
        <is>
          <t>2008-03-05</t>
        </is>
      </c>
      <c r="V995" t="inlineStr">
        <is>
          <t>2008-03-05</t>
        </is>
      </c>
      <c r="W995" t="inlineStr">
        <is>
          <t>1997-04-01</t>
        </is>
      </c>
      <c r="X995" t="inlineStr">
        <is>
          <t>1997-04-01</t>
        </is>
      </c>
      <c r="Y995" t="n">
        <v>797</v>
      </c>
      <c r="Z995" t="n">
        <v>574</v>
      </c>
      <c r="AA995" t="n">
        <v>579</v>
      </c>
      <c r="AB995" t="n">
        <v>6</v>
      </c>
      <c r="AC995" t="n">
        <v>6</v>
      </c>
      <c r="AD995" t="n">
        <v>36</v>
      </c>
      <c r="AE995" t="n">
        <v>37</v>
      </c>
      <c r="AF995" t="n">
        <v>11</v>
      </c>
      <c r="AG995" t="n">
        <v>11</v>
      </c>
      <c r="AH995" t="n">
        <v>7</v>
      </c>
      <c r="AI995" t="n">
        <v>7</v>
      </c>
      <c r="AJ995" t="n">
        <v>18</v>
      </c>
      <c r="AK995" t="n">
        <v>19</v>
      </c>
      <c r="AL995" t="n">
        <v>5</v>
      </c>
      <c r="AM995" t="n">
        <v>5</v>
      </c>
      <c r="AN995" t="n">
        <v>2</v>
      </c>
      <c r="AO995" t="n">
        <v>2</v>
      </c>
      <c r="AP995" t="inlineStr">
        <is>
          <t>No</t>
        </is>
      </c>
      <c r="AQ995" t="inlineStr">
        <is>
          <t>Yes</t>
        </is>
      </c>
      <c r="AR995">
        <f>HYPERLINK("http://catalog.hathitrust.org/Record/003062301","HathiTrust Record")</f>
        <v/>
      </c>
      <c r="AS995">
        <f>HYPERLINK("https://creighton-primo.hosted.exlibrisgroup.com/primo-explore/search?tab=default_tab&amp;search_scope=EVERYTHING&amp;vid=01CRU&amp;lang=en_US&amp;offset=0&amp;query=any,contains,991002570359702656","Catalog Record")</f>
        <v/>
      </c>
      <c r="AT995">
        <f>HYPERLINK("http://www.worldcat.org/oclc/33405286","WorldCat Record")</f>
        <v/>
      </c>
      <c r="AU995" t="inlineStr">
        <is>
          <t>569698:eng</t>
        </is>
      </c>
      <c r="AV995" t="inlineStr">
        <is>
          <t>33405286</t>
        </is>
      </c>
      <c r="AW995" t="inlineStr">
        <is>
          <t>991002570359702656</t>
        </is>
      </c>
      <c r="AX995" t="inlineStr">
        <is>
          <t>991002570359702656</t>
        </is>
      </c>
      <c r="AY995" t="inlineStr">
        <is>
          <t>2269201510002656</t>
        </is>
      </c>
      <c r="AZ995" t="inlineStr">
        <is>
          <t>BOOK</t>
        </is>
      </c>
      <c r="BB995" t="inlineStr">
        <is>
          <t>9780674929524</t>
        </is>
      </c>
      <c r="BC995" t="inlineStr">
        <is>
          <t>32285002477213</t>
        </is>
      </c>
      <c r="BD995" t="inlineStr">
        <is>
          <t>893335457</t>
        </is>
      </c>
    </row>
    <row r="996">
      <c r="A996" t="inlineStr">
        <is>
          <t>No</t>
        </is>
      </c>
      <c r="B996" t="inlineStr">
        <is>
          <t>LB2324 .B76 2004</t>
        </is>
      </c>
      <c r="C996" t="inlineStr">
        <is>
          <t>0                      LB 2324000B  76          2004</t>
        </is>
      </c>
      <c r="D996" t="inlineStr">
        <is>
          <t>The good of this place : values and challenges in college education / Richard H. Brodhead.</t>
        </is>
      </c>
      <c r="F996" t="inlineStr">
        <is>
          <t>No</t>
        </is>
      </c>
      <c r="G996" t="inlineStr">
        <is>
          <t>1</t>
        </is>
      </c>
      <c r="H996" t="inlineStr">
        <is>
          <t>No</t>
        </is>
      </c>
      <c r="I996" t="inlineStr">
        <is>
          <t>No</t>
        </is>
      </c>
      <c r="J996" t="inlineStr">
        <is>
          <t>0</t>
        </is>
      </c>
      <c r="K996" t="inlineStr">
        <is>
          <t>Brodhead, Richard H., 1947-</t>
        </is>
      </c>
      <c r="L996" t="inlineStr">
        <is>
          <t>New Haven : Yale University Press, c2004.</t>
        </is>
      </c>
      <c r="M996" t="inlineStr">
        <is>
          <t>2004</t>
        </is>
      </c>
      <c r="O996" t="inlineStr">
        <is>
          <t>eng</t>
        </is>
      </c>
      <c r="P996" t="inlineStr">
        <is>
          <t>ctu</t>
        </is>
      </c>
      <c r="R996" t="inlineStr">
        <is>
          <t xml:space="preserve">LB </t>
        </is>
      </c>
      <c r="S996" t="n">
        <v>2</v>
      </c>
      <c r="T996" t="n">
        <v>2</v>
      </c>
      <c r="U996" t="inlineStr">
        <is>
          <t>2005-05-11</t>
        </is>
      </c>
      <c r="V996" t="inlineStr">
        <is>
          <t>2005-05-11</t>
        </is>
      </c>
      <c r="W996" t="inlineStr">
        <is>
          <t>2005-05-11</t>
        </is>
      </c>
      <c r="X996" t="inlineStr">
        <is>
          <t>2005-05-11</t>
        </is>
      </c>
      <c r="Y996" t="n">
        <v>332</v>
      </c>
      <c r="Z996" t="n">
        <v>293</v>
      </c>
      <c r="AA996" t="n">
        <v>839</v>
      </c>
      <c r="AB996" t="n">
        <v>4</v>
      </c>
      <c r="AC996" t="n">
        <v>9</v>
      </c>
      <c r="AD996" t="n">
        <v>17</v>
      </c>
      <c r="AE996" t="n">
        <v>42</v>
      </c>
      <c r="AF996" t="n">
        <v>5</v>
      </c>
      <c r="AG996" t="n">
        <v>15</v>
      </c>
      <c r="AH996" t="n">
        <v>4</v>
      </c>
      <c r="AI996" t="n">
        <v>9</v>
      </c>
      <c r="AJ996" t="n">
        <v>9</v>
      </c>
      <c r="AK996" t="n">
        <v>18</v>
      </c>
      <c r="AL996" t="n">
        <v>3</v>
      </c>
      <c r="AM996" t="n">
        <v>7</v>
      </c>
      <c r="AN996" t="n">
        <v>0</v>
      </c>
      <c r="AO996" t="n">
        <v>1</v>
      </c>
      <c r="AP996" t="inlineStr">
        <is>
          <t>No</t>
        </is>
      </c>
      <c r="AQ996" t="inlineStr">
        <is>
          <t>No</t>
        </is>
      </c>
      <c r="AS996">
        <f>HYPERLINK("https://creighton-primo.hosted.exlibrisgroup.com/primo-explore/search?tab=default_tab&amp;search_scope=EVERYTHING&amp;vid=01CRU&amp;lang=en_US&amp;offset=0&amp;query=any,contains,991004521779702656","Catalog Record")</f>
        <v/>
      </c>
      <c r="AT996">
        <f>HYPERLINK("http://www.worldcat.org/oclc/54365546","WorldCat Record")</f>
        <v/>
      </c>
      <c r="AU996" t="inlineStr">
        <is>
          <t>794091072:eng</t>
        </is>
      </c>
      <c r="AV996" t="inlineStr">
        <is>
          <t>54365546</t>
        </is>
      </c>
      <c r="AW996" t="inlineStr">
        <is>
          <t>991004521779702656</t>
        </is>
      </c>
      <c r="AX996" t="inlineStr">
        <is>
          <t>991004521779702656</t>
        </is>
      </c>
      <c r="AY996" t="inlineStr">
        <is>
          <t>2258247740002656</t>
        </is>
      </c>
      <c r="AZ996" t="inlineStr">
        <is>
          <t>BOOK</t>
        </is>
      </c>
      <c r="BB996" t="inlineStr">
        <is>
          <t>9780300106008</t>
        </is>
      </c>
      <c r="BC996" t="inlineStr">
        <is>
          <t>32285005037816</t>
        </is>
      </c>
      <c r="BD996" t="inlineStr">
        <is>
          <t>893606133</t>
        </is>
      </c>
    </row>
    <row r="997">
      <c r="A997" t="inlineStr">
        <is>
          <t>No</t>
        </is>
      </c>
      <c r="B997" t="inlineStr">
        <is>
          <t>LB2324 .E95 2000</t>
        </is>
      </c>
      <c r="C997" t="inlineStr">
        <is>
          <t>0                      LB 2324000E  95          2000</t>
        </is>
      </c>
      <c r="D997" t="inlineStr">
        <is>
          <t>Experiential learning around the world : employability and the global economy / edited by Norman Evans.</t>
        </is>
      </c>
      <c r="F997" t="inlineStr">
        <is>
          <t>No</t>
        </is>
      </c>
      <c r="G997" t="inlineStr">
        <is>
          <t>1</t>
        </is>
      </c>
      <c r="H997" t="inlineStr">
        <is>
          <t>No</t>
        </is>
      </c>
      <c r="I997" t="inlineStr">
        <is>
          <t>No</t>
        </is>
      </c>
      <c r="J997" t="inlineStr">
        <is>
          <t>0</t>
        </is>
      </c>
      <c r="L997" t="inlineStr">
        <is>
          <t>London ; Philadelphia : J. Kingsley Publishers, 2000.</t>
        </is>
      </c>
      <c r="M997" t="inlineStr">
        <is>
          <t>2000</t>
        </is>
      </c>
      <c r="O997" t="inlineStr">
        <is>
          <t>eng</t>
        </is>
      </c>
      <c r="P997" t="inlineStr">
        <is>
          <t>enk</t>
        </is>
      </c>
      <c r="Q997" t="inlineStr">
        <is>
          <t>Higher education policy series ; 52</t>
        </is>
      </c>
      <c r="R997" t="inlineStr">
        <is>
          <t xml:space="preserve">LB </t>
        </is>
      </c>
      <c r="S997" t="n">
        <v>1</v>
      </c>
      <c r="T997" t="n">
        <v>1</v>
      </c>
      <c r="U997" t="inlineStr">
        <is>
          <t>2002-02-12</t>
        </is>
      </c>
      <c r="V997" t="inlineStr">
        <is>
          <t>2002-02-12</t>
        </is>
      </c>
      <c r="W997" t="inlineStr">
        <is>
          <t>2002-02-12</t>
        </is>
      </c>
      <c r="X997" t="inlineStr">
        <is>
          <t>2002-02-12</t>
        </is>
      </c>
      <c r="Y997" t="n">
        <v>210</v>
      </c>
      <c r="Z997" t="n">
        <v>136</v>
      </c>
      <c r="AA997" t="n">
        <v>137</v>
      </c>
      <c r="AB997" t="n">
        <v>2</v>
      </c>
      <c r="AC997" t="n">
        <v>2</v>
      </c>
      <c r="AD997" t="n">
        <v>6</v>
      </c>
      <c r="AE997" t="n">
        <v>6</v>
      </c>
      <c r="AF997" t="n">
        <v>1</v>
      </c>
      <c r="AG997" t="n">
        <v>1</v>
      </c>
      <c r="AH997" t="n">
        <v>1</v>
      </c>
      <c r="AI997" t="n">
        <v>1</v>
      </c>
      <c r="AJ997" t="n">
        <v>5</v>
      </c>
      <c r="AK997" t="n">
        <v>5</v>
      </c>
      <c r="AL997" t="n">
        <v>1</v>
      </c>
      <c r="AM997" t="n">
        <v>1</v>
      </c>
      <c r="AN997" t="n">
        <v>0</v>
      </c>
      <c r="AO997" t="n">
        <v>0</v>
      </c>
      <c r="AP997" t="inlineStr">
        <is>
          <t>No</t>
        </is>
      </c>
      <c r="AQ997" t="inlineStr">
        <is>
          <t>No</t>
        </is>
      </c>
      <c r="AS997">
        <f>HYPERLINK("https://creighton-primo.hosted.exlibrisgroup.com/primo-explore/search?tab=default_tab&amp;search_scope=EVERYTHING&amp;vid=01CRU&amp;lang=en_US&amp;offset=0&amp;query=any,contains,991003708509702656","Catalog Record")</f>
        <v/>
      </c>
      <c r="AT997">
        <f>HYPERLINK("http://www.worldcat.org/oclc/42027450","WorldCat Record")</f>
        <v/>
      </c>
      <c r="AU997" t="inlineStr">
        <is>
          <t>793070811:eng</t>
        </is>
      </c>
      <c r="AV997" t="inlineStr">
        <is>
          <t>42027450</t>
        </is>
      </c>
      <c r="AW997" t="inlineStr">
        <is>
          <t>991003708509702656</t>
        </is>
      </c>
      <c r="AX997" t="inlineStr">
        <is>
          <t>991003708509702656</t>
        </is>
      </c>
      <c r="AY997" t="inlineStr">
        <is>
          <t>2266445560002656</t>
        </is>
      </c>
      <c r="AZ997" t="inlineStr">
        <is>
          <t>BOOK</t>
        </is>
      </c>
      <c r="BB997" t="inlineStr">
        <is>
          <t>9781853027369</t>
        </is>
      </c>
      <c r="BC997" t="inlineStr">
        <is>
          <t>32285004453923</t>
        </is>
      </c>
      <c r="BD997" t="inlineStr">
        <is>
          <t>893598889</t>
        </is>
      </c>
    </row>
    <row r="998">
      <c r="A998" t="inlineStr">
        <is>
          <t>No</t>
        </is>
      </c>
      <c r="B998" t="inlineStr">
        <is>
          <t>LB2324 .U56 2000</t>
        </is>
      </c>
      <c r="C998" t="inlineStr">
        <is>
          <t>0                      LB 2324000U  56          2000</t>
        </is>
      </c>
      <c r="D998" t="inlineStr">
        <is>
          <t>The university in transformation : global perspectives on the futures of the university / edited by Sohail Inayatullah and Jennifer Gidley.</t>
        </is>
      </c>
      <c r="F998" t="inlineStr">
        <is>
          <t>No</t>
        </is>
      </c>
      <c r="G998" t="inlineStr">
        <is>
          <t>1</t>
        </is>
      </c>
      <c r="H998" t="inlineStr">
        <is>
          <t>No</t>
        </is>
      </c>
      <c r="I998" t="inlineStr">
        <is>
          <t>No</t>
        </is>
      </c>
      <c r="J998" t="inlineStr">
        <is>
          <t>0</t>
        </is>
      </c>
      <c r="L998" t="inlineStr">
        <is>
          <t>Westport, Conn. : Bergin &amp; Garvey 2000.</t>
        </is>
      </c>
      <c r="M998" t="inlineStr">
        <is>
          <t>2000</t>
        </is>
      </c>
      <c r="O998" t="inlineStr">
        <is>
          <t>eng</t>
        </is>
      </c>
      <c r="P998" t="inlineStr">
        <is>
          <t>ctu</t>
        </is>
      </c>
      <c r="R998" t="inlineStr">
        <is>
          <t xml:space="preserve">LB </t>
        </is>
      </c>
      <c r="S998" t="n">
        <v>1</v>
      </c>
      <c r="T998" t="n">
        <v>1</v>
      </c>
      <c r="U998" t="inlineStr">
        <is>
          <t>2000-10-23</t>
        </is>
      </c>
      <c r="V998" t="inlineStr">
        <is>
          <t>2000-10-23</t>
        </is>
      </c>
      <c r="W998" t="inlineStr">
        <is>
          <t>2000-10-23</t>
        </is>
      </c>
      <c r="X998" t="inlineStr">
        <is>
          <t>2000-10-23</t>
        </is>
      </c>
      <c r="Y998" t="n">
        <v>373</v>
      </c>
      <c r="Z998" t="n">
        <v>283</v>
      </c>
      <c r="AA998" t="n">
        <v>1009</v>
      </c>
      <c r="AB998" t="n">
        <v>2</v>
      </c>
      <c r="AC998" t="n">
        <v>5</v>
      </c>
      <c r="AD998" t="n">
        <v>13</v>
      </c>
      <c r="AE998" t="n">
        <v>24</v>
      </c>
      <c r="AF998" t="n">
        <v>3</v>
      </c>
      <c r="AG998" t="n">
        <v>10</v>
      </c>
      <c r="AH998" t="n">
        <v>3</v>
      </c>
      <c r="AI998" t="n">
        <v>4</v>
      </c>
      <c r="AJ998" t="n">
        <v>9</v>
      </c>
      <c r="AK998" t="n">
        <v>11</v>
      </c>
      <c r="AL998" t="n">
        <v>1</v>
      </c>
      <c r="AM998" t="n">
        <v>4</v>
      </c>
      <c r="AN998" t="n">
        <v>0</v>
      </c>
      <c r="AO998" t="n">
        <v>0</v>
      </c>
      <c r="AP998" t="inlineStr">
        <is>
          <t>No</t>
        </is>
      </c>
      <c r="AQ998" t="inlineStr">
        <is>
          <t>Yes</t>
        </is>
      </c>
      <c r="AR998">
        <f>HYPERLINK("http://catalog.hathitrust.org/Record/004076955","HathiTrust Record")</f>
        <v/>
      </c>
      <c r="AS998">
        <f>HYPERLINK("https://creighton-primo.hosted.exlibrisgroup.com/primo-explore/search?tab=default_tab&amp;search_scope=EVERYTHING&amp;vid=01CRU&amp;lang=en_US&amp;offset=0&amp;query=any,contains,991003256259702656","Catalog Record")</f>
        <v/>
      </c>
      <c r="AT998">
        <f>HYPERLINK("http://www.worldcat.org/oclc/41504402","WorldCat Record")</f>
        <v/>
      </c>
      <c r="AU998" t="inlineStr">
        <is>
          <t>793064979:eng</t>
        </is>
      </c>
      <c r="AV998" t="inlineStr">
        <is>
          <t>41504402</t>
        </is>
      </c>
      <c r="AW998" t="inlineStr">
        <is>
          <t>991003256259702656</t>
        </is>
      </c>
      <c r="AX998" t="inlineStr">
        <is>
          <t>991003256259702656</t>
        </is>
      </c>
      <c r="AY998" t="inlineStr">
        <is>
          <t>2269043140002656</t>
        </is>
      </c>
      <c r="AZ998" t="inlineStr">
        <is>
          <t>BOOK</t>
        </is>
      </c>
      <c r="BB998" t="inlineStr">
        <is>
          <t>9780275966089</t>
        </is>
      </c>
      <c r="BC998" t="inlineStr">
        <is>
          <t>32285003769246</t>
        </is>
      </c>
      <c r="BD998" t="inlineStr">
        <is>
          <t>893505398</t>
        </is>
      </c>
    </row>
    <row r="999">
      <c r="A999" t="inlineStr">
        <is>
          <t>No</t>
        </is>
      </c>
      <c r="B999" t="inlineStr">
        <is>
          <t>LB2328 .P76 1996</t>
        </is>
      </c>
      <c r="C999" t="inlineStr">
        <is>
          <t>0                      LB 2328000P  76          1996</t>
        </is>
      </c>
      <c r="D999" t="inlineStr">
        <is>
          <t>Promoting community renewal through civic literacy and service learning / Michael H. Parsons, C. David Lisman, editors.</t>
        </is>
      </c>
      <c r="F999" t="inlineStr">
        <is>
          <t>No</t>
        </is>
      </c>
      <c r="G999" t="inlineStr">
        <is>
          <t>1</t>
        </is>
      </c>
      <c r="H999" t="inlineStr">
        <is>
          <t>No</t>
        </is>
      </c>
      <c r="I999" t="inlineStr">
        <is>
          <t>No</t>
        </is>
      </c>
      <c r="J999" t="inlineStr">
        <is>
          <t>0</t>
        </is>
      </c>
      <c r="L999" t="inlineStr">
        <is>
          <t>San Francisco : Jossey-Bass, c1996.</t>
        </is>
      </c>
      <c r="M999" t="inlineStr">
        <is>
          <t>1996</t>
        </is>
      </c>
      <c r="O999" t="inlineStr">
        <is>
          <t>eng</t>
        </is>
      </c>
      <c r="P999" t="inlineStr">
        <is>
          <t>cau</t>
        </is>
      </c>
      <c r="Q999" t="inlineStr">
        <is>
          <t>New directions for community colleges, 0194-3081 ; no. 93, Spring 1996</t>
        </is>
      </c>
      <c r="R999" t="inlineStr">
        <is>
          <t xml:space="preserve">LB </t>
        </is>
      </c>
      <c r="S999" t="n">
        <v>1</v>
      </c>
      <c r="T999" t="n">
        <v>1</v>
      </c>
      <c r="U999" t="inlineStr">
        <is>
          <t>2001-12-20</t>
        </is>
      </c>
      <c r="V999" t="inlineStr">
        <is>
          <t>2001-12-20</t>
        </is>
      </c>
      <c r="W999" t="inlineStr">
        <is>
          <t>2001-12-20</t>
        </is>
      </c>
      <c r="X999" t="inlineStr">
        <is>
          <t>2001-12-20</t>
        </is>
      </c>
      <c r="Y999" t="n">
        <v>249</v>
      </c>
      <c r="Z999" t="n">
        <v>236</v>
      </c>
      <c r="AA999" t="n">
        <v>299</v>
      </c>
      <c r="AB999" t="n">
        <v>2</v>
      </c>
      <c r="AC999" t="n">
        <v>2</v>
      </c>
      <c r="AD999" t="n">
        <v>7</v>
      </c>
      <c r="AE999" t="n">
        <v>9</v>
      </c>
      <c r="AF999" t="n">
        <v>1</v>
      </c>
      <c r="AG999" t="n">
        <v>1</v>
      </c>
      <c r="AH999" t="n">
        <v>0</v>
      </c>
      <c r="AI999" t="n">
        <v>1</v>
      </c>
      <c r="AJ999" t="n">
        <v>5</v>
      </c>
      <c r="AK999" t="n">
        <v>7</v>
      </c>
      <c r="AL999" t="n">
        <v>1</v>
      </c>
      <c r="AM999" t="n">
        <v>1</v>
      </c>
      <c r="AN999" t="n">
        <v>0</v>
      </c>
      <c r="AO999" t="n">
        <v>0</v>
      </c>
      <c r="AP999" t="inlineStr">
        <is>
          <t>No</t>
        </is>
      </c>
      <c r="AQ999" t="inlineStr">
        <is>
          <t>No</t>
        </is>
      </c>
      <c r="AS999">
        <f>HYPERLINK("https://creighton-primo.hosted.exlibrisgroup.com/primo-explore/search?tab=default_tab&amp;search_scope=EVERYTHING&amp;vid=01CRU&amp;lang=en_US&amp;offset=0&amp;query=any,contains,991003679719702656","Catalog Record")</f>
        <v/>
      </c>
      <c r="AT999">
        <f>HYPERLINK("http://www.worldcat.org/oclc/34644593","WorldCat Record")</f>
        <v/>
      </c>
      <c r="AU999" t="inlineStr">
        <is>
          <t>392479047:eng</t>
        </is>
      </c>
      <c r="AV999" t="inlineStr">
        <is>
          <t>34644593</t>
        </is>
      </c>
      <c r="AW999" t="inlineStr">
        <is>
          <t>991003679719702656</t>
        </is>
      </c>
      <c r="AX999" t="inlineStr">
        <is>
          <t>991003679719702656</t>
        </is>
      </c>
      <c r="AY999" t="inlineStr">
        <is>
          <t>2256227610002656</t>
        </is>
      </c>
      <c r="AZ999" t="inlineStr">
        <is>
          <t>BOOK</t>
        </is>
      </c>
      <c r="BB999" t="inlineStr">
        <is>
          <t>9780787998684</t>
        </is>
      </c>
      <c r="BC999" t="inlineStr">
        <is>
          <t>32285004429592</t>
        </is>
      </c>
      <c r="BD999" t="inlineStr">
        <is>
          <t>893429078</t>
        </is>
      </c>
    </row>
    <row r="1000">
      <c r="A1000" t="inlineStr">
        <is>
          <t>No</t>
        </is>
      </c>
      <c r="B1000" t="inlineStr">
        <is>
          <t>LB2331 .C716 1998</t>
        </is>
      </c>
      <c r="C1000" t="inlineStr">
        <is>
          <t>0                      LB 2331000C  716         1998</t>
        </is>
      </c>
      <c r="D1000" t="inlineStr">
        <is>
          <t>Creating learning centered classrooms : what does learning theory have to say? / by Frances K. Stage ... [et al.] ; prepared by ERIC Clearinghouse on Higher Education, The George Washington University, in cooperation with ASHE, Association for the Study of Higher Education.</t>
        </is>
      </c>
      <c r="F1000" t="inlineStr">
        <is>
          <t>No</t>
        </is>
      </c>
      <c r="G1000" t="inlineStr">
        <is>
          <t>1</t>
        </is>
      </c>
      <c r="H1000" t="inlineStr">
        <is>
          <t>No</t>
        </is>
      </c>
      <c r="I1000" t="inlineStr">
        <is>
          <t>No</t>
        </is>
      </c>
      <c r="J1000" t="inlineStr">
        <is>
          <t>0</t>
        </is>
      </c>
      <c r="L1000" t="inlineStr">
        <is>
          <t>Washington, D.C. : Graduate School of Education and Human Development, George Washington University, 1998.</t>
        </is>
      </c>
      <c r="M1000" t="inlineStr">
        <is>
          <t>1998</t>
        </is>
      </c>
      <c r="O1000" t="inlineStr">
        <is>
          <t>eng</t>
        </is>
      </c>
      <c r="P1000" t="inlineStr">
        <is>
          <t>dcu</t>
        </is>
      </c>
      <c r="Q1000" t="inlineStr">
        <is>
          <t>ASHE-ERIC higher education report, 0884-0040 ; v. 26, no. 4</t>
        </is>
      </c>
      <c r="R1000" t="inlineStr">
        <is>
          <t xml:space="preserve">LB </t>
        </is>
      </c>
      <c r="S1000" t="n">
        <v>1</v>
      </c>
      <c r="T1000" t="n">
        <v>1</v>
      </c>
      <c r="U1000" t="inlineStr">
        <is>
          <t>2003-11-25</t>
        </is>
      </c>
      <c r="V1000" t="inlineStr">
        <is>
          <t>2003-11-25</t>
        </is>
      </c>
      <c r="W1000" t="inlineStr">
        <is>
          <t>2003-11-25</t>
        </is>
      </c>
      <c r="X1000" t="inlineStr">
        <is>
          <t>2003-11-25</t>
        </is>
      </c>
      <c r="Y1000" t="n">
        <v>475</v>
      </c>
      <c r="Z1000" t="n">
        <v>433</v>
      </c>
      <c r="AA1000" t="n">
        <v>437</v>
      </c>
      <c r="AB1000" t="n">
        <v>4</v>
      </c>
      <c r="AC1000" t="n">
        <v>4</v>
      </c>
      <c r="AD1000" t="n">
        <v>23</v>
      </c>
      <c r="AE1000" t="n">
        <v>23</v>
      </c>
      <c r="AF1000" t="n">
        <v>9</v>
      </c>
      <c r="AG1000" t="n">
        <v>9</v>
      </c>
      <c r="AH1000" t="n">
        <v>4</v>
      </c>
      <c r="AI1000" t="n">
        <v>4</v>
      </c>
      <c r="AJ1000" t="n">
        <v>12</v>
      </c>
      <c r="AK1000" t="n">
        <v>12</v>
      </c>
      <c r="AL1000" t="n">
        <v>3</v>
      </c>
      <c r="AM1000" t="n">
        <v>3</v>
      </c>
      <c r="AN1000" t="n">
        <v>1</v>
      </c>
      <c r="AO1000" t="n">
        <v>1</v>
      </c>
      <c r="AP1000" t="inlineStr">
        <is>
          <t>No</t>
        </is>
      </c>
      <c r="AQ1000" t="inlineStr">
        <is>
          <t>Yes</t>
        </is>
      </c>
      <c r="AR1000">
        <f>HYPERLINK("http://catalog.hathitrust.org/Record/005126019","HathiTrust Record")</f>
        <v/>
      </c>
      <c r="AS1000">
        <f>HYPERLINK("https://creighton-primo.hosted.exlibrisgroup.com/primo-explore/search?tab=default_tab&amp;search_scope=EVERYTHING&amp;vid=01CRU&amp;lang=en_US&amp;offset=0&amp;query=any,contains,991004192719702656","Catalog Record")</f>
        <v/>
      </c>
      <c r="AT1000">
        <f>HYPERLINK("http://www.worldcat.org/oclc/40099175","WorldCat Record")</f>
        <v/>
      </c>
      <c r="AU1000" t="inlineStr">
        <is>
          <t>917385638:eng</t>
        </is>
      </c>
      <c r="AV1000" t="inlineStr">
        <is>
          <t>40099175</t>
        </is>
      </c>
      <c r="AW1000" t="inlineStr">
        <is>
          <t>991004192719702656</t>
        </is>
      </c>
      <c r="AX1000" t="inlineStr">
        <is>
          <t>991004192719702656</t>
        </is>
      </c>
      <c r="AY1000" t="inlineStr">
        <is>
          <t>2267579210002656</t>
        </is>
      </c>
      <c r="AZ1000" t="inlineStr">
        <is>
          <t>BOOK</t>
        </is>
      </c>
      <c r="BB1000" t="inlineStr">
        <is>
          <t>9781878380845</t>
        </is>
      </c>
      <c r="BC1000" t="inlineStr">
        <is>
          <t>32285004842679</t>
        </is>
      </c>
      <c r="BD1000" t="inlineStr">
        <is>
          <t>893605749</t>
        </is>
      </c>
    </row>
    <row r="1001">
      <c r="A1001" t="inlineStr">
        <is>
          <t>No</t>
        </is>
      </c>
      <c r="B1001" t="inlineStr">
        <is>
          <t>LB2331 .D53 1998</t>
        </is>
      </c>
      <c r="C1001" t="inlineStr">
        <is>
          <t>0                      LB 2331000D  53          1998</t>
        </is>
      </c>
      <c r="D1001" t="inlineStr">
        <is>
          <t>Dilemmas in teaching : cases for collaborative faculty reflection / edited by Chris M. Anson ... [et al.] ; [foreword by Theodore J. Marchese.]</t>
        </is>
      </c>
      <c r="F1001" t="inlineStr">
        <is>
          <t>No</t>
        </is>
      </c>
      <c r="G1001" t="inlineStr">
        <is>
          <t>1</t>
        </is>
      </c>
      <c r="H1001" t="inlineStr">
        <is>
          <t>No</t>
        </is>
      </c>
      <c r="I1001" t="inlineStr">
        <is>
          <t>No</t>
        </is>
      </c>
      <c r="J1001" t="inlineStr">
        <is>
          <t>0</t>
        </is>
      </c>
      <c r="L1001" t="inlineStr">
        <is>
          <t>Madison, Wis. : Mendota Press, c1998.</t>
        </is>
      </c>
      <c r="M1001" t="inlineStr">
        <is>
          <t>1998</t>
        </is>
      </c>
      <c r="O1001" t="inlineStr">
        <is>
          <t>eng</t>
        </is>
      </c>
      <c r="P1001" t="inlineStr">
        <is>
          <t>wiu</t>
        </is>
      </c>
      <c r="R1001" t="inlineStr">
        <is>
          <t xml:space="preserve">LB </t>
        </is>
      </c>
      <c r="S1001" t="n">
        <v>1</v>
      </c>
      <c r="T1001" t="n">
        <v>1</v>
      </c>
      <c r="U1001" t="inlineStr">
        <is>
          <t>2003-12-01</t>
        </is>
      </c>
      <c r="V1001" t="inlineStr">
        <is>
          <t>2003-12-01</t>
        </is>
      </c>
      <c r="W1001" t="inlineStr">
        <is>
          <t>2003-12-01</t>
        </is>
      </c>
      <c r="X1001" t="inlineStr">
        <is>
          <t>2003-12-01</t>
        </is>
      </c>
      <c r="Y1001" t="n">
        <v>84</v>
      </c>
      <c r="Z1001" t="n">
        <v>78</v>
      </c>
      <c r="AA1001" t="n">
        <v>78</v>
      </c>
      <c r="AB1001" t="n">
        <v>1</v>
      </c>
      <c r="AC1001" t="n">
        <v>1</v>
      </c>
      <c r="AD1001" t="n">
        <v>2</v>
      </c>
      <c r="AE1001" t="n">
        <v>2</v>
      </c>
      <c r="AF1001" t="n">
        <v>2</v>
      </c>
      <c r="AG1001" t="n">
        <v>2</v>
      </c>
      <c r="AH1001" t="n">
        <v>0</v>
      </c>
      <c r="AI1001" t="n">
        <v>0</v>
      </c>
      <c r="AJ1001" t="n">
        <v>1</v>
      </c>
      <c r="AK1001" t="n">
        <v>1</v>
      </c>
      <c r="AL1001" t="n">
        <v>0</v>
      </c>
      <c r="AM1001" t="n">
        <v>0</v>
      </c>
      <c r="AN1001" t="n">
        <v>0</v>
      </c>
      <c r="AO1001" t="n">
        <v>0</v>
      </c>
      <c r="AP1001" t="inlineStr">
        <is>
          <t>No</t>
        </is>
      </c>
      <c r="AQ1001" t="inlineStr">
        <is>
          <t>No</t>
        </is>
      </c>
      <c r="AS1001">
        <f>HYPERLINK("https://creighton-primo.hosted.exlibrisgroup.com/primo-explore/search?tab=default_tab&amp;search_scope=EVERYTHING&amp;vid=01CRU&amp;lang=en_US&amp;offset=0&amp;query=any,contains,991004194829702656","Catalog Record")</f>
        <v/>
      </c>
      <c r="AT1001">
        <f>HYPERLINK("http://www.worldcat.org/oclc/38745463","WorldCat Record")</f>
        <v/>
      </c>
      <c r="AU1001" t="inlineStr">
        <is>
          <t>143276696:eng</t>
        </is>
      </c>
      <c r="AV1001" t="inlineStr">
        <is>
          <t>38745463</t>
        </is>
      </c>
      <c r="AW1001" t="inlineStr">
        <is>
          <t>991004194829702656</t>
        </is>
      </c>
      <c r="AX1001" t="inlineStr">
        <is>
          <t>991004194829702656</t>
        </is>
      </c>
      <c r="AY1001" t="inlineStr">
        <is>
          <t>2270640920002656</t>
        </is>
      </c>
      <c r="AZ1001" t="inlineStr">
        <is>
          <t>BOOK</t>
        </is>
      </c>
      <c r="BB1001" t="inlineStr">
        <is>
          <t>9780912150512</t>
        </is>
      </c>
      <c r="BC1001" t="inlineStr">
        <is>
          <t>32285004841374</t>
        </is>
      </c>
      <c r="BD1001" t="inlineStr">
        <is>
          <t>893337428</t>
        </is>
      </c>
    </row>
    <row r="1002">
      <c r="A1002" t="inlineStr">
        <is>
          <t>No</t>
        </is>
      </c>
      <c r="B1002" t="inlineStr">
        <is>
          <t>LB2331 .E328 1988</t>
        </is>
      </c>
      <c r="C1002" t="inlineStr">
        <is>
          <t>0                      LB 2331000E  328         1988</t>
        </is>
      </c>
      <c r="D1002" t="inlineStr">
        <is>
          <t>The craft of teaching : a guide to mastering the professor's art / Kenneth E. Eble.</t>
        </is>
      </c>
      <c r="F1002" t="inlineStr">
        <is>
          <t>No</t>
        </is>
      </c>
      <c r="G1002" t="inlineStr">
        <is>
          <t>1</t>
        </is>
      </c>
      <c r="H1002" t="inlineStr">
        <is>
          <t>No</t>
        </is>
      </c>
      <c r="I1002" t="inlineStr">
        <is>
          <t>Yes</t>
        </is>
      </c>
      <c r="J1002" t="inlineStr">
        <is>
          <t>0</t>
        </is>
      </c>
      <c r="K1002" t="inlineStr">
        <is>
          <t>Eble, Kenneth E. (Kenneth Eugene)</t>
        </is>
      </c>
      <c r="L1002" t="inlineStr">
        <is>
          <t>San Francisco, Calif. : Jossey-Bass, 1988.</t>
        </is>
      </c>
      <c r="M1002" t="inlineStr">
        <is>
          <t>1988</t>
        </is>
      </c>
      <c r="N1002" t="inlineStr">
        <is>
          <t>2nd ed.</t>
        </is>
      </c>
      <c r="O1002" t="inlineStr">
        <is>
          <t>eng</t>
        </is>
      </c>
      <c r="P1002" t="inlineStr">
        <is>
          <t>cau</t>
        </is>
      </c>
      <c r="Q1002" t="inlineStr">
        <is>
          <t>The Jossey-Bass higher education series</t>
        </is>
      </c>
      <c r="R1002" t="inlineStr">
        <is>
          <t xml:space="preserve">LB </t>
        </is>
      </c>
      <c r="S1002" t="n">
        <v>7</v>
      </c>
      <c r="T1002" t="n">
        <v>7</v>
      </c>
      <c r="U1002" t="inlineStr">
        <is>
          <t>2008-11-14</t>
        </is>
      </c>
      <c r="V1002" t="inlineStr">
        <is>
          <t>2008-11-14</t>
        </is>
      </c>
      <c r="W1002" t="inlineStr">
        <is>
          <t>1992-06-10</t>
        </is>
      </c>
      <c r="X1002" t="inlineStr">
        <is>
          <t>1992-06-10</t>
        </is>
      </c>
      <c r="Y1002" t="n">
        <v>1139</v>
      </c>
      <c r="Z1002" t="n">
        <v>956</v>
      </c>
      <c r="AA1002" t="n">
        <v>1571</v>
      </c>
      <c r="AB1002" t="n">
        <v>8</v>
      </c>
      <c r="AC1002" t="n">
        <v>12</v>
      </c>
      <c r="AD1002" t="n">
        <v>35</v>
      </c>
      <c r="AE1002" t="n">
        <v>58</v>
      </c>
      <c r="AF1002" t="n">
        <v>16</v>
      </c>
      <c r="AG1002" t="n">
        <v>23</v>
      </c>
      <c r="AH1002" t="n">
        <v>6</v>
      </c>
      <c r="AI1002" t="n">
        <v>11</v>
      </c>
      <c r="AJ1002" t="n">
        <v>15</v>
      </c>
      <c r="AK1002" t="n">
        <v>22</v>
      </c>
      <c r="AL1002" t="n">
        <v>7</v>
      </c>
      <c r="AM1002" t="n">
        <v>10</v>
      </c>
      <c r="AN1002" t="n">
        <v>0</v>
      </c>
      <c r="AO1002" t="n">
        <v>4</v>
      </c>
      <c r="AP1002" t="inlineStr">
        <is>
          <t>No</t>
        </is>
      </c>
      <c r="AQ1002" t="inlineStr">
        <is>
          <t>Yes</t>
        </is>
      </c>
      <c r="AR1002">
        <f>HYPERLINK("http://catalog.hathitrust.org/Record/000918536","HathiTrust Record")</f>
        <v/>
      </c>
      <c r="AS1002">
        <f>HYPERLINK("https://creighton-primo.hosted.exlibrisgroup.com/primo-explore/search?tab=default_tab&amp;search_scope=EVERYTHING&amp;vid=01CRU&amp;lang=en_US&amp;offset=0&amp;query=any,contains,991001211789702656","Catalog Record")</f>
        <v/>
      </c>
      <c r="AT1002">
        <f>HYPERLINK("http://www.worldcat.org/oclc/17385627","WorldCat Record")</f>
        <v/>
      </c>
      <c r="AU1002" t="inlineStr">
        <is>
          <t>5019870:eng</t>
        </is>
      </c>
      <c r="AV1002" t="inlineStr">
        <is>
          <t>17385627</t>
        </is>
      </c>
      <c r="AW1002" t="inlineStr">
        <is>
          <t>991001211789702656</t>
        </is>
      </c>
      <c r="AX1002" t="inlineStr">
        <is>
          <t>991001211789702656</t>
        </is>
      </c>
      <c r="AY1002" t="inlineStr">
        <is>
          <t>2271972630002656</t>
        </is>
      </c>
      <c r="AZ1002" t="inlineStr">
        <is>
          <t>BOOK</t>
        </is>
      </c>
      <c r="BB1002" t="inlineStr">
        <is>
          <t>9781555420888</t>
        </is>
      </c>
      <c r="BC1002" t="inlineStr">
        <is>
          <t>32285001098689</t>
        </is>
      </c>
      <c r="BD1002" t="inlineStr">
        <is>
          <t>893407947</t>
        </is>
      </c>
    </row>
    <row r="1003">
      <c r="A1003" t="inlineStr">
        <is>
          <t>No</t>
        </is>
      </c>
      <c r="B1003" t="inlineStr">
        <is>
          <t>LB2331 .E48 1987</t>
        </is>
      </c>
      <c r="C1003" t="inlineStr">
        <is>
          <t>0                      LB 2331000E  48          1987</t>
        </is>
      </c>
      <c r="D1003" t="inlineStr">
        <is>
          <t>Embracing contraries : explorations in learning and teaching / Peter Elbow.</t>
        </is>
      </c>
      <c r="F1003" t="inlineStr">
        <is>
          <t>No</t>
        </is>
      </c>
      <c r="G1003" t="inlineStr">
        <is>
          <t>1</t>
        </is>
      </c>
      <c r="H1003" t="inlineStr">
        <is>
          <t>No</t>
        </is>
      </c>
      <c r="I1003" t="inlineStr">
        <is>
          <t>No</t>
        </is>
      </c>
      <c r="J1003" t="inlineStr">
        <is>
          <t>0</t>
        </is>
      </c>
      <c r="K1003" t="inlineStr">
        <is>
          <t>Elbow, Peter.</t>
        </is>
      </c>
      <c r="L1003" t="inlineStr">
        <is>
          <t>New York : Oxford University Press, 1987, c1986.</t>
        </is>
      </c>
      <c r="M1003" t="inlineStr">
        <is>
          <t>1987</t>
        </is>
      </c>
      <c r="O1003" t="inlineStr">
        <is>
          <t>eng</t>
        </is>
      </c>
      <c r="P1003" t="inlineStr">
        <is>
          <t>nyu</t>
        </is>
      </c>
      <c r="R1003" t="inlineStr">
        <is>
          <t xml:space="preserve">LB </t>
        </is>
      </c>
      <c r="S1003" t="n">
        <v>9</v>
      </c>
      <c r="T1003" t="n">
        <v>9</v>
      </c>
      <c r="U1003" t="inlineStr">
        <is>
          <t>2000-11-12</t>
        </is>
      </c>
      <c r="V1003" t="inlineStr">
        <is>
          <t>2000-11-12</t>
        </is>
      </c>
      <c r="W1003" t="inlineStr">
        <is>
          <t>1991-12-02</t>
        </is>
      </c>
      <c r="X1003" t="inlineStr">
        <is>
          <t>1991-12-02</t>
        </is>
      </c>
      <c r="Y1003" t="n">
        <v>740</v>
      </c>
      <c r="Z1003" t="n">
        <v>647</v>
      </c>
      <c r="AA1003" t="n">
        <v>747</v>
      </c>
      <c r="AB1003" t="n">
        <v>8</v>
      </c>
      <c r="AC1003" t="n">
        <v>9</v>
      </c>
      <c r="AD1003" t="n">
        <v>33</v>
      </c>
      <c r="AE1003" t="n">
        <v>40</v>
      </c>
      <c r="AF1003" t="n">
        <v>11</v>
      </c>
      <c r="AG1003" t="n">
        <v>15</v>
      </c>
      <c r="AH1003" t="n">
        <v>6</v>
      </c>
      <c r="AI1003" t="n">
        <v>6</v>
      </c>
      <c r="AJ1003" t="n">
        <v>19</v>
      </c>
      <c r="AK1003" t="n">
        <v>21</v>
      </c>
      <c r="AL1003" t="n">
        <v>7</v>
      </c>
      <c r="AM1003" t="n">
        <v>8</v>
      </c>
      <c r="AN1003" t="n">
        <v>0</v>
      </c>
      <c r="AO1003" t="n">
        <v>0</v>
      </c>
      <c r="AP1003" t="inlineStr">
        <is>
          <t>No</t>
        </is>
      </c>
      <c r="AQ1003" t="inlineStr">
        <is>
          <t>Yes</t>
        </is>
      </c>
      <c r="AR1003">
        <f>HYPERLINK("http://catalog.hathitrust.org/Record/000358875","HathiTrust Record")</f>
        <v/>
      </c>
      <c r="AS1003">
        <f>HYPERLINK("https://creighton-primo.hosted.exlibrisgroup.com/primo-explore/search?tab=default_tab&amp;search_scope=EVERYTHING&amp;vid=01CRU&amp;lang=en_US&amp;offset=0&amp;query=any,contains,991000673339702656","Catalog Record")</f>
        <v/>
      </c>
      <c r="AT1003">
        <f>HYPERLINK("http://www.worldcat.org/oclc/12342230","WorldCat Record")</f>
        <v/>
      </c>
      <c r="AU1003" t="inlineStr">
        <is>
          <t>836724133:eng</t>
        </is>
      </c>
      <c r="AV1003" t="inlineStr">
        <is>
          <t>12342230</t>
        </is>
      </c>
      <c r="AW1003" t="inlineStr">
        <is>
          <t>991000673339702656</t>
        </is>
      </c>
      <c r="AX1003" t="inlineStr">
        <is>
          <t>991000673339702656</t>
        </is>
      </c>
      <c r="AY1003" t="inlineStr">
        <is>
          <t>2268555080002656</t>
        </is>
      </c>
      <c r="AZ1003" t="inlineStr">
        <is>
          <t>BOOK</t>
        </is>
      </c>
      <c r="BB1003" t="inlineStr">
        <is>
          <t>9780195046618</t>
        </is>
      </c>
      <c r="BC1003" t="inlineStr">
        <is>
          <t>32285000818475</t>
        </is>
      </c>
      <c r="BD1003" t="inlineStr">
        <is>
          <t>893871888</t>
        </is>
      </c>
    </row>
    <row r="1004">
      <c r="A1004" t="inlineStr">
        <is>
          <t>No</t>
        </is>
      </c>
      <c r="B1004" t="inlineStr">
        <is>
          <t>LB2331 .E75 1984</t>
        </is>
      </c>
      <c r="C1004" t="inlineStr">
        <is>
          <t>0                      LB 2331000E  75          1984</t>
        </is>
      </c>
      <c r="D1004" t="inlineStr">
        <is>
          <t>The essence of good teaching / Stanford C. Ericksen.</t>
        </is>
      </c>
      <c r="F1004" t="inlineStr">
        <is>
          <t>No</t>
        </is>
      </c>
      <c r="G1004" t="inlineStr">
        <is>
          <t>1</t>
        </is>
      </c>
      <c r="H1004" t="inlineStr">
        <is>
          <t>No</t>
        </is>
      </c>
      <c r="I1004" t="inlineStr">
        <is>
          <t>No</t>
        </is>
      </c>
      <c r="J1004" t="inlineStr">
        <is>
          <t>0</t>
        </is>
      </c>
      <c r="K1004" t="inlineStr">
        <is>
          <t>Ericksen, Stanford C. (Stanford Clark), 1911-</t>
        </is>
      </c>
      <c r="L1004" t="inlineStr">
        <is>
          <t>San Francisco : Jossey-Bass, c1984.</t>
        </is>
      </c>
      <c r="M1004" t="inlineStr">
        <is>
          <t>1984</t>
        </is>
      </c>
      <c r="N1004" t="inlineStr">
        <is>
          <t>1st ed.</t>
        </is>
      </c>
      <c r="O1004" t="inlineStr">
        <is>
          <t>eng</t>
        </is>
      </c>
      <c r="P1004" t="inlineStr">
        <is>
          <t>cau</t>
        </is>
      </c>
      <c r="Q1004" t="inlineStr">
        <is>
          <t>[The Jossey-Bass higher education series]</t>
        </is>
      </c>
      <c r="R1004" t="inlineStr">
        <is>
          <t xml:space="preserve">LB </t>
        </is>
      </c>
      <c r="S1004" t="n">
        <v>6</v>
      </c>
      <c r="T1004" t="n">
        <v>6</v>
      </c>
      <c r="U1004" t="inlineStr">
        <is>
          <t>2008-02-02</t>
        </is>
      </c>
      <c r="V1004" t="inlineStr">
        <is>
          <t>2008-02-02</t>
        </is>
      </c>
      <c r="W1004" t="inlineStr">
        <is>
          <t>1992-06-10</t>
        </is>
      </c>
      <c r="X1004" t="inlineStr">
        <is>
          <t>1992-06-10</t>
        </is>
      </c>
      <c r="Y1004" t="n">
        <v>1151</v>
      </c>
      <c r="Z1004" t="n">
        <v>1004</v>
      </c>
      <c r="AA1004" t="n">
        <v>1032</v>
      </c>
      <c r="AB1004" t="n">
        <v>5</v>
      </c>
      <c r="AC1004" t="n">
        <v>5</v>
      </c>
      <c r="AD1004" t="n">
        <v>34</v>
      </c>
      <c r="AE1004" t="n">
        <v>35</v>
      </c>
      <c r="AF1004" t="n">
        <v>14</v>
      </c>
      <c r="AG1004" t="n">
        <v>14</v>
      </c>
      <c r="AH1004" t="n">
        <v>6</v>
      </c>
      <c r="AI1004" t="n">
        <v>7</v>
      </c>
      <c r="AJ1004" t="n">
        <v>16</v>
      </c>
      <c r="AK1004" t="n">
        <v>16</v>
      </c>
      <c r="AL1004" t="n">
        <v>4</v>
      </c>
      <c r="AM1004" t="n">
        <v>4</v>
      </c>
      <c r="AN1004" t="n">
        <v>2</v>
      </c>
      <c r="AO1004" t="n">
        <v>2</v>
      </c>
      <c r="AP1004" t="inlineStr">
        <is>
          <t>No</t>
        </is>
      </c>
      <c r="AQ1004" t="inlineStr">
        <is>
          <t>Yes</t>
        </is>
      </c>
      <c r="AR1004">
        <f>HYPERLINK("http://catalog.hathitrust.org/Record/000332239","HathiTrust Record")</f>
        <v/>
      </c>
      <c r="AS1004">
        <f>HYPERLINK("https://creighton-primo.hosted.exlibrisgroup.com/primo-explore/search?tab=default_tab&amp;search_scope=EVERYTHING&amp;vid=01CRU&amp;lang=en_US&amp;offset=0&amp;query=any,contains,991000473649702656","Catalog Record")</f>
        <v/>
      </c>
      <c r="AT1004">
        <f>HYPERLINK("http://www.worldcat.org/oclc/10998805","WorldCat Record")</f>
        <v/>
      </c>
      <c r="AU1004" t="inlineStr">
        <is>
          <t>3627943:eng</t>
        </is>
      </c>
      <c r="AV1004" t="inlineStr">
        <is>
          <t>10998805</t>
        </is>
      </c>
      <c r="AW1004" t="inlineStr">
        <is>
          <t>991000473649702656</t>
        </is>
      </c>
      <c r="AX1004" t="inlineStr">
        <is>
          <t>991000473649702656</t>
        </is>
      </c>
      <c r="AY1004" t="inlineStr">
        <is>
          <t>2261309500002656</t>
        </is>
      </c>
      <c r="AZ1004" t="inlineStr">
        <is>
          <t>BOOK</t>
        </is>
      </c>
      <c r="BB1004" t="inlineStr">
        <is>
          <t>9780875896151</t>
        </is>
      </c>
      <c r="BC1004" t="inlineStr">
        <is>
          <t>32285001098671</t>
        </is>
      </c>
      <c r="BD1004" t="inlineStr">
        <is>
          <t>893225008</t>
        </is>
      </c>
    </row>
    <row r="1005">
      <c r="A1005" t="inlineStr">
        <is>
          <t>No</t>
        </is>
      </c>
      <c r="B1005" t="inlineStr">
        <is>
          <t>LB2331 .F57 1996</t>
        </is>
      </c>
      <c r="C1005" t="inlineStr">
        <is>
          <t>0                      LB 2331000F  57          1996</t>
        </is>
      </c>
      <c r="D1005" t="inlineStr">
        <is>
          <t>The chalk dust collection : thoughts and reflections on teaching in colleges and universities / Linc. Fisch.</t>
        </is>
      </c>
      <c r="F1005" t="inlineStr">
        <is>
          <t>No</t>
        </is>
      </c>
      <c r="G1005" t="inlineStr">
        <is>
          <t>1</t>
        </is>
      </c>
      <c r="H1005" t="inlineStr">
        <is>
          <t>No</t>
        </is>
      </c>
      <c r="I1005" t="inlineStr">
        <is>
          <t>No</t>
        </is>
      </c>
      <c r="J1005" t="inlineStr">
        <is>
          <t>0</t>
        </is>
      </c>
      <c r="K1005" t="inlineStr">
        <is>
          <t>Fisch, Linc.</t>
        </is>
      </c>
      <c r="L1005" t="inlineStr">
        <is>
          <t>Stillwater, Okla. : New Forums Press, Inc., c1996.</t>
        </is>
      </c>
      <c r="M1005" t="inlineStr">
        <is>
          <t>1996</t>
        </is>
      </c>
      <c r="O1005" t="inlineStr">
        <is>
          <t>eng</t>
        </is>
      </c>
      <c r="P1005" t="inlineStr">
        <is>
          <t>oku</t>
        </is>
      </c>
      <c r="Q1005" t="inlineStr">
        <is>
          <t>New Forums faculty development series</t>
        </is>
      </c>
      <c r="R1005" t="inlineStr">
        <is>
          <t xml:space="preserve">LB </t>
        </is>
      </c>
      <c r="S1005" t="n">
        <v>1</v>
      </c>
      <c r="T1005" t="n">
        <v>1</v>
      </c>
      <c r="U1005" t="inlineStr">
        <is>
          <t>2010-11-17</t>
        </is>
      </c>
      <c r="V1005" t="inlineStr">
        <is>
          <t>2010-11-17</t>
        </is>
      </c>
      <c r="W1005" t="inlineStr">
        <is>
          <t>2010-11-17</t>
        </is>
      </c>
      <c r="X1005" t="inlineStr">
        <is>
          <t>2010-11-17</t>
        </is>
      </c>
      <c r="Y1005" t="n">
        <v>59</v>
      </c>
      <c r="Z1005" t="n">
        <v>49</v>
      </c>
      <c r="AA1005" t="n">
        <v>51</v>
      </c>
      <c r="AB1005" t="n">
        <v>2</v>
      </c>
      <c r="AC1005" t="n">
        <v>2</v>
      </c>
      <c r="AD1005" t="n">
        <v>3</v>
      </c>
      <c r="AE1005" t="n">
        <v>3</v>
      </c>
      <c r="AF1005" t="n">
        <v>0</v>
      </c>
      <c r="AG1005" t="n">
        <v>0</v>
      </c>
      <c r="AH1005" t="n">
        <v>1</v>
      </c>
      <c r="AI1005" t="n">
        <v>1</v>
      </c>
      <c r="AJ1005" t="n">
        <v>2</v>
      </c>
      <c r="AK1005" t="n">
        <v>2</v>
      </c>
      <c r="AL1005" t="n">
        <v>1</v>
      </c>
      <c r="AM1005" t="n">
        <v>1</v>
      </c>
      <c r="AN1005" t="n">
        <v>0</v>
      </c>
      <c r="AO1005" t="n">
        <v>0</v>
      </c>
      <c r="AP1005" t="inlineStr">
        <is>
          <t>No</t>
        </is>
      </c>
      <c r="AQ1005" t="inlineStr">
        <is>
          <t>Yes</t>
        </is>
      </c>
      <c r="AR1005">
        <f>HYPERLINK("http://catalog.hathitrust.org/Record/011195933","HathiTrust Record")</f>
        <v/>
      </c>
      <c r="AS1005">
        <f>HYPERLINK("https://creighton-primo.hosted.exlibrisgroup.com/primo-explore/search?tab=default_tab&amp;search_scope=EVERYTHING&amp;vid=01CRU&amp;lang=en_US&amp;offset=0&amp;query=any,contains,991000203259702656","Catalog Record")</f>
        <v/>
      </c>
      <c r="AT1005">
        <f>HYPERLINK("http://www.worldcat.org/oclc/36908494","WorldCat Record")</f>
        <v/>
      </c>
      <c r="AU1005" t="inlineStr">
        <is>
          <t>1017497081:eng</t>
        </is>
      </c>
      <c r="AV1005" t="inlineStr">
        <is>
          <t>36908494</t>
        </is>
      </c>
      <c r="AW1005" t="inlineStr">
        <is>
          <t>991000203259702656</t>
        </is>
      </c>
      <c r="AX1005" t="inlineStr">
        <is>
          <t>991000203259702656</t>
        </is>
      </c>
      <c r="AY1005" t="inlineStr">
        <is>
          <t>2259325420002656</t>
        </is>
      </c>
      <c r="AZ1005" t="inlineStr">
        <is>
          <t>BOOK</t>
        </is>
      </c>
      <c r="BB1005" t="inlineStr">
        <is>
          <t>9780913507698</t>
        </is>
      </c>
      <c r="BC1005" t="inlineStr">
        <is>
          <t>32285005607089</t>
        </is>
      </c>
      <c r="BD1005" t="inlineStr">
        <is>
          <t>893534092</t>
        </is>
      </c>
    </row>
    <row r="1006">
      <c r="A1006" t="inlineStr">
        <is>
          <t>No</t>
        </is>
      </c>
      <c r="B1006" t="inlineStr">
        <is>
          <t>LB2331 .H86 2004</t>
        </is>
      </c>
      <c r="C1006" t="inlineStr">
        <is>
          <t>0                      LB 2331000H  86          2004</t>
        </is>
      </c>
      <c r="D1006" t="inlineStr">
        <is>
          <t>Balancing acts : the scholarship of teaching and learning in academic careers / Mary Taylor Huber.</t>
        </is>
      </c>
      <c r="F1006" t="inlineStr">
        <is>
          <t>No</t>
        </is>
      </c>
      <c r="G1006" t="inlineStr">
        <is>
          <t>1</t>
        </is>
      </c>
      <c r="H1006" t="inlineStr">
        <is>
          <t>No</t>
        </is>
      </c>
      <c r="I1006" t="inlineStr">
        <is>
          <t>No</t>
        </is>
      </c>
      <c r="J1006" t="inlineStr">
        <is>
          <t>0</t>
        </is>
      </c>
      <c r="K1006" t="inlineStr">
        <is>
          <t>Huber, Mary Taylor, 1944-</t>
        </is>
      </c>
      <c r="L1006" t="inlineStr">
        <is>
          <t>Washington, D.C. : American Association for Higher Education : Carnegie Foundation, c2004.</t>
        </is>
      </c>
      <c r="M1006" t="inlineStr">
        <is>
          <t>2004</t>
        </is>
      </c>
      <c r="O1006" t="inlineStr">
        <is>
          <t>eng</t>
        </is>
      </c>
      <c r="P1006" t="inlineStr">
        <is>
          <t>dcu</t>
        </is>
      </c>
      <c r="R1006" t="inlineStr">
        <is>
          <t xml:space="preserve">LB </t>
        </is>
      </c>
      <c r="S1006" t="n">
        <v>1</v>
      </c>
      <c r="T1006" t="n">
        <v>1</v>
      </c>
      <c r="U1006" t="inlineStr">
        <is>
          <t>2008-07-22</t>
        </is>
      </c>
      <c r="V1006" t="inlineStr">
        <is>
          <t>2008-07-22</t>
        </is>
      </c>
      <c r="W1006" t="inlineStr">
        <is>
          <t>2008-07-22</t>
        </is>
      </c>
      <c r="X1006" t="inlineStr">
        <is>
          <t>2008-07-22</t>
        </is>
      </c>
      <c r="Y1006" t="n">
        <v>237</v>
      </c>
      <c r="Z1006" t="n">
        <v>188</v>
      </c>
      <c r="AA1006" t="n">
        <v>236</v>
      </c>
      <c r="AB1006" t="n">
        <v>4</v>
      </c>
      <c r="AC1006" t="n">
        <v>5</v>
      </c>
      <c r="AD1006" t="n">
        <v>13</v>
      </c>
      <c r="AE1006" t="n">
        <v>14</v>
      </c>
      <c r="AF1006" t="n">
        <v>4</v>
      </c>
      <c r="AG1006" t="n">
        <v>4</v>
      </c>
      <c r="AH1006" t="n">
        <v>3</v>
      </c>
      <c r="AI1006" t="n">
        <v>3</v>
      </c>
      <c r="AJ1006" t="n">
        <v>7</v>
      </c>
      <c r="AK1006" t="n">
        <v>7</v>
      </c>
      <c r="AL1006" t="n">
        <v>3</v>
      </c>
      <c r="AM1006" t="n">
        <v>4</v>
      </c>
      <c r="AN1006" t="n">
        <v>0</v>
      </c>
      <c r="AO1006" t="n">
        <v>0</v>
      </c>
      <c r="AP1006" t="inlineStr">
        <is>
          <t>No</t>
        </is>
      </c>
      <c r="AQ1006" t="inlineStr">
        <is>
          <t>No</t>
        </is>
      </c>
      <c r="AS1006">
        <f>HYPERLINK("https://creighton-primo.hosted.exlibrisgroup.com/primo-explore/search?tab=default_tab&amp;search_scope=EVERYTHING&amp;vid=01CRU&amp;lang=en_US&amp;offset=0&amp;query=any,contains,991005242899702656","Catalog Record")</f>
        <v/>
      </c>
      <c r="AT1006">
        <f>HYPERLINK("http://www.worldcat.org/oclc/54770220","WorldCat Record")</f>
        <v/>
      </c>
      <c r="AU1006" t="inlineStr">
        <is>
          <t>13758709:eng</t>
        </is>
      </c>
      <c r="AV1006" t="inlineStr">
        <is>
          <t>54770220</t>
        </is>
      </c>
      <c r="AW1006" t="inlineStr">
        <is>
          <t>991005242899702656</t>
        </is>
      </c>
      <c r="AX1006" t="inlineStr">
        <is>
          <t>991005242899702656</t>
        </is>
      </c>
      <c r="AY1006" t="inlineStr">
        <is>
          <t>2271956030002656</t>
        </is>
      </c>
      <c r="AZ1006" t="inlineStr">
        <is>
          <t>BOOK</t>
        </is>
      </c>
      <c r="BB1006" t="inlineStr">
        <is>
          <t>9781563770654</t>
        </is>
      </c>
      <c r="BC1006" t="inlineStr">
        <is>
          <t>32285005449110</t>
        </is>
      </c>
      <c r="BD1006" t="inlineStr">
        <is>
          <t>893688824</t>
        </is>
      </c>
    </row>
    <row r="1007">
      <c r="A1007" t="inlineStr">
        <is>
          <t>No</t>
        </is>
      </c>
      <c r="B1007" t="inlineStr">
        <is>
          <t>LB2331 .J53 1996</t>
        </is>
      </c>
      <c r="C1007" t="inlineStr">
        <is>
          <t>0                      LB 2331000J  53          1996</t>
        </is>
      </c>
      <c r="D1007" t="inlineStr">
        <is>
          <t>Academic controversy : enriching college instruction through intellectual conflict / by David W. Johnson, Roger T. Johnson, and Karl A. Smith ; prepared by ERIC Clearinghouse on Higher Education, the George Washington University, in cooperation with ASHE, Association for the Study of Higher Education.</t>
        </is>
      </c>
      <c r="F1007" t="inlineStr">
        <is>
          <t>No</t>
        </is>
      </c>
      <c r="G1007" t="inlineStr">
        <is>
          <t>1</t>
        </is>
      </c>
      <c r="H1007" t="inlineStr">
        <is>
          <t>No</t>
        </is>
      </c>
      <c r="I1007" t="inlineStr">
        <is>
          <t>No</t>
        </is>
      </c>
      <c r="J1007" t="inlineStr">
        <is>
          <t>0</t>
        </is>
      </c>
      <c r="K1007" t="inlineStr">
        <is>
          <t>Johnson, David W., 1940-</t>
        </is>
      </c>
      <c r="L1007" t="inlineStr">
        <is>
          <t>Washington, DC : Graduate School of Education and Human Development, George Washington University, [1996]</t>
        </is>
      </c>
      <c r="M1007" t="inlineStr">
        <is>
          <t>1996</t>
        </is>
      </c>
      <c r="O1007" t="inlineStr">
        <is>
          <t>eng</t>
        </is>
      </c>
      <c r="P1007" t="inlineStr">
        <is>
          <t>dcu</t>
        </is>
      </c>
      <c r="Q1007" t="inlineStr">
        <is>
          <t>ASHE-ERIC higher education report, 0884-0040 ; v. 25, no. 3</t>
        </is>
      </c>
      <c r="R1007" t="inlineStr">
        <is>
          <t xml:space="preserve">LB </t>
        </is>
      </c>
      <c r="S1007" t="n">
        <v>1</v>
      </c>
      <c r="T1007" t="n">
        <v>1</v>
      </c>
      <c r="U1007" t="inlineStr">
        <is>
          <t>2003-11-25</t>
        </is>
      </c>
      <c r="V1007" t="inlineStr">
        <is>
          <t>2003-11-25</t>
        </is>
      </c>
      <c r="W1007" t="inlineStr">
        <is>
          <t>2003-11-25</t>
        </is>
      </c>
      <c r="X1007" t="inlineStr">
        <is>
          <t>2003-11-25</t>
        </is>
      </c>
      <c r="Y1007" t="n">
        <v>326</v>
      </c>
      <c r="Z1007" t="n">
        <v>307</v>
      </c>
      <c r="AA1007" t="n">
        <v>332</v>
      </c>
      <c r="AB1007" t="n">
        <v>2</v>
      </c>
      <c r="AC1007" t="n">
        <v>2</v>
      </c>
      <c r="AD1007" t="n">
        <v>17</v>
      </c>
      <c r="AE1007" t="n">
        <v>17</v>
      </c>
      <c r="AF1007" t="n">
        <v>7</v>
      </c>
      <c r="AG1007" t="n">
        <v>7</v>
      </c>
      <c r="AH1007" t="n">
        <v>5</v>
      </c>
      <c r="AI1007" t="n">
        <v>5</v>
      </c>
      <c r="AJ1007" t="n">
        <v>8</v>
      </c>
      <c r="AK1007" t="n">
        <v>8</v>
      </c>
      <c r="AL1007" t="n">
        <v>1</v>
      </c>
      <c r="AM1007" t="n">
        <v>1</v>
      </c>
      <c r="AN1007" t="n">
        <v>1</v>
      </c>
      <c r="AO1007" t="n">
        <v>1</v>
      </c>
      <c r="AP1007" t="inlineStr">
        <is>
          <t>No</t>
        </is>
      </c>
      <c r="AQ1007" t="inlineStr">
        <is>
          <t>Yes</t>
        </is>
      </c>
      <c r="AR1007">
        <f>HYPERLINK("http://catalog.hathitrust.org/Record/003268537","HathiTrust Record")</f>
        <v/>
      </c>
      <c r="AS1007">
        <f>HYPERLINK("https://creighton-primo.hosted.exlibrisgroup.com/primo-explore/search?tab=default_tab&amp;search_scope=EVERYTHING&amp;vid=01CRU&amp;lang=en_US&amp;offset=0&amp;query=any,contains,991004193029702656","Catalog Record")</f>
        <v/>
      </c>
      <c r="AT1007">
        <f>HYPERLINK("http://www.worldcat.org/oclc/37495536","WorldCat Record")</f>
        <v/>
      </c>
      <c r="AU1007" t="inlineStr">
        <is>
          <t>905734600:eng</t>
        </is>
      </c>
      <c r="AV1007" t="inlineStr">
        <is>
          <t>37495536</t>
        </is>
      </c>
      <c r="AW1007" t="inlineStr">
        <is>
          <t>991004193029702656</t>
        </is>
      </c>
      <c r="AX1007" t="inlineStr">
        <is>
          <t>991004193029702656</t>
        </is>
      </c>
      <c r="AY1007" t="inlineStr">
        <is>
          <t>2266497780002656</t>
        </is>
      </c>
      <c r="AZ1007" t="inlineStr">
        <is>
          <t>BOOK</t>
        </is>
      </c>
      <c r="BB1007" t="inlineStr">
        <is>
          <t>9781878380753</t>
        </is>
      </c>
      <c r="BC1007" t="inlineStr">
        <is>
          <t>32285004842745</t>
        </is>
      </c>
      <c r="BD1007" t="inlineStr">
        <is>
          <t>893442330</t>
        </is>
      </c>
    </row>
    <row r="1008">
      <c r="A1008" t="inlineStr">
        <is>
          <t>No</t>
        </is>
      </c>
      <c r="B1008" t="inlineStr">
        <is>
          <t>LB2331 .L96 2003</t>
        </is>
      </c>
      <c r="C1008" t="inlineStr">
        <is>
          <t>0                      LB 2331000L  96          2003</t>
        </is>
      </c>
      <c r="D1008" t="inlineStr">
        <is>
          <t>Teaching college in an age of accountability / Richard E. Lyons, Meggin McIntosh, Marcella L. Kysilka.</t>
        </is>
      </c>
      <c r="F1008" t="inlineStr">
        <is>
          <t>No</t>
        </is>
      </c>
      <c r="G1008" t="inlineStr">
        <is>
          <t>1</t>
        </is>
      </c>
      <c r="H1008" t="inlineStr">
        <is>
          <t>No</t>
        </is>
      </c>
      <c r="I1008" t="inlineStr">
        <is>
          <t>No</t>
        </is>
      </c>
      <c r="J1008" t="inlineStr">
        <is>
          <t>0</t>
        </is>
      </c>
      <c r="K1008" t="inlineStr">
        <is>
          <t>Lyons, Richard E., 1946-</t>
        </is>
      </c>
      <c r="L1008" t="inlineStr">
        <is>
          <t>Boston : Allyn and Bacon, c2003.</t>
        </is>
      </c>
      <c r="M1008" t="inlineStr">
        <is>
          <t>2003</t>
        </is>
      </c>
      <c r="O1008" t="inlineStr">
        <is>
          <t>eng</t>
        </is>
      </c>
      <c r="P1008" t="inlineStr">
        <is>
          <t>mau</t>
        </is>
      </c>
      <c r="R1008" t="inlineStr">
        <is>
          <t xml:space="preserve">LB </t>
        </is>
      </c>
      <c r="S1008" t="n">
        <v>2</v>
      </c>
      <c r="T1008" t="n">
        <v>2</v>
      </c>
      <c r="U1008" t="inlineStr">
        <is>
          <t>2009-06-01</t>
        </is>
      </c>
      <c r="V1008" t="inlineStr">
        <is>
          <t>2009-06-01</t>
        </is>
      </c>
      <c r="W1008" t="inlineStr">
        <is>
          <t>2003-11-25</t>
        </is>
      </c>
      <c r="X1008" t="inlineStr">
        <is>
          <t>2003-11-25</t>
        </is>
      </c>
      <c r="Y1008" t="n">
        <v>317</v>
      </c>
      <c r="Z1008" t="n">
        <v>283</v>
      </c>
      <c r="AA1008" t="n">
        <v>289</v>
      </c>
      <c r="AB1008" t="n">
        <v>4</v>
      </c>
      <c r="AC1008" t="n">
        <v>4</v>
      </c>
      <c r="AD1008" t="n">
        <v>12</v>
      </c>
      <c r="AE1008" t="n">
        <v>12</v>
      </c>
      <c r="AF1008" t="n">
        <v>4</v>
      </c>
      <c r="AG1008" t="n">
        <v>4</v>
      </c>
      <c r="AH1008" t="n">
        <v>2</v>
      </c>
      <c r="AI1008" t="n">
        <v>2</v>
      </c>
      <c r="AJ1008" t="n">
        <v>7</v>
      </c>
      <c r="AK1008" t="n">
        <v>7</v>
      </c>
      <c r="AL1008" t="n">
        <v>3</v>
      </c>
      <c r="AM1008" t="n">
        <v>3</v>
      </c>
      <c r="AN1008" t="n">
        <v>0</v>
      </c>
      <c r="AO1008" t="n">
        <v>0</v>
      </c>
      <c r="AP1008" t="inlineStr">
        <is>
          <t>No</t>
        </is>
      </c>
      <c r="AQ1008" t="inlineStr">
        <is>
          <t>Yes</t>
        </is>
      </c>
      <c r="AR1008">
        <f>HYPERLINK("http://catalog.hathitrust.org/Record/004315112","HathiTrust Record")</f>
        <v/>
      </c>
      <c r="AS1008">
        <f>HYPERLINK("https://creighton-primo.hosted.exlibrisgroup.com/primo-explore/search?tab=default_tab&amp;search_scope=EVERYTHING&amp;vid=01CRU&amp;lang=en_US&amp;offset=0&amp;query=any,contains,991004192049702656","Catalog Record")</f>
        <v/>
      </c>
      <c r="AT1008">
        <f>HYPERLINK("http://www.worldcat.org/oclc/49942545","WorldCat Record")</f>
        <v/>
      </c>
      <c r="AU1008" t="inlineStr">
        <is>
          <t>990570:eng</t>
        </is>
      </c>
      <c r="AV1008" t="inlineStr">
        <is>
          <t>49942545</t>
        </is>
      </c>
      <c r="AW1008" t="inlineStr">
        <is>
          <t>991004192049702656</t>
        </is>
      </c>
      <c r="AX1008" t="inlineStr">
        <is>
          <t>991004192049702656</t>
        </is>
      </c>
      <c r="AY1008" t="inlineStr">
        <is>
          <t>2272422150002656</t>
        </is>
      </c>
      <c r="AZ1008" t="inlineStr">
        <is>
          <t>BOOK</t>
        </is>
      </c>
      <c r="BB1008" t="inlineStr">
        <is>
          <t>9780205353156</t>
        </is>
      </c>
      <c r="BC1008" t="inlineStr">
        <is>
          <t>32285004842307</t>
        </is>
      </c>
      <c r="BD1008" t="inlineStr">
        <is>
          <t>893519350</t>
        </is>
      </c>
    </row>
    <row r="1009">
      <c r="A1009" t="inlineStr">
        <is>
          <t>No</t>
        </is>
      </c>
      <c r="B1009" t="inlineStr">
        <is>
          <t>LB2331 .M345 1990b</t>
        </is>
      </c>
      <c r="C1009" t="inlineStr">
        <is>
          <t>0                      LB 2331000M  345         1990b</t>
        </is>
      </c>
      <c r="D1009" t="inlineStr">
        <is>
          <t>147 practical tips for teaching professors / compiled &amp; edited by Robert Magnan.</t>
        </is>
      </c>
      <c r="F1009" t="inlineStr">
        <is>
          <t>No</t>
        </is>
      </c>
      <c r="G1009" t="inlineStr">
        <is>
          <t>1</t>
        </is>
      </c>
      <c r="H1009" t="inlineStr">
        <is>
          <t>No</t>
        </is>
      </c>
      <c r="I1009" t="inlineStr">
        <is>
          <t>No</t>
        </is>
      </c>
      <c r="J1009" t="inlineStr">
        <is>
          <t>0</t>
        </is>
      </c>
      <c r="K1009" t="inlineStr">
        <is>
          <t>Magnan, Robert.</t>
        </is>
      </c>
      <c r="L1009" t="inlineStr">
        <is>
          <t>Madison, Wis. : Atwood Pub., c1990.</t>
        </is>
      </c>
      <c r="M1009" t="inlineStr">
        <is>
          <t>1990</t>
        </is>
      </c>
      <c r="N1009" t="inlineStr">
        <is>
          <t>Rev. ed.</t>
        </is>
      </c>
      <c r="O1009" t="inlineStr">
        <is>
          <t>eng</t>
        </is>
      </c>
      <c r="P1009" t="inlineStr">
        <is>
          <t>wiu</t>
        </is>
      </c>
      <c r="R1009" t="inlineStr">
        <is>
          <t xml:space="preserve">LB </t>
        </is>
      </c>
      <c r="S1009" t="n">
        <v>1</v>
      </c>
      <c r="T1009" t="n">
        <v>1</v>
      </c>
      <c r="U1009" t="inlineStr">
        <is>
          <t>2003-11-25</t>
        </is>
      </c>
      <c r="V1009" t="inlineStr">
        <is>
          <t>2003-11-25</t>
        </is>
      </c>
      <c r="W1009" t="inlineStr">
        <is>
          <t>2003-11-25</t>
        </is>
      </c>
      <c r="X1009" t="inlineStr">
        <is>
          <t>2003-11-25</t>
        </is>
      </c>
      <c r="Y1009" t="n">
        <v>302</v>
      </c>
      <c r="Z1009" t="n">
        <v>277</v>
      </c>
      <c r="AA1009" t="n">
        <v>648</v>
      </c>
      <c r="AB1009" t="n">
        <v>3</v>
      </c>
      <c r="AC1009" t="n">
        <v>12</v>
      </c>
      <c r="AD1009" t="n">
        <v>7</v>
      </c>
      <c r="AE1009" t="n">
        <v>28</v>
      </c>
      <c r="AF1009" t="n">
        <v>2</v>
      </c>
      <c r="AG1009" t="n">
        <v>13</v>
      </c>
      <c r="AH1009" t="n">
        <v>1</v>
      </c>
      <c r="AI1009" t="n">
        <v>2</v>
      </c>
      <c r="AJ1009" t="n">
        <v>2</v>
      </c>
      <c r="AK1009" t="n">
        <v>7</v>
      </c>
      <c r="AL1009" t="n">
        <v>2</v>
      </c>
      <c r="AM1009" t="n">
        <v>9</v>
      </c>
      <c r="AN1009" t="n">
        <v>1</v>
      </c>
      <c r="AO1009" t="n">
        <v>2</v>
      </c>
      <c r="AP1009" t="inlineStr">
        <is>
          <t>No</t>
        </is>
      </c>
      <c r="AQ1009" t="inlineStr">
        <is>
          <t>Yes</t>
        </is>
      </c>
      <c r="AR1009">
        <f>HYPERLINK("http://catalog.hathitrust.org/Record/007559429","HathiTrust Record")</f>
        <v/>
      </c>
      <c r="AS1009">
        <f>HYPERLINK("https://creighton-primo.hosted.exlibrisgroup.com/primo-explore/search?tab=default_tab&amp;search_scope=EVERYTHING&amp;vid=01CRU&amp;lang=en_US&amp;offset=0&amp;query=any,contains,991004192249702656","Catalog Record")</f>
        <v/>
      </c>
      <c r="AT1009">
        <f>HYPERLINK("http://www.worldcat.org/oclc/40005165","WorldCat Record")</f>
        <v/>
      </c>
      <c r="AU1009" t="inlineStr">
        <is>
          <t>23521287:eng</t>
        </is>
      </c>
      <c r="AV1009" t="inlineStr">
        <is>
          <t>40005165</t>
        </is>
      </c>
      <c r="AW1009" t="inlineStr">
        <is>
          <t>991004192249702656</t>
        </is>
      </c>
      <c r="AX1009" t="inlineStr">
        <is>
          <t>991004192249702656</t>
        </is>
      </c>
      <c r="AY1009" t="inlineStr">
        <is>
          <t>2260109080002656</t>
        </is>
      </c>
      <c r="AZ1009" t="inlineStr">
        <is>
          <t>BOOK</t>
        </is>
      </c>
      <c r="BB1009" t="inlineStr">
        <is>
          <t>9781891859014</t>
        </is>
      </c>
      <c r="BC1009" t="inlineStr">
        <is>
          <t>32285004842083</t>
        </is>
      </c>
      <c r="BD1009" t="inlineStr">
        <is>
          <t>893500247</t>
        </is>
      </c>
    </row>
    <row r="1010">
      <c r="A1010" t="inlineStr">
        <is>
          <t>No</t>
        </is>
      </c>
      <c r="B1010" t="inlineStr">
        <is>
          <t>LB2331 .O58 2000</t>
        </is>
      </c>
      <c r="C1010" t="inlineStr">
        <is>
          <t>0                      LB 2331000O  58          2000</t>
        </is>
      </c>
      <c r="D1010" t="inlineStr">
        <is>
          <t>Opening lines : approaches to the scholarship of teaching and learning / Pat Hutchings, editor.</t>
        </is>
      </c>
      <c r="F1010" t="inlineStr">
        <is>
          <t>No</t>
        </is>
      </c>
      <c r="G1010" t="inlineStr">
        <is>
          <t>1</t>
        </is>
      </c>
      <c r="H1010" t="inlineStr">
        <is>
          <t>No</t>
        </is>
      </c>
      <c r="I1010" t="inlineStr">
        <is>
          <t>No</t>
        </is>
      </c>
      <c r="J1010" t="inlineStr">
        <is>
          <t>0</t>
        </is>
      </c>
      <c r="L1010" t="inlineStr">
        <is>
          <t>Menlo Park, Calif. : Carnegie Foundation for the Advancement of Teaching, c2000.</t>
        </is>
      </c>
      <c r="M1010" t="inlineStr">
        <is>
          <t>2000</t>
        </is>
      </c>
      <c r="O1010" t="inlineStr">
        <is>
          <t>eng</t>
        </is>
      </c>
      <c r="P1010" t="inlineStr">
        <is>
          <t>cau</t>
        </is>
      </c>
      <c r="R1010" t="inlineStr">
        <is>
          <t xml:space="preserve">LB </t>
        </is>
      </c>
      <c r="S1010" t="n">
        <v>2</v>
      </c>
      <c r="T1010" t="n">
        <v>2</v>
      </c>
      <c r="U1010" t="inlineStr">
        <is>
          <t>2007-04-18</t>
        </is>
      </c>
      <c r="V1010" t="inlineStr">
        <is>
          <t>2007-04-18</t>
        </is>
      </c>
      <c r="W1010" t="inlineStr">
        <is>
          <t>2003-12-01</t>
        </is>
      </c>
      <c r="X1010" t="inlineStr">
        <is>
          <t>2003-12-01</t>
        </is>
      </c>
      <c r="Y1010" t="n">
        <v>240</v>
      </c>
      <c r="Z1010" t="n">
        <v>201</v>
      </c>
      <c r="AA1010" t="n">
        <v>202</v>
      </c>
      <c r="AB1010" t="n">
        <v>4</v>
      </c>
      <c r="AC1010" t="n">
        <v>4</v>
      </c>
      <c r="AD1010" t="n">
        <v>14</v>
      </c>
      <c r="AE1010" t="n">
        <v>14</v>
      </c>
      <c r="AF1010" t="n">
        <v>8</v>
      </c>
      <c r="AG1010" t="n">
        <v>8</v>
      </c>
      <c r="AH1010" t="n">
        <v>4</v>
      </c>
      <c r="AI1010" t="n">
        <v>4</v>
      </c>
      <c r="AJ1010" t="n">
        <v>4</v>
      </c>
      <c r="AK1010" t="n">
        <v>4</v>
      </c>
      <c r="AL1010" t="n">
        <v>3</v>
      </c>
      <c r="AM1010" t="n">
        <v>3</v>
      </c>
      <c r="AN1010" t="n">
        <v>0</v>
      </c>
      <c r="AO1010" t="n">
        <v>0</v>
      </c>
      <c r="AP1010" t="inlineStr">
        <is>
          <t>No</t>
        </is>
      </c>
      <c r="AQ1010" t="inlineStr">
        <is>
          <t>No</t>
        </is>
      </c>
      <c r="AS1010">
        <f>HYPERLINK("https://creighton-primo.hosted.exlibrisgroup.com/primo-explore/search?tab=default_tab&amp;search_scope=EVERYTHING&amp;vid=01CRU&amp;lang=en_US&amp;offset=0&amp;query=any,contains,991004194029702656","Catalog Record")</f>
        <v/>
      </c>
      <c r="AT1010">
        <f>HYPERLINK("http://www.worldcat.org/oclc/44934152","WorldCat Record")</f>
        <v/>
      </c>
      <c r="AU1010" t="inlineStr">
        <is>
          <t>44471119:eng</t>
        </is>
      </c>
      <c r="AV1010" t="inlineStr">
        <is>
          <t>44934152</t>
        </is>
      </c>
      <c r="AW1010" t="inlineStr">
        <is>
          <t>991004194029702656</t>
        </is>
      </c>
      <c r="AX1010" t="inlineStr">
        <is>
          <t>991004194029702656</t>
        </is>
      </c>
      <c r="AY1010" t="inlineStr">
        <is>
          <t>2264393840002656</t>
        </is>
      </c>
      <c r="AZ1010" t="inlineStr">
        <is>
          <t>BOOK</t>
        </is>
      </c>
      <c r="BB1010" t="inlineStr">
        <is>
          <t>9780931050688</t>
        </is>
      </c>
      <c r="BC1010" t="inlineStr">
        <is>
          <t>32285004842513</t>
        </is>
      </c>
      <c r="BD1010" t="inlineStr">
        <is>
          <t>893605750</t>
        </is>
      </c>
    </row>
    <row r="1011">
      <c r="A1011" t="inlineStr">
        <is>
          <t>No</t>
        </is>
      </c>
      <c r="B1011" t="inlineStr">
        <is>
          <t>LB2331 .S345 1998</t>
        </is>
      </c>
      <c r="C1011" t="inlineStr">
        <is>
          <t>0                      LB 2331000S  345         1998</t>
        </is>
      </c>
      <c r="D1011" t="inlineStr">
        <is>
          <t>Proclaiming and sustaining excellence : assessment as a faculty role / by Karen Maitland Schilling and Karl L. Schilling ; prepared by ERIC Clearinghouse on Higher Education, the George Washington University, in cooperation with ASHE, Association for the Study of Higher Education.</t>
        </is>
      </c>
      <c r="F1011" t="inlineStr">
        <is>
          <t>No</t>
        </is>
      </c>
      <c r="G1011" t="inlineStr">
        <is>
          <t>1</t>
        </is>
      </c>
      <c r="H1011" t="inlineStr">
        <is>
          <t>No</t>
        </is>
      </c>
      <c r="I1011" t="inlineStr">
        <is>
          <t>No</t>
        </is>
      </c>
      <c r="J1011" t="inlineStr">
        <is>
          <t>0</t>
        </is>
      </c>
      <c r="K1011" t="inlineStr">
        <is>
          <t>Schilling, Karen Maitland.</t>
        </is>
      </c>
      <c r="L1011" t="inlineStr">
        <is>
          <t>Washington, DC : Graduate School of Education and Human Development, George Washington University, [1998]</t>
        </is>
      </c>
      <c r="M1011" t="inlineStr">
        <is>
          <t>1998</t>
        </is>
      </c>
      <c r="O1011" t="inlineStr">
        <is>
          <t>eng</t>
        </is>
      </c>
      <c r="P1011" t="inlineStr">
        <is>
          <t>dcu</t>
        </is>
      </c>
      <c r="Q1011" t="inlineStr">
        <is>
          <t>ASHE-ERIC higher education report, 0884-0040 ; v. 26, no. 3</t>
        </is>
      </c>
      <c r="R1011" t="inlineStr">
        <is>
          <t xml:space="preserve">LB </t>
        </is>
      </c>
      <c r="S1011" t="n">
        <v>1</v>
      </c>
      <c r="T1011" t="n">
        <v>1</v>
      </c>
      <c r="U1011" t="inlineStr">
        <is>
          <t>2003-11-25</t>
        </is>
      </c>
      <c r="V1011" t="inlineStr">
        <is>
          <t>2003-11-25</t>
        </is>
      </c>
      <c r="W1011" t="inlineStr">
        <is>
          <t>2003-11-25</t>
        </is>
      </c>
      <c r="X1011" t="inlineStr">
        <is>
          <t>2003-11-25</t>
        </is>
      </c>
      <c r="Y1011" t="n">
        <v>371</v>
      </c>
      <c r="Z1011" t="n">
        <v>351</v>
      </c>
      <c r="AA1011" t="n">
        <v>352</v>
      </c>
      <c r="AB1011" t="n">
        <v>3</v>
      </c>
      <c r="AC1011" t="n">
        <v>3</v>
      </c>
      <c r="AD1011" t="n">
        <v>22</v>
      </c>
      <c r="AE1011" t="n">
        <v>22</v>
      </c>
      <c r="AF1011" t="n">
        <v>11</v>
      </c>
      <c r="AG1011" t="n">
        <v>11</v>
      </c>
      <c r="AH1011" t="n">
        <v>4</v>
      </c>
      <c r="AI1011" t="n">
        <v>4</v>
      </c>
      <c r="AJ1011" t="n">
        <v>11</v>
      </c>
      <c r="AK1011" t="n">
        <v>11</v>
      </c>
      <c r="AL1011" t="n">
        <v>2</v>
      </c>
      <c r="AM1011" t="n">
        <v>2</v>
      </c>
      <c r="AN1011" t="n">
        <v>0</v>
      </c>
      <c r="AO1011" t="n">
        <v>0</v>
      </c>
      <c r="AP1011" t="inlineStr">
        <is>
          <t>No</t>
        </is>
      </c>
      <c r="AQ1011" t="inlineStr">
        <is>
          <t>No</t>
        </is>
      </c>
      <c r="AS1011">
        <f>HYPERLINK("https://creighton-primo.hosted.exlibrisgroup.com/primo-explore/search?tab=default_tab&amp;search_scope=EVERYTHING&amp;vid=01CRU&amp;lang=en_US&amp;offset=0&amp;query=any,contains,991004192739702656","Catalog Record")</f>
        <v/>
      </c>
      <c r="AT1011">
        <f>HYPERLINK("http://www.worldcat.org/oclc/39390266","WorldCat Record")</f>
        <v/>
      </c>
      <c r="AU1011" t="inlineStr">
        <is>
          <t>917384870:eng</t>
        </is>
      </c>
      <c r="AV1011" t="inlineStr">
        <is>
          <t>39390266</t>
        </is>
      </c>
      <c r="AW1011" t="inlineStr">
        <is>
          <t>991004192739702656</t>
        </is>
      </c>
      <c r="AX1011" t="inlineStr">
        <is>
          <t>991004192739702656</t>
        </is>
      </c>
      <c r="AY1011" t="inlineStr">
        <is>
          <t>2264167700002656</t>
        </is>
      </c>
      <c r="AZ1011" t="inlineStr">
        <is>
          <t>BOOK</t>
        </is>
      </c>
      <c r="BB1011" t="inlineStr">
        <is>
          <t>9781878380838</t>
        </is>
      </c>
      <c r="BC1011" t="inlineStr">
        <is>
          <t>32285004842687</t>
        </is>
      </c>
      <c r="BD1011" t="inlineStr">
        <is>
          <t>893247275</t>
        </is>
      </c>
    </row>
    <row r="1012">
      <c r="A1012" t="inlineStr">
        <is>
          <t>No</t>
        </is>
      </c>
      <c r="B1012" t="inlineStr">
        <is>
          <t>LB2331 .S355</t>
        </is>
      </c>
      <c r="C1012" t="inlineStr">
        <is>
          <t>0                      LB 2331000S  355</t>
        </is>
      </c>
      <c r="D1012" t="inlineStr">
        <is>
          <t>Scholars who teach : the art of college teaching / Steven M. Cahn, editor.</t>
        </is>
      </c>
      <c r="F1012" t="inlineStr">
        <is>
          <t>No</t>
        </is>
      </c>
      <c r="G1012" t="inlineStr">
        <is>
          <t>1</t>
        </is>
      </c>
      <c r="H1012" t="inlineStr">
        <is>
          <t>No</t>
        </is>
      </c>
      <c r="I1012" t="inlineStr">
        <is>
          <t>No</t>
        </is>
      </c>
      <c r="J1012" t="inlineStr">
        <is>
          <t>0</t>
        </is>
      </c>
      <c r="L1012" t="inlineStr">
        <is>
          <t>Chicago : Nelson-Hall, 1978.</t>
        </is>
      </c>
      <c r="M1012" t="inlineStr">
        <is>
          <t>1978</t>
        </is>
      </c>
      <c r="O1012" t="inlineStr">
        <is>
          <t>eng</t>
        </is>
      </c>
      <c r="P1012" t="inlineStr">
        <is>
          <t>ilu</t>
        </is>
      </c>
      <c r="R1012" t="inlineStr">
        <is>
          <t xml:space="preserve">LB </t>
        </is>
      </c>
      <c r="S1012" t="n">
        <v>1</v>
      </c>
      <c r="T1012" t="n">
        <v>1</v>
      </c>
      <c r="U1012" t="inlineStr">
        <is>
          <t>2009-04-11</t>
        </is>
      </c>
      <c r="V1012" t="inlineStr">
        <is>
          <t>2009-04-11</t>
        </is>
      </c>
      <c r="W1012" t="inlineStr">
        <is>
          <t>1992-06-10</t>
        </is>
      </c>
      <c r="X1012" t="inlineStr">
        <is>
          <t>1992-06-10</t>
        </is>
      </c>
      <c r="Y1012" t="n">
        <v>760</v>
      </c>
      <c r="Z1012" t="n">
        <v>709</v>
      </c>
      <c r="AA1012" t="n">
        <v>723</v>
      </c>
      <c r="AB1012" t="n">
        <v>5</v>
      </c>
      <c r="AC1012" t="n">
        <v>5</v>
      </c>
      <c r="AD1012" t="n">
        <v>25</v>
      </c>
      <c r="AE1012" t="n">
        <v>25</v>
      </c>
      <c r="AF1012" t="n">
        <v>7</v>
      </c>
      <c r="AG1012" t="n">
        <v>7</v>
      </c>
      <c r="AH1012" t="n">
        <v>7</v>
      </c>
      <c r="AI1012" t="n">
        <v>7</v>
      </c>
      <c r="AJ1012" t="n">
        <v>12</v>
      </c>
      <c r="AK1012" t="n">
        <v>12</v>
      </c>
      <c r="AL1012" t="n">
        <v>4</v>
      </c>
      <c r="AM1012" t="n">
        <v>4</v>
      </c>
      <c r="AN1012" t="n">
        <v>0</v>
      </c>
      <c r="AO1012" t="n">
        <v>0</v>
      </c>
      <c r="AP1012" t="inlineStr">
        <is>
          <t>No</t>
        </is>
      </c>
      <c r="AQ1012" t="inlineStr">
        <is>
          <t>Yes</t>
        </is>
      </c>
      <c r="AR1012">
        <f>HYPERLINK("http://catalog.hathitrust.org/Record/000092050","HathiTrust Record")</f>
        <v/>
      </c>
      <c r="AS1012">
        <f>HYPERLINK("https://creighton-primo.hosted.exlibrisgroup.com/primo-explore/search?tab=default_tab&amp;search_scope=EVERYTHING&amp;vid=01CRU&amp;lang=en_US&amp;offset=0&amp;query=any,contains,991004480289702656","Catalog Record")</f>
        <v/>
      </c>
      <c r="AT1012">
        <f>HYPERLINK("http://www.worldcat.org/oclc/3627259","WorldCat Record")</f>
        <v/>
      </c>
      <c r="AU1012" t="inlineStr">
        <is>
          <t>866623909:eng</t>
        </is>
      </c>
      <c r="AV1012" t="inlineStr">
        <is>
          <t>3627259</t>
        </is>
      </c>
      <c r="AW1012" t="inlineStr">
        <is>
          <t>991004480289702656</t>
        </is>
      </c>
      <c r="AX1012" t="inlineStr">
        <is>
          <t>991004480289702656</t>
        </is>
      </c>
      <c r="AY1012" t="inlineStr">
        <is>
          <t>2269302300002656</t>
        </is>
      </c>
      <c r="AZ1012" t="inlineStr">
        <is>
          <t>BOOK</t>
        </is>
      </c>
      <c r="BB1012" t="inlineStr">
        <is>
          <t>9780882293738</t>
        </is>
      </c>
      <c r="BC1012" t="inlineStr">
        <is>
          <t>32285001098697</t>
        </is>
      </c>
      <c r="BD1012" t="inlineStr">
        <is>
          <t>893807124</t>
        </is>
      </c>
    </row>
    <row r="1013">
      <c r="A1013" t="inlineStr">
        <is>
          <t>No</t>
        </is>
      </c>
      <c r="B1013" t="inlineStr">
        <is>
          <t>LB2331 .S432 1995</t>
        </is>
      </c>
      <c r="C1013" t="inlineStr">
        <is>
          <t>0                      LB 2331000S  432         1995</t>
        </is>
      </c>
      <c r="D1013" t="inlineStr">
        <is>
          <t>Improving college teaching / Peter Seldin and associates.</t>
        </is>
      </c>
      <c r="F1013" t="inlineStr">
        <is>
          <t>No</t>
        </is>
      </c>
      <c r="G1013" t="inlineStr">
        <is>
          <t>1</t>
        </is>
      </c>
      <c r="H1013" t="inlineStr">
        <is>
          <t>No</t>
        </is>
      </c>
      <c r="I1013" t="inlineStr">
        <is>
          <t>No</t>
        </is>
      </c>
      <c r="J1013" t="inlineStr">
        <is>
          <t>0</t>
        </is>
      </c>
      <c r="K1013" t="inlineStr">
        <is>
          <t>Seldin, Peter.</t>
        </is>
      </c>
      <c r="L1013" t="inlineStr">
        <is>
          <t>Bolton, MA : Anker Pub. Co., c1995.</t>
        </is>
      </c>
      <c r="M1013" t="inlineStr">
        <is>
          <t>1995</t>
        </is>
      </c>
      <c r="O1013" t="inlineStr">
        <is>
          <t>eng</t>
        </is>
      </c>
      <c r="P1013" t="inlineStr">
        <is>
          <t>mau</t>
        </is>
      </c>
      <c r="R1013" t="inlineStr">
        <is>
          <t xml:space="preserve">LB </t>
        </is>
      </c>
      <c r="S1013" t="n">
        <v>2</v>
      </c>
      <c r="T1013" t="n">
        <v>2</v>
      </c>
      <c r="U1013" t="inlineStr">
        <is>
          <t>2006-01-30</t>
        </is>
      </c>
      <c r="V1013" t="inlineStr">
        <is>
          <t>2006-01-30</t>
        </is>
      </c>
      <c r="W1013" t="inlineStr">
        <is>
          <t>2003-11-25</t>
        </is>
      </c>
      <c r="X1013" t="inlineStr">
        <is>
          <t>2003-11-25</t>
        </is>
      </c>
      <c r="Y1013" t="n">
        <v>398</v>
      </c>
      <c r="Z1013" t="n">
        <v>374</v>
      </c>
      <c r="AA1013" t="n">
        <v>376</v>
      </c>
      <c r="AB1013" t="n">
        <v>2</v>
      </c>
      <c r="AC1013" t="n">
        <v>2</v>
      </c>
      <c r="AD1013" t="n">
        <v>16</v>
      </c>
      <c r="AE1013" t="n">
        <v>16</v>
      </c>
      <c r="AF1013" t="n">
        <v>7</v>
      </c>
      <c r="AG1013" t="n">
        <v>7</v>
      </c>
      <c r="AH1013" t="n">
        <v>5</v>
      </c>
      <c r="AI1013" t="n">
        <v>5</v>
      </c>
      <c r="AJ1013" t="n">
        <v>8</v>
      </c>
      <c r="AK1013" t="n">
        <v>8</v>
      </c>
      <c r="AL1013" t="n">
        <v>1</v>
      </c>
      <c r="AM1013" t="n">
        <v>1</v>
      </c>
      <c r="AN1013" t="n">
        <v>0</v>
      </c>
      <c r="AO1013" t="n">
        <v>0</v>
      </c>
      <c r="AP1013" t="inlineStr">
        <is>
          <t>No</t>
        </is>
      </c>
      <c r="AQ1013" t="inlineStr">
        <is>
          <t>Yes</t>
        </is>
      </c>
      <c r="AR1013">
        <f>HYPERLINK("http://catalog.hathitrust.org/Record/101981233","HathiTrust Record")</f>
        <v/>
      </c>
      <c r="AS1013">
        <f>HYPERLINK("https://creighton-primo.hosted.exlibrisgroup.com/primo-explore/search?tab=default_tab&amp;search_scope=EVERYTHING&amp;vid=01CRU&amp;lang=en_US&amp;offset=0&amp;query=any,contains,991004191169702656","Catalog Record")</f>
        <v/>
      </c>
      <c r="AT1013">
        <f>HYPERLINK("http://www.worldcat.org/oclc/32571185","WorldCat Record")</f>
        <v/>
      </c>
      <c r="AU1013" t="inlineStr">
        <is>
          <t>34428529:eng</t>
        </is>
      </c>
      <c r="AV1013" t="inlineStr">
        <is>
          <t>32571185</t>
        </is>
      </c>
      <c r="AW1013" t="inlineStr">
        <is>
          <t>991004191169702656</t>
        </is>
      </c>
      <c r="AX1013" t="inlineStr">
        <is>
          <t>991004191169702656</t>
        </is>
      </c>
      <c r="AY1013" t="inlineStr">
        <is>
          <t>2262782580002656</t>
        </is>
      </c>
      <c r="AZ1013" t="inlineStr">
        <is>
          <t>BOOK</t>
        </is>
      </c>
      <c r="BB1013" t="inlineStr">
        <is>
          <t>9781882982080</t>
        </is>
      </c>
      <c r="BC1013" t="inlineStr">
        <is>
          <t>32285004841069</t>
        </is>
      </c>
      <c r="BD1013" t="inlineStr">
        <is>
          <t>893888400</t>
        </is>
      </c>
    </row>
    <row r="1014">
      <c r="A1014" t="inlineStr">
        <is>
          <t>No</t>
        </is>
      </c>
      <c r="B1014" t="inlineStr">
        <is>
          <t>LB2331 .S46 1995</t>
        </is>
      </c>
      <c r="C1014" t="inlineStr">
        <is>
          <t>0                      LB 2331000S  46          1995</t>
        </is>
      </c>
      <c r="D1014" t="inlineStr">
        <is>
          <t>The seven principles in action : improving undergraduate education / Susan Rickey Hatfield, editor ; with David G. Brown ... [et al.] ; and special sections by Martin Nemko, contributing editor.</t>
        </is>
      </c>
      <c r="F1014" t="inlineStr">
        <is>
          <t>No</t>
        </is>
      </c>
      <c r="G1014" t="inlineStr">
        <is>
          <t>1</t>
        </is>
      </c>
      <c r="H1014" t="inlineStr">
        <is>
          <t>No</t>
        </is>
      </c>
      <c r="I1014" t="inlineStr">
        <is>
          <t>No</t>
        </is>
      </c>
      <c r="J1014" t="inlineStr">
        <is>
          <t>0</t>
        </is>
      </c>
      <c r="L1014" t="inlineStr">
        <is>
          <t>Bolton, MA : Anker Pub. Co., c1995.</t>
        </is>
      </c>
      <c r="M1014" t="inlineStr">
        <is>
          <t>1995</t>
        </is>
      </c>
      <c r="O1014" t="inlineStr">
        <is>
          <t>eng</t>
        </is>
      </c>
      <c r="P1014" t="inlineStr">
        <is>
          <t>mau</t>
        </is>
      </c>
      <c r="R1014" t="inlineStr">
        <is>
          <t xml:space="preserve">LB </t>
        </is>
      </c>
      <c r="S1014" t="n">
        <v>1</v>
      </c>
      <c r="T1014" t="n">
        <v>1</v>
      </c>
      <c r="U1014" t="inlineStr">
        <is>
          <t>2003-11-25</t>
        </is>
      </c>
      <c r="V1014" t="inlineStr">
        <is>
          <t>2003-11-25</t>
        </is>
      </c>
      <c r="W1014" t="inlineStr">
        <is>
          <t>2003-11-25</t>
        </is>
      </c>
      <c r="X1014" t="inlineStr">
        <is>
          <t>2003-11-25</t>
        </is>
      </c>
      <c r="Y1014" t="n">
        <v>254</v>
      </c>
      <c r="Z1014" t="n">
        <v>232</v>
      </c>
      <c r="AA1014" t="n">
        <v>234</v>
      </c>
      <c r="AB1014" t="n">
        <v>6</v>
      </c>
      <c r="AC1014" t="n">
        <v>6</v>
      </c>
      <c r="AD1014" t="n">
        <v>15</v>
      </c>
      <c r="AE1014" t="n">
        <v>15</v>
      </c>
      <c r="AF1014" t="n">
        <v>4</v>
      </c>
      <c r="AG1014" t="n">
        <v>4</v>
      </c>
      <c r="AH1014" t="n">
        <v>4</v>
      </c>
      <c r="AI1014" t="n">
        <v>4</v>
      </c>
      <c r="AJ1014" t="n">
        <v>6</v>
      </c>
      <c r="AK1014" t="n">
        <v>6</v>
      </c>
      <c r="AL1014" t="n">
        <v>5</v>
      </c>
      <c r="AM1014" t="n">
        <v>5</v>
      </c>
      <c r="AN1014" t="n">
        <v>0</v>
      </c>
      <c r="AO1014" t="n">
        <v>0</v>
      </c>
      <c r="AP1014" t="inlineStr">
        <is>
          <t>No</t>
        </is>
      </c>
      <c r="AQ1014" t="inlineStr">
        <is>
          <t>Yes</t>
        </is>
      </c>
      <c r="AR1014">
        <f>HYPERLINK("http://catalog.hathitrust.org/Record/101987520","HathiTrust Record")</f>
        <v/>
      </c>
      <c r="AS1014">
        <f>HYPERLINK("https://creighton-primo.hosted.exlibrisgroup.com/primo-explore/search?tab=default_tab&amp;search_scope=EVERYTHING&amp;vid=01CRU&amp;lang=en_US&amp;offset=0&amp;query=any,contains,991004190919702656","Catalog Record")</f>
        <v/>
      </c>
      <c r="AT1014">
        <f>HYPERLINK("http://www.worldcat.org/oclc/31908945","WorldCat Record")</f>
        <v/>
      </c>
      <c r="AU1014" t="inlineStr">
        <is>
          <t>33769271:eng</t>
        </is>
      </c>
      <c r="AV1014" t="inlineStr">
        <is>
          <t>31908945</t>
        </is>
      </c>
      <c r="AW1014" t="inlineStr">
        <is>
          <t>991004190919702656</t>
        </is>
      </c>
      <c r="AX1014" t="inlineStr">
        <is>
          <t>991004190919702656</t>
        </is>
      </c>
      <c r="AY1014" t="inlineStr">
        <is>
          <t>2270726400002656</t>
        </is>
      </c>
      <c r="AZ1014" t="inlineStr">
        <is>
          <t>BOOK</t>
        </is>
      </c>
      <c r="BB1014" t="inlineStr">
        <is>
          <t>9781882982059</t>
        </is>
      </c>
      <c r="BC1014" t="inlineStr">
        <is>
          <t>32285004841267</t>
        </is>
      </c>
      <c r="BD1014" t="inlineStr">
        <is>
          <t>893718602</t>
        </is>
      </c>
    </row>
    <row r="1015">
      <c r="A1015" t="inlineStr">
        <is>
          <t>No</t>
        </is>
      </c>
      <c r="B1015" t="inlineStr">
        <is>
          <t>LB2331 .S473 1999</t>
        </is>
      </c>
      <c r="C1015" t="inlineStr">
        <is>
          <t>0                      LB 2331000S  473         1999</t>
        </is>
      </c>
      <c r="D1015" t="inlineStr">
        <is>
          <t>Creating learning communities : a practical guide to winning support, organizing for change, and implementing programs / Nancy S. Shapiro, Jodi H. Levine.</t>
        </is>
      </c>
      <c r="F1015" t="inlineStr">
        <is>
          <t>No</t>
        </is>
      </c>
      <c r="G1015" t="inlineStr">
        <is>
          <t>1</t>
        </is>
      </c>
      <c r="H1015" t="inlineStr">
        <is>
          <t>No</t>
        </is>
      </c>
      <c r="I1015" t="inlineStr">
        <is>
          <t>No</t>
        </is>
      </c>
      <c r="J1015" t="inlineStr">
        <is>
          <t>0</t>
        </is>
      </c>
      <c r="K1015" t="inlineStr">
        <is>
          <t>Shapiro, Nancy Sherman.</t>
        </is>
      </c>
      <c r="L1015" t="inlineStr">
        <is>
          <t>San Francisco : Jossey-Bass Publishers, c1999.</t>
        </is>
      </c>
      <c r="M1015" t="inlineStr">
        <is>
          <t>1999</t>
        </is>
      </c>
      <c r="N1015" t="inlineStr">
        <is>
          <t>1st ed.</t>
        </is>
      </c>
      <c r="O1015" t="inlineStr">
        <is>
          <t>eng</t>
        </is>
      </c>
      <c r="P1015" t="inlineStr">
        <is>
          <t>cau</t>
        </is>
      </c>
      <c r="Q1015" t="inlineStr">
        <is>
          <t>The Jossey-Bass higher and adult education series</t>
        </is>
      </c>
      <c r="R1015" t="inlineStr">
        <is>
          <t xml:space="preserve">LB </t>
        </is>
      </c>
      <c r="S1015" t="n">
        <v>2</v>
      </c>
      <c r="T1015" t="n">
        <v>2</v>
      </c>
      <c r="U1015" t="inlineStr">
        <is>
          <t>2004-06-14</t>
        </is>
      </c>
      <c r="V1015" t="inlineStr">
        <is>
          <t>2004-06-14</t>
        </is>
      </c>
      <c r="W1015" t="inlineStr">
        <is>
          <t>2003-11-24</t>
        </is>
      </c>
      <c r="X1015" t="inlineStr">
        <is>
          <t>2003-11-24</t>
        </is>
      </c>
      <c r="Y1015" t="n">
        <v>799</v>
      </c>
      <c r="Z1015" t="n">
        <v>713</v>
      </c>
      <c r="AA1015" t="n">
        <v>720</v>
      </c>
      <c r="AB1015" t="n">
        <v>6</v>
      </c>
      <c r="AC1015" t="n">
        <v>6</v>
      </c>
      <c r="AD1015" t="n">
        <v>30</v>
      </c>
      <c r="AE1015" t="n">
        <v>30</v>
      </c>
      <c r="AF1015" t="n">
        <v>12</v>
      </c>
      <c r="AG1015" t="n">
        <v>12</v>
      </c>
      <c r="AH1015" t="n">
        <v>7</v>
      </c>
      <c r="AI1015" t="n">
        <v>7</v>
      </c>
      <c r="AJ1015" t="n">
        <v>15</v>
      </c>
      <c r="AK1015" t="n">
        <v>15</v>
      </c>
      <c r="AL1015" t="n">
        <v>5</v>
      </c>
      <c r="AM1015" t="n">
        <v>5</v>
      </c>
      <c r="AN1015" t="n">
        <v>0</v>
      </c>
      <c r="AO1015" t="n">
        <v>0</v>
      </c>
      <c r="AP1015" t="inlineStr">
        <is>
          <t>No</t>
        </is>
      </c>
      <c r="AQ1015" t="inlineStr">
        <is>
          <t>Yes</t>
        </is>
      </c>
      <c r="AR1015">
        <f>HYPERLINK("http://catalog.hathitrust.org/Record/004052232","HathiTrust Record")</f>
        <v/>
      </c>
      <c r="AS1015">
        <f>HYPERLINK("https://creighton-primo.hosted.exlibrisgroup.com/primo-explore/search?tab=default_tab&amp;search_scope=EVERYTHING&amp;vid=01CRU&amp;lang=en_US&amp;offset=0&amp;query=any,contains,991004188839702656","Catalog Record")</f>
        <v/>
      </c>
      <c r="AT1015">
        <f>HYPERLINK("http://www.worldcat.org/oclc/41606231","WorldCat Record")</f>
        <v/>
      </c>
      <c r="AU1015" t="inlineStr">
        <is>
          <t>894339607:eng</t>
        </is>
      </c>
      <c r="AV1015" t="inlineStr">
        <is>
          <t>41606231</t>
        </is>
      </c>
      <c r="AW1015" t="inlineStr">
        <is>
          <t>991004188839702656</t>
        </is>
      </c>
      <c r="AX1015" t="inlineStr">
        <is>
          <t>991004188839702656</t>
        </is>
      </c>
      <c r="AY1015" t="inlineStr">
        <is>
          <t>2258746630002656</t>
        </is>
      </c>
      <c r="AZ1015" t="inlineStr">
        <is>
          <t>BOOK</t>
        </is>
      </c>
      <c r="BB1015" t="inlineStr">
        <is>
          <t>9780787944629</t>
        </is>
      </c>
      <c r="BC1015" t="inlineStr">
        <is>
          <t>32285004841036</t>
        </is>
      </c>
      <c r="BD1015" t="inlineStr">
        <is>
          <t>893869410</t>
        </is>
      </c>
    </row>
    <row r="1016">
      <c r="A1016" t="inlineStr">
        <is>
          <t>No</t>
        </is>
      </c>
      <c r="B1016" t="inlineStr">
        <is>
          <t>LB2331 .S573 1999</t>
        </is>
      </c>
      <c r="C1016" t="inlineStr">
        <is>
          <t>0                      LB 2331000S  573         1999</t>
        </is>
      </c>
      <c r="D1016" t="inlineStr">
        <is>
          <t>The social worlds of higher education : handbook for teaching in a new century / edited by Bernice A. Pescosolido, Ronald Aminzade.</t>
        </is>
      </c>
      <c r="F1016" t="inlineStr">
        <is>
          <t>No</t>
        </is>
      </c>
      <c r="G1016" t="inlineStr">
        <is>
          <t>1</t>
        </is>
      </c>
      <c r="H1016" t="inlineStr">
        <is>
          <t>No</t>
        </is>
      </c>
      <c r="I1016" t="inlineStr">
        <is>
          <t>No</t>
        </is>
      </c>
      <c r="J1016" t="inlineStr">
        <is>
          <t>0</t>
        </is>
      </c>
      <c r="L1016" t="inlineStr">
        <is>
          <t>Thousand Oaks, Calif. : Pine Forge Press, c1999.</t>
        </is>
      </c>
      <c r="M1016" t="inlineStr">
        <is>
          <t>1999</t>
        </is>
      </c>
      <c r="O1016" t="inlineStr">
        <is>
          <t>eng</t>
        </is>
      </c>
      <c r="P1016" t="inlineStr">
        <is>
          <t>cau</t>
        </is>
      </c>
      <c r="R1016" t="inlineStr">
        <is>
          <t xml:space="preserve">LB </t>
        </is>
      </c>
      <c r="S1016" t="n">
        <v>8</v>
      </c>
      <c r="T1016" t="n">
        <v>8</v>
      </c>
      <c r="U1016" t="inlineStr">
        <is>
          <t>2005-09-19</t>
        </is>
      </c>
      <c r="V1016" t="inlineStr">
        <is>
          <t>2005-09-19</t>
        </is>
      </c>
      <c r="W1016" t="inlineStr">
        <is>
          <t>2000-04-11</t>
        </is>
      </c>
      <c r="X1016" t="inlineStr">
        <is>
          <t>2000-04-11</t>
        </is>
      </c>
      <c r="Y1016" t="n">
        <v>325</v>
      </c>
      <c r="Z1016" t="n">
        <v>279</v>
      </c>
      <c r="AA1016" t="n">
        <v>313</v>
      </c>
      <c r="AB1016" t="n">
        <v>4</v>
      </c>
      <c r="AC1016" t="n">
        <v>4</v>
      </c>
      <c r="AD1016" t="n">
        <v>11</v>
      </c>
      <c r="AE1016" t="n">
        <v>12</v>
      </c>
      <c r="AF1016" t="n">
        <v>3</v>
      </c>
      <c r="AG1016" t="n">
        <v>3</v>
      </c>
      <c r="AH1016" t="n">
        <v>4</v>
      </c>
      <c r="AI1016" t="n">
        <v>4</v>
      </c>
      <c r="AJ1016" t="n">
        <v>4</v>
      </c>
      <c r="AK1016" t="n">
        <v>5</v>
      </c>
      <c r="AL1016" t="n">
        <v>3</v>
      </c>
      <c r="AM1016" t="n">
        <v>3</v>
      </c>
      <c r="AN1016" t="n">
        <v>0</v>
      </c>
      <c r="AO1016" t="n">
        <v>0</v>
      </c>
      <c r="AP1016" t="inlineStr">
        <is>
          <t>No</t>
        </is>
      </c>
      <c r="AQ1016" t="inlineStr">
        <is>
          <t>Yes</t>
        </is>
      </c>
      <c r="AR1016">
        <f>HYPERLINK("http://catalog.hathitrust.org/Record/004116182","HathiTrust Record")</f>
        <v/>
      </c>
      <c r="AS1016">
        <f>HYPERLINK("https://creighton-primo.hosted.exlibrisgroup.com/primo-explore/search?tab=default_tab&amp;search_scope=EVERYTHING&amp;vid=01CRU&amp;lang=en_US&amp;offset=0&amp;query=any,contains,991004715529702656","Catalog Record")</f>
        <v/>
      </c>
      <c r="AT1016">
        <f>HYPERLINK("http://www.worldcat.org/oclc/39671279","WorldCat Record")</f>
        <v/>
      </c>
      <c r="AU1016" t="inlineStr">
        <is>
          <t>836979912:eng</t>
        </is>
      </c>
      <c r="AV1016" t="inlineStr">
        <is>
          <t>39671279</t>
        </is>
      </c>
      <c r="AW1016" t="inlineStr">
        <is>
          <t>991004715529702656</t>
        </is>
      </c>
      <c r="AX1016" t="inlineStr">
        <is>
          <t>991004715529702656</t>
        </is>
      </c>
      <c r="AY1016" t="inlineStr">
        <is>
          <t>2265085320002656</t>
        </is>
      </c>
      <c r="AZ1016" t="inlineStr">
        <is>
          <t>BOOK</t>
        </is>
      </c>
      <c r="BB1016" t="inlineStr">
        <is>
          <t>9780761986133</t>
        </is>
      </c>
      <c r="BC1016" t="inlineStr">
        <is>
          <t>32285003686804</t>
        </is>
      </c>
      <c r="BD1016" t="inlineStr">
        <is>
          <t>893331957</t>
        </is>
      </c>
    </row>
    <row r="1017">
      <c r="A1017" t="inlineStr">
        <is>
          <t>No</t>
        </is>
      </c>
      <c r="B1017" t="inlineStr">
        <is>
          <t>LB2331 .T34 1997</t>
        </is>
      </c>
      <c r="C1017" t="inlineStr">
        <is>
          <t>0                      LB 2331000T  34          1997</t>
        </is>
      </c>
      <c r="D1017" t="inlineStr">
        <is>
          <t>Teaching and performing : ideas for energizing your classes / William M. Timpson ... [et al.].</t>
        </is>
      </c>
      <c r="F1017" t="inlineStr">
        <is>
          <t>No</t>
        </is>
      </c>
      <c r="G1017" t="inlineStr">
        <is>
          <t>1</t>
        </is>
      </c>
      <c r="H1017" t="inlineStr">
        <is>
          <t>No</t>
        </is>
      </c>
      <c r="I1017" t="inlineStr">
        <is>
          <t>No</t>
        </is>
      </c>
      <c r="J1017" t="inlineStr">
        <is>
          <t>0</t>
        </is>
      </c>
      <c r="L1017" t="inlineStr">
        <is>
          <t>Madison, Wis. : Magna Publications, c1997.</t>
        </is>
      </c>
      <c r="M1017" t="inlineStr">
        <is>
          <t>1997</t>
        </is>
      </c>
      <c r="O1017" t="inlineStr">
        <is>
          <t>eng</t>
        </is>
      </c>
      <c r="P1017" t="inlineStr">
        <is>
          <t>wiu</t>
        </is>
      </c>
      <c r="R1017" t="inlineStr">
        <is>
          <t xml:space="preserve">LB </t>
        </is>
      </c>
      <c r="S1017" t="n">
        <v>1</v>
      </c>
      <c r="T1017" t="n">
        <v>1</v>
      </c>
      <c r="U1017" t="inlineStr">
        <is>
          <t>2003-11-25</t>
        </is>
      </c>
      <c r="V1017" t="inlineStr">
        <is>
          <t>2003-11-25</t>
        </is>
      </c>
      <c r="W1017" t="inlineStr">
        <is>
          <t>2003-11-25</t>
        </is>
      </c>
      <c r="X1017" t="inlineStr">
        <is>
          <t>2003-11-25</t>
        </is>
      </c>
      <c r="Y1017" t="n">
        <v>263</v>
      </c>
      <c r="Z1017" t="n">
        <v>238</v>
      </c>
      <c r="AA1017" t="n">
        <v>340</v>
      </c>
      <c r="AB1017" t="n">
        <v>4</v>
      </c>
      <c r="AC1017" t="n">
        <v>4</v>
      </c>
      <c r="AD1017" t="n">
        <v>8</v>
      </c>
      <c r="AE1017" t="n">
        <v>11</v>
      </c>
      <c r="AF1017" t="n">
        <v>2</v>
      </c>
      <c r="AG1017" t="n">
        <v>4</v>
      </c>
      <c r="AH1017" t="n">
        <v>2</v>
      </c>
      <c r="AI1017" t="n">
        <v>3</v>
      </c>
      <c r="AJ1017" t="n">
        <v>2</v>
      </c>
      <c r="AK1017" t="n">
        <v>3</v>
      </c>
      <c r="AL1017" t="n">
        <v>3</v>
      </c>
      <c r="AM1017" t="n">
        <v>3</v>
      </c>
      <c r="AN1017" t="n">
        <v>0</v>
      </c>
      <c r="AO1017" t="n">
        <v>0</v>
      </c>
      <c r="AP1017" t="inlineStr">
        <is>
          <t>No</t>
        </is>
      </c>
      <c r="AQ1017" t="inlineStr">
        <is>
          <t>Yes</t>
        </is>
      </c>
      <c r="AR1017">
        <f>HYPERLINK("http://catalog.hathitrust.org/Record/004051465","HathiTrust Record")</f>
        <v/>
      </c>
      <c r="AS1017">
        <f>HYPERLINK("https://creighton-primo.hosted.exlibrisgroup.com/primo-explore/search?tab=default_tab&amp;search_scope=EVERYTHING&amp;vid=01CRU&amp;lang=en_US&amp;offset=0&amp;query=any,contains,991004191349702656","Catalog Record")</f>
        <v/>
      </c>
      <c r="AT1017">
        <f>HYPERLINK("http://www.worldcat.org/oclc/35667165","WorldCat Record")</f>
        <v/>
      </c>
      <c r="AU1017" t="inlineStr">
        <is>
          <t>40494001:eng</t>
        </is>
      </c>
      <c r="AV1017" t="inlineStr">
        <is>
          <t>35667165</t>
        </is>
      </c>
      <c r="AW1017" t="inlineStr">
        <is>
          <t>991004191349702656</t>
        </is>
      </c>
      <c r="AX1017" t="inlineStr">
        <is>
          <t>991004191349702656</t>
        </is>
      </c>
      <c r="AY1017" t="inlineStr">
        <is>
          <t>2260997310002656</t>
        </is>
      </c>
      <c r="AZ1017" t="inlineStr">
        <is>
          <t>BOOK</t>
        </is>
      </c>
      <c r="BB1017" t="inlineStr">
        <is>
          <t>9780912150444</t>
        </is>
      </c>
      <c r="BC1017" t="inlineStr">
        <is>
          <t>32285004841952</t>
        </is>
      </c>
      <c r="BD1017" t="inlineStr">
        <is>
          <t>893259434</t>
        </is>
      </c>
    </row>
    <row r="1018">
      <c r="A1018" t="inlineStr">
        <is>
          <t>No</t>
        </is>
      </c>
      <c r="B1018" t="inlineStr">
        <is>
          <t>LB2331 .T381 1992</t>
        </is>
      </c>
      <c r="C1018" t="inlineStr">
        <is>
          <t>0                      LB 2331000T  381         1992</t>
        </is>
      </c>
      <c r="D1018" t="inlineStr">
        <is>
          <t>Teaching for diversity / Laura L.B. Border, Nancy Van Note Chism, editors.</t>
        </is>
      </c>
      <c r="F1018" t="inlineStr">
        <is>
          <t>No</t>
        </is>
      </c>
      <c r="G1018" t="inlineStr">
        <is>
          <t>1</t>
        </is>
      </c>
      <c r="H1018" t="inlineStr">
        <is>
          <t>No</t>
        </is>
      </c>
      <c r="I1018" t="inlineStr">
        <is>
          <t>No</t>
        </is>
      </c>
      <c r="J1018" t="inlineStr">
        <is>
          <t>0</t>
        </is>
      </c>
      <c r="L1018" t="inlineStr">
        <is>
          <t>San Francisco : Jossey-Bass, 1992.</t>
        </is>
      </c>
      <c r="M1018" t="inlineStr">
        <is>
          <t>1992</t>
        </is>
      </c>
      <c r="O1018" t="inlineStr">
        <is>
          <t>eng</t>
        </is>
      </c>
      <c r="P1018" t="inlineStr">
        <is>
          <t>cau</t>
        </is>
      </c>
      <c r="Q1018" t="inlineStr">
        <is>
          <t>Jossey-Bass higher and adult education series</t>
        </is>
      </c>
      <c r="R1018" t="inlineStr">
        <is>
          <t xml:space="preserve">LB </t>
        </is>
      </c>
      <c r="S1018" t="n">
        <v>6</v>
      </c>
      <c r="T1018" t="n">
        <v>6</v>
      </c>
      <c r="U1018" t="inlineStr">
        <is>
          <t>2009-02-07</t>
        </is>
      </c>
      <c r="V1018" t="inlineStr">
        <is>
          <t>2009-02-07</t>
        </is>
      </c>
      <c r="W1018" t="inlineStr">
        <is>
          <t>1996-03-01</t>
        </is>
      </c>
      <c r="X1018" t="inlineStr">
        <is>
          <t>1996-03-01</t>
        </is>
      </c>
      <c r="Y1018" t="n">
        <v>447</v>
      </c>
      <c r="Z1018" t="n">
        <v>404</v>
      </c>
      <c r="AA1018" t="n">
        <v>407</v>
      </c>
      <c r="AB1018" t="n">
        <v>3</v>
      </c>
      <c r="AC1018" t="n">
        <v>3</v>
      </c>
      <c r="AD1018" t="n">
        <v>20</v>
      </c>
      <c r="AE1018" t="n">
        <v>20</v>
      </c>
      <c r="AF1018" t="n">
        <v>6</v>
      </c>
      <c r="AG1018" t="n">
        <v>6</v>
      </c>
      <c r="AH1018" t="n">
        <v>7</v>
      </c>
      <c r="AI1018" t="n">
        <v>7</v>
      </c>
      <c r="AJ1018" t="n">
        <v>10</v>
      </c>
      <c r="AK1018" t="n">
        <v>10</v>
      </c>
      <c r="AL1018" t="n">
        <v>2</v>
      </c>
      <c r="AM1018" t="n">
        <v>2</v>
      </c>
      <c r="AN1018" t="n">
        <v>0</v>
      </c>
      <c r="AO1018" t="n">
        <v>0</v>
      </c>
      <c r="AP1018" t="inlineStr">
        <is>
          <t>No</t>
        </is>
      </c>
      <c r="AQ1018" t="inlineStr">
        <is>
          <t>Yes</t>
        </is>
      </c>
      <c r="AR1018">
        <f>HYPERLINK("http://catalog.hathitrust.org/Record/002611991","HathiTrust Record")</f>
        <v/>
      </c>
      <c r="AS1018">
        <f>HYPERLINK("https://creighton-primo.hosted.exlibrisgroup.com/primo-explore/search?tab=default_tab&amp;search_scope=EVERYTHING&amp;vid=01CRU&amp;lang=en_US&amp;offset=0&amp;query=any,contains,991002017399702656","Catalog Record")</f>
        <v/>
      </c>
      <c r="AT1018">
        <f>HYPERLINK("http://www.worldcat.org/oclc/25650318","WorldCat Record")</f>
        <v/>
      </c>
      <c r="AU1018" t="inlineStr">
        <is>
          <t>433952722:eng</t>
        </is>
      </c>
      <c r="AV1018" t="inlineStr">
        <is>
          <t>25650318</t>
        </is>
      </c>
      <c r="AW1018" t="inlineStr">
        <is>
          <t>991002017399702656</t>
        </is>
      </c>
      <c r="AX1018" t="inlineStr">
        <is>
          <t>991002017399702656</t>
        </is>
      </c>
      <c r="AY1018" t="inlineStr">
        <is>
          <t>2269276260002656</t>
        </is>
      </c>
      <c r="AZ1018" t="inlineStr">
        <is>
          <t>BOOK</t>
        </is>
      </c>
      <c r="BB1018" t="inlineStr">
        <is>
          <t>9781555427634</t>
        </is>
      </c>
      <c r="BC1018" t="inlineStr">
        <is>
          <t>32285002138948</t>
        </is>
      </c>
      <c r="BD1018" t="inlineStr">
        <is>
          <t>893503924</t>
        </is>
      </c>
    </row>
    <row r="1019">
      <c r="A1019" t="inlineStr">
        <is>
          <t>No</t>
        </is>
      </c>
      <c r="B1019" t="inlineStr">
        <is>
          <t>LB2331 .T73 1997</t>
        </is>
      </c>
      <c r="C1019" t="inlineStr">
        <is>
          <t>0                      LB 2331000T  73          1997</t>
        </is>
      </c>
      <c r="D1019" t="inlineStr">
        <is>
          <t>Models for improving college teaching : a faculty resource / by Jon E. Travis.</t>
        </is>
      </c>
      <c r="F1019" t="inlineStr">
        <is>
          <t>No</t>
        </is>
      </c>
      <c r="G1019" t="inlineStr">
        <is>
          <t>1</t>
        </is>
      </c>
      <c r="H1019" t="inlineStr">
        <is>
          <t>No</t>
        </is>
      </c>
      <c r="I1019" t="inlineStr">
        <is>
          <t>No</t>
        </is>
      </c>
      <c r="J1019" t="inlineStr">
        <is>
          <t>0</t>
        </is>
      </c>
      <c r="K1019" t="inlineStr">
        <is>
          <t>Travis, Jon E.</t>
        </is>
      </c>
      <c r="L1019" t="inlineStr">
        <is>
          <t>Washington, DC : Graduate School of Education and Human Development, the George Washington University, 1997.</t>
        </is>
      </c>
      <c r="M1019" t="inlineStr">
        <is>
          <t>1997</t>
        </is>
      </c>
      <c r="O1019" t="inlineStr">
        <is>
          <t>eng</t>
        </is>
      </c>
      <c r="P1019" t="inlineStr">
        <is>
          <t>dcu</t>
        </is>
      </c>
      <c r="Q1019" t="inlineStr">
        <is>
          <t>ASHE-ERIC higher education report, 0884-0040 ; no. 6, 1995</t>
        </is>
      </c>
      <c r="R1019" t="inlineStr">
        <is>
          <t xml:space="preserve">LB </t>
        </is>
      </c>
      <c r="S1019" t="n">
        <v>1</v>
      </c>
      <c r="T1019" t="n">
        <v>1</v>
      </c>
      <c r="U1019" t="inlineStr">
        <is>
          <t>2003-11-25</t>
        </is>
      </c>
      <c r="V1019" t="inlineStr">
        <is>
          <t>2003-11-25</t>
        </is>
      </c>
      <c r="W1019" t="inlineStr">
        <is>
          <t>2003-11-25</t>
        </is>
      </c>
      <c r="X1019" t="inlineStr">
        <is>
          <t>2003-11-25</t>
        </is>
      </c>
      <c r="Y1019" t="n">
        <v>489</v>
      </c>
      <c r="Z1019" t="n">
        <v>468</v>
      </c>
      <c r="AA1019" t="n">
        <v>479</v>
      </c>
      <c r="AB1019" t="n">
        <v>5</v>
      </c>
      <c r="AC1019" t="n">
        <v>5</v>
      </c>
      <c r="AD1019" t="n">
        <v>29</v>
      </c>
      <c r="AE1019" t="n">
        <v>29</v>
      </c>
      <c r="AF1019" t="n">
        <v>11</v>
      </c>
      <c r="AG1019" t="n">
        <v>11</v>
      </c>
      <c r="AH1019" t="n">
        <v>8</v>
      </c>
      <c r="AI1019" t="n">
        <v>8</v>
      </c>
      <c r="AJ1019" t="n">
        <v>14</v>
      </c>
      <c r="AK1019" t="n">
        <v>14</v>
      </c>
      <c r="AL1019" t="n">
        <v>4</v>
      </c>
      <c r="AM1019" t="n">
        <v>4</v>
      </c>
      <c r="AN1019" t="n">
        <v>1</v>
      </c>
      <c r="AO1019" t="n">
        <v>1</v>
      </c>
      <c r="AP1019" t="inlineStr">
        <is>
          <t>No</t>
        </is>
      </c>
      <c r="AQ1019" t="inlineStr">
        <is>
          <t>Yes</t>
        </is>
      </c>
      <c r="AR1019">
        <f>HYPERLINK("http://catalog.hathitrust.org/Record/003142541","HathiTrust Record")</f>
        <v/>
      </c>
      <c r="AS1019">
        <f>HYPERLINK("https://creighton-primo.hosted.exlibrisgroup.com/primo-explore/search?tab=default_tab&amp;search_scope=EVERYTHING&amp;vid=01CRU&amp;lang=en_US&amp;offset=0&amp;query=any,contains,991004192429702656","Catalog Record")</f>
        <v/>
      </c>
      <c r="AT1019">
        <f>HYPERLINK("http://www.worldcat.org/oclc/36324382","WorldCat Record")</f>
        <v/>
      </c>
      <c r="AU1019" t="inlineStr">
        <is>
          <t>909282773:eng</t>
        </is>
      </c>
      <c r="AV1019" t="inlineStr">
        <is>
          <t>36324382</t>
        </is>
      </c>
      <c r="AW1019" t="inlineStr">
        <is>
          <t>991004192429702656</t>
        </is>
      </c>
      <c r="AX1019" t="inlineStr">
        <is>
          <t>991004192429702656</t>
        </is>
      </c>
      <c r="AY1019" t="inlineStr">
        <is>
          <t>2268700370002656</t>
        </is>
      </c>
      <c r="AZ1019" t="inlineStr">
        <is>
          <t>BOOK</t>
        </is>
      </c>
      <c r="BB1019" t="inlineStr">
        <is>
          <t>9781878380708</t>
        </is>
      </c>
      <c r="BC1019" t="inlineStr">
        <is>
          <t>32285004842570</t>
        </is>
      </c>
      <c r="BD1019" t="inlineStr">
        <is>
          <t>893259436</t>
        </is>
      </c>
    </row>
    <row r="1020">
      <c r="A1020" t="inlineStr">
        <is>
          <t>No</t>
        </is>
      </c>
      <c r="B1020" t="inlineStr">
        <is>
          <t>LB2331 .W65 1995</t>
        </is>
      </c>
      <c r="C1020" t="inlineStr">
        <is>
          <t>0                      LB 2331000W  65          1995</t>
        </is>
      </c>
      <c r="D1020" t="inlineStr">
        <is>
          <t>Teaching improvement practices : successful strategies for higher education / W. Alan Wright and associates ; foreword by Wilbert J. McKeachie and Barbara K. Hofer.</t>
        </is>
      </c>
      <c r="F1020" t="inlineStr">
        <is>
          <t>No</t>
        </is>
      </c>
      <c r="G1020" t="inlineStr">
        <is>
          <t>1</t>
        </is>
      </c>
      <c r="H1020" t="inlineStr">
        <is>
          <t>No</t>
        </is>
      </c>
      <c r="I1020" t="inlineStr">
        <is>
          <t>No</t>
        </is>
      </c>
      <c r="J1020" t="inlineStr">
        <is>
          <t>0</t>
        </is>
      </c>
      <c r="K1020" t="inlineStr">
        <is>
          <t>Wright, W. Alan.</t>
        </is>
      </c>
      <c r="L1020" t="inlineStr">
        <is>
          <t>Bolton, MA : Anker, c1995.</t>
        </is>
      </c>
      <c r="M1020" t="inlineStr">
        <is>
          <t>1995</t>
        </is>
      </c>
      <c r="O1020" t="inlineStr">
        <is>
          <t>eng</t>
        </is>
      </c>
      <c r="P1020" t="inlineStr">
        <is>
          <t>mau</t>
        </is>
      </c>
      <c r="R1020" t="inlineStr">
        <is>
          <t xml:space="preserve">LB </t>
        </is>
      </c>
      <c r="S1020" t="n">
        <v>2</v>
      </c>
      <c r="T1020" t="n">
        <v>2</v>
      </c>
      <c r="U1020" t="inlineStr">
        <is>
          <t>2004-06-14</t>
        </is>
      </c>
      <c r="V1020" t="inlineStr">
        <is>
          <t>2004-06-14</t>
        </is>
      </c>
      <c r="W1020" t="inlineStr">
        <is>
          <t>2003-11-25</t>
        </is>
      </c>
      <c r="X1020" t="inlineStr">
        <is>
          <t>2003-11-25</t>
        </is>
      </c>
      <c r="Y1020" t="n">
        <v>262</v>
      </c>
      <c r="Z1020" t="n">
        <v>219</v>
      </c>
      <c r="AA1020" t="n">
        <v>221</v>
      </c>
      <c r="AB1020" t="n">
        <v>4</v>
      </c>
      <c r="AC1020" t="n">
        <v>4</v>
      </c>
      <c r="AD1020" t="n">
        <v>10</v>
      </c>
      <c r="AE1020" t="n">
        <v>10</v>
      </c>
      <c r="AF1020" t="n">
        <v>2</v>
      </c>
      <c r="AG1020" t="n">
        <v>2</v>
      </c>
      <c r="AH1020" t="n">
        <v>3</v>
      </c>
      <c r="AI1020" t="n">
        <v>3</v>
      </c>
      <c r="AJ1020" t="n">
        <v>4</v>
      </c>
      <c r="AK1020" t="n">
        <v>4</v>
      </c>
      <c r="AL1020" t="n">
        <v>3</v>
      </c>
      <c r="AM1020" t="n">
        <v>3</v>
      </c>
      <c r="AN1020" t="n">
        <v>0</v>
      </c>
      <c r="AO1020" t="n">
        <v>0</v>
      </c>
      <c r="AP1020" t="inlineStr">
        <is>
          <t>No</t>
        </is>
      </c>
      <c r="AQ1020" t="inlineStr">
        <is>
          <t>Yes</t>
        </is>
      </c>
      <c r="AR1020">
        <f>HYPERLINK("http://catalog.hathitrust.org/Record/003268414","HathiTrust Record")</f>
        <v/>
      </c>
      <c r="AS1020">
        <f>HYPERLINK("https://creighton-primo.hosted.exlibrisgroup.com/primo-explore/search?tab=default_tab&amp;search_scope=EVERYTHING&amp;vid=01CRU&amp;lang=en_US&amp;offset=0&amp;query=any,contains,991004190809702656","Catalog Record")</f>
        <v/>
      </c>
      <c r="AT1020">
        <f>HYPERLINK("http://www.worldcat.org/oclc/32457675","WorldCat Record")</f>
        <v/>
      </c>
      <c r="AU1020" t="inlineStr">
        <is>
          <t>308695375:eng</t>
        </is>
      </c>
      <c r="AV1020" t="inlineStr">
        <is>
          <t>32457675</t>
        </is>
      </c>
      <c r="AW1020" t="inlineStr">
        <is>
          <t>991004190809702656</t>
        </is>
      </c>
      <c r="AX1020" t="inlineStr">
        <is>
          <t>991004190809702656</t>
        </is>
      </c>
      <c r="AY1020" t="inlineStr">
        <is>
          <t>2263543700002656</t>
        </is>
      </c>
      <c r="AZ1020" t="inlineStr">
        <is>
          <t>BOOK</t>
        </is>
      </c>
      <c r="BB1020" t="inlineStr">
        <is>
          <t>9781882982066</t>
        </is>
      </c>
      <c r="BC1020" t="inlineStr">
        <is>
          <t>32285004841788</t>
        </is>
      </c>
      <c r="BD1020" t="inlineStr">
        <is>
          <t>893411232</t>
        </is>
      </c>
    </row>
    <row r="1021">
      <c r="A1021" t="inlineStr">
        <is>
          <t>No</t>
        </is>
      </c>
      <c r="B1021" t="inlineStr">
        <is>
          <t>LB2331.4 .C66 1982</t>
        </is>
      </c>
      <c r="C1021" t="inlineStr">
        <is>
          <t>0                      LB 2331400C  66          1982</t>
        </is>
      </c>
      <c r="D1021" t="inlineStr">
        <is>
          <t>The Control of the campus : a report on the governance of higher education / CF.</t>
        </is>
      </c>
      <c r="F1021" t="inlineStr">
        <is>
          <t>No</t>
        </is>
      </c>
      <c r="G1021" t="inlineStr">
        <is>
          <t>1</t>
        </is>
      </c>
      <c r="H1021" t="inlineStr">
        <is>
          <t>No</t>
        </is>
      </c>
      <c r="I1021" t="inlineStr">
        <is>
          <t>No</t>
        </is>
      </c>
      <c r="J1021" t="inlineStr">
        <is>
          <t>0</t>
        </is>
      </c>
      <c r="L1021" t="inlineStr">
        <is>
          <t>Washington, D.C. : Carnegie Foundation for the Advancement of Teaching ; Lawrenceville, N.J. : Available from Princeton University Press, c1982.</t>
        </is>
      </c>
      <c r="M1021" t="inlineStr">
        <is>
          <t>1982</t>
        </is>
      </c>
      <c r="O1021" t="inlineStr">
        <is>
          <t>eng</t>
        </is>
      </c>
      <c r="P1021" t="inlineStr">
        <is>
          <t>dcu</t>
        </is>
      </c>
      <c r="Q1021" t="inlineStr">
        <is>
          <t>A Carnegie Foundation essay</t>
        </is>
      </c>
      <c r="R1021" t="inlineStr">
        <is>
          <t xml:space="preserve">LB </t>
        </is>
      </c>
      <c r="S1021" t="n">
        <v>1</v>
      </c>
      <c r="T1021" t="n">
        <v>1</v>
      </c>
      <c r="U1021" t="inlineStr">
        <is>
          <t>1993-07-12</t>
        </is>
      </c>
      <c r="V1021" t="inlineStr">
        <is>
          <t>1993-07-12</t>
        </is>
      </c>
      <c r="W1021" t="inlineStr">
        <is>
          <t>1993-06-16</t>
        </is>
      </c>
      <c r="X1021" t="inlineStr">
        <is>
          <t>1993-06-16</t>
        </is>
      </c>
      <c r="Y1021" t="n">
        <v>762</v>
      </c>
      <c r="Z1021" t="n">
        <v>721</v>
      </c>
      <c r="AA1021" t="n">
        <v>724</v>
      </c>
      <c r="AB1021" t="n">
        <v>7</v>
      </c>
      <c r="AC1021" t="n">
        <v>7</v>
      </c>
      <c r="AD1021" t="n">
        <v>35</v>
      </c>
      <c r="AE1021" t="n">
        <v>35</v>
      </c>
      <c r="AF1021" t="n">
        <v>10</v>
      </c>
      <c r="AG1021" t="n">
        <v>10</v>
      </c>
      <c r="AH1021" t="n">
        <v>10</v>
      </c>
      <c r="AI1021" t="n">
        <v>10</v>
      </c>
      <c r="AJ1021" t="n">
        <v>16</v>
      </c>
      <c r="AK1021" t="n">
        <v>16</v>
      </c>
      <c r="AL1021" t="n">
        <v>6</v>
      </c>
      <c r="AM1021" t="n">
        <v>6</v>
      </c>
      <c r="AN1021" t="n">
        <v>3</v>
      </c>
      <c r="AO1021" t="n">
        <v>3</v>
      </c>
      <c r="AP1021" t="inlineStr">
        <is>
          <t>No</t>
        </is>
      </c>
      <c r="AQ1021" t="inlineStr">
        <is>
          <t>Yes</t>
        </is>
      </c>
      <c r="AR1021">
        <f>HYPERLINK("http://catalog.hathitrust.org/Record/000766703","HathiTrust Record")</f>
        <v/>
      </c>
      <c r="AS1021">
        <f>HYPERLINK("https://creighton-primo.hosted.exlibrisgroup.com/primo-explore/search?tab=default_tab&amp;search_scope=EVERYTHING&amp;vid=01CRU&amp;lang=en_US&amp;offset=0&amp;query=any,contains,991000087569702656","Catalog Record")</f>
        <v/>
      </c>
      <c r="AT1021">
        <f>HYPERLINK("http://www.worldcat.org/oclc/8866648","WorldCat Record")</f>
        <v/>
      </c>
      <c r="AU1021" t="inlineStr">
        <is>
          <t>909115662:eng</t>
        </is>
      </c>
      <c r="AV1021" t="inlineStr">
        <is>
          <t>8866648</t>
        </is>
      </c>
      <c r="AW1021" t="inlineStr">
        <is>
          <t>991000087569702656</t>
        </is>
      </c>
      <c r="AX1021" t="inlineStr">
        <is>
          <t>991000087569702656</t>
        </is>
      </c>
      <c r="AY1021" t="inlineStr">
        <is>
          <t>2262399980002656</t>
        </is>
      </c>
      <c r="AZ1021" t="inlineStr">
        <is>
          <t>BOOK</t>
        </is>
      </c>
      <c r="BB1021" t="inlineStr">
        <is>
          <t>9780931050213</t>
        </is>
      </c>
      <c r="BC1021" t="inlineStr">
        <is>
          <t>32285001694974</t>
        </is>
      </c>
      <c r="BD1021" t="inlineStr">
        <is>
          <t>893708104</t>
        </is>
      </c>
    </row>
    <row r="1022">
      <c r="A1022" t="inlineStr">
        <is>
          <t>No</t>
        </is>
      </c>
      <c r="B1022" t="inlineStr">
        <is>
          <t>LB2331.5 .B47 1999</t>
        </is>
      </c>
      <c r="C1022" t="inlineStr">
        <is>
          <t>0                      LB 2331500B  47          1999</t>
        </is>
      </c>
      <c r="D1022" t="inlineStr">
        <is>
          <t>Best practices in higher education consortia : how institutions can work together / Lawrence G. Dotolo, Jean T. Strandness, editors.</t>
        </is>
      </c>
      <c r="F1022" t="inlineStr">
        <is>
          <t>No</t>
        </is>
      </c>
      <c r="G1022" t="inlineStr">
        <is>
          <t>1</t>
        </is>
      </c>
      <c r="H1022" t="inlineStr">
        <is>
          <t>No</t>
        </is>
      </c>
      <c r="I1022" t="inlineStr">
        <is>
          <t>No</t>
        </is>
      </c>
      <c r="J1022" t="inlineStr">
        <is>
          <t>0</t>
        </is>
      </c>
      <c r="L1022" t="inlineStr">
        <is>
          <t>San Francisco : Jossey-Bass Publishers, 1999.</t>
        </is>
      </c>
      <c r="M1022" t="inlineStr">
        <is>
          <t>1999</t>
        </is>
      </c>
      <c r="O1022" t="inlineStr">
        <is>
          <t>eng</t>
        </is>
      </c>
      <c r="P1022" t="inlineStr">
        <is>
          <t>cau</t>
        </is>
      </c>
      <c r="Q1022" t="inlineStr">
        <is>
          <t>New directions for higher education, 0271-0560 ; no. 106, summer 1999</t>
        </is>
      </c>
      <c r="R1022" t="inlineStr">
        <is>
          <t xml:space="preserve">LB </t>
        </is>
      </c>
      <c r="S1022" t="n">
        <v>1</v>
      </c>
      <c r="T1022" t="n">
        <v>1</v>
      </c>
      <c r="U1022" t="inlineStr">
        <is>
          <t>2000-10-10</t>
        </is>
      </c>
      <c r="V1022" t="inlineStr">
        <is>
          <t>2000-10-10</t>
        </is>
      </c>
      <c r="W1022" t="inlineStr">
        <is>
          <t>2000-10-10</t>
        </is>
      </c>
      <c r="X1022" t="inlineStr">
        <is>
          <t>2000-10-10</t>
        </is>
      </c>
      <c r="Y1022" t="n">
        <v>359</v>
      </c>
      <c r="Z1022" t="n">
        <v>322</v>
      </c>
      <c r="AA1022" t="n">
        <v>325</v>
      </c>
      <c r="AB1022" t="n">
        <v>2</v>
      </c>
      <c r="AC1022" t="n">
        <v>2</v>
      </c>
      <c r="AD1022" t="n">
        <v>15</v>
      </c>
      <c r="AE1022" t="n">
        <v>15</v>
      </c>
      <c r="AF1022" t="n">
        <v>7</v>
      </c>
      <c r="AG1022" t="n">
        <v>7</v>
      </c>
      <c r="AH1022" t="n">
        <v>2</v>
      </c>
      <c r="AI1022" t="n">
        <v>2</v>
      </c>
      <c r="AJ1022" t="n">
        <v>8</v>
      </c>
      <c r="AK1022" t="n">
        <v>8</v>
      </c>
      <c r="AL1022" t="n">
        <v>1</v>
      </c>
      <c r="AM1022" t="n">
        <v>1</v>
      </c>
      <c r="AN1022" t="n">
        <v>0</v>
      </c>
      <c r="AO1022" t="n">
        <v>0</v>
      </c>
      <c r="AP1022" t="inlineStr">
        <is>
          <t>No</t>
        </is>
      </c>
      <c r="AQ1022" t="inlineStr">
        <is>
          <t>No</t>
        </is>
      </c>
      <c r="AS1022">
        <f>HYPERLINK("https://creighton-primo.hosted.exlibrisgroup.com/primo-explore/search?tab=default_tab&amp;search_scope=EVERYTHING&amp;vid=01CRU&amp;lang=en_US&amp;offset=0&amp;query=any,contains,991003264149702656","Catalog Record")</f>
        <v/>
      </c>
      <c r="AT1022">
        <f>HYPERLINK("http://www.worldcat.org/oclc/41962852","WorldCat Record")</f>
        <v/>
      </c>
      <c r="AU1022" t="inlineStr">
        <is>
          <t>907212724:eng</t>
        </is>
      </c>
      <c r="AV1022" t="inlineStr">
        <is>
          <t>41962852</t>
        </is>
      </c>
      <c r="AW1022" t="inlineStr">
        <is>
          <t>991003264149702656</t>
        </is>
      </c>
      <c r="AX1022" t="inlineStr">
        <is>
          <t>991003264149702656</t>
        </is>
      </c>
      <c r="AY1022" t="inlineStr">
        <is>
          <t>2259135770002656</t>
        </is>
      </c>
      <c r="AZ1022" t="inlineStr">
        <is>
          <t>BOOK</t>
        </is>
      </c>
      <c r="BB1022" t="inlineStr">
        <is>
          <t>9780787948580</t>
        </is>
      </c>
      <c r="BC1022" t="inlineStr">
        <is>
          <t>32285003764262</t>
        </is>
      </c>
      <c r="BD1022" t="inlineStr">
        <is>
          <t>893887299</t>
        </is>
      </c>
    </row>
    <row r="1023">
      <c r="A1023" t="inlineStr">
        <is>
          <t>No</t>
        </is>
      </c>
      <c r="B1023" t="inlineStr">
        <is>
          <t>LB2331.53 .C64 1995</t>
        </is>
      </c>
      <c r="C1023" t="inlineStr">
        <is>
          <t>0                      LB 2331530C  64          1995</t>
        </is>
      </c>
      <c r="D1023" t="inlineStr">
        <is>
          <t>Collaborative leadership and shared decision making : teachers, principals, and university professors / Renee T. Clift ... [et al.] ; forewords by Frances S. Bolin and Peter T. Wilson.</t>
        </is>
      </c>
      <c r="F1023" t="inlineStr">
        <is>
          <t>No</t>
        </is>
      </c>
      <c r="G1023" t="inlineStr">
        <is>
          <t>1</t>
        </is>
      </c>
      <c r="H1023" t="inlineStr">
        <is>
          <t>No</t>
        </is>
      </c>
      <c r="I1023" t="inlineStr">
        <is>
          <t>No</t>
        </is>
      </c>
      <c r="J1023" t="inlineStr">
        <is>
          <t>0</t>
        </is>
      </c>
      <c r="L1023" t="inlineStr">
        <is>
          <t>New York : Teachers College Press, c1995.</t>
        </is>
      </c>
      <c r="M1023" t="inlineStr">
        <is>
          <t>1995</t>
        </is>
      </c>
      <c r="O1023" t="inlineStr">
        <is>
          <t>eng</t>
        </is>
      </c>
      <c r="P1023" t="inlineStr">
        <is>
          <t>nyu</t>
        </is>
      </c>
      <c r="R1023" t="inlineStr">
        <is>
          <t xml:space="preserve">LB </t>
        </is>
      </c>
      <c r="S1023" t="n">
        <v>2</v>
      </c>
      <c r="T1023" t="n">
        <v>2</v>
      </c>
      <c r="U1023" t="inlineStr">
        <is>
          <t>2010-11-12</t>
        </is>
      </c>
      <c r="V1023" t="inlineStr">
        <is>
          <t>2010-11-12</t>
        </is>
      </c>
      <c r="W1023" t="inlineStr">
        <is>
          <t>1996-03-15</t>
        </is>
      </c>
      <c r="X1023" t="inlineStr">
        <is>
          <t>1996-03-15</t>
        </is>
      </c>
      <c r="Y1023" t="n">
        <v>376</v>
      </c>
      <c r="Z1023" t="n">
        <v>327</v>
      </c>
      <c r="AA1023" t="n">
        <v>380</v>
      </c>
      <c r="AB1023" t="n">
        <v>4</v>
      </c>
      <c r="AC1023" t="n">
        <v>4</v>
      </c>
      <c r="AD1023" t="n">
        <v>20</v>
      </c>
      <c r="AE1023" t="n">
        <v>24</v>
      </c>
      <c r="AF1023" t="n">
        <v>6</v>
      </c>
      <c r="AG1023" t="n">
        <v>9</v>
      </c>
      <c r="AH1023" t="n">
        <v>5</v>
      </c>
      <c r="AI1023" t="n">
        <v>7</v>
      </c>
      <c r="AJ1023" t="n">
        <v>11</v>
      </c>
      <c r="AK1023" t="n">
        <v>13</v>
      </c>
      <c r="AL1023" t="n">
        <v>3</v>
      </c>
      <c r="AM1023" t="n">
        <v>3</v>
      </c>
      <c r="AN1023" t="n">
        <v>0</v>
      </c>
      <c r="AO1023" t="n">
        <v>0</v>
      </c>
      <c r="AP1023" t="inlineStr">
        <is>
          <t>No</t>
        </is>
      </c>
      <c r="AQ1023" t="inlineStr">
        <is>
          <t>No</t>
        </is>
      </c>
      <c r="AS1023">
        <f>HYPERLINK("https://creighton-primo.hosted.exlibrisgroup.com/primo-explore/search?tab=default_tab&amp;search_scope=EVERYTHING&amp;vid=01CRU&amp;lang=en_US&amp;offset=0&amp;query=any,contains,991002389869702656","Catalog Record")</f>
        <v/>
      </c>
      <c r="AT1023">
        <f>HYPERLINK("http://www.worldcat.org/oclc/31045273","WorldCat Record")</f>
        <v/>
      </c>
      <c r="AU1023" t="inlineStr">
        <is>
          <t>800025885:eng</t>
        </is>
      </c>
      <c r="AV1023" t="inlineStr">
        <is>
          <t>31045273</t>
        </is>
      </c>
      <c r="AW1023" t="inlineStr">
        <is>
          <t>991002389869702656</t>
        </is>
      </c>
      <c r="AX1023" t="inlineStr">
        <is>
          <t>991002389869702656</t>
        </is>
      </c>
      <c r="AY1023" t="inlineStr">
        <is>
          <t>2264240850002656</t>
        </is>
      </c>
      <c r="AZ1023" t="inlineStr">
        <is>
          <t>BOOK</t>
        </is>
      </c>
      <c r="BB1023" t="inlineStr">
        <is>
          <t>9780807733936</t>
        </is>
      </c>
      <c r="BC1023" t="inlineStr">
        <is>
          <t>32285002143146</t>
        </is>
      </c>
      <c r="BD1023" t="inlineStr">
        <is>
          <t>893510671</t>
        </is>
      </c>
    </row>
    <row r="1024">
      <c r="A1024" t="inlineStr">
        <is>
          <t>No</t>
        </is>
      </c>
      <c r="B1024" t="inlineStr">
        <is>
          <t>LB2331.53 .L395 2001</t>
        </is>
      </c>
      <c r="C1024" t="inlineStr">
        <is>
          <t>0                      LB 2331530L  395         2001</t>
        </is>
      </c>
      <c r="D1024" t="inlineStr">
        <is>
          <t>The learning connection : new partnerships between schools and colleges / Gene I. Maeroff, Patrick M. Callan, Michael D. Usdan, editors.</t>
        </is>
      </c>
      <c r="F1024" t="inlineStr">
        <is>
          <t>No</t>
        </is>
      </c>
      <c r="G1024" t="inlineStr">
        <is>
          <t>1</t>
        </is>
      </c>
      <c r="H1024" t="inlineStr">
        <is>
          <t>No</t>
        </is>
      </c>
      <c r="I1024" t="inlineStr">
        <is>
          <t>No</t>
        </is>
      </c>
      <c r="J1024" t="inlineStr">
        <is>
          <t>0</t>
        </is>
      </c>
      <c r="L1024" t="inlineStr">
        <is>
          <t>New York : Teachers College Press, c2001.</t>
        </is>
      </c>
      <c r="M1024" t="inlineStr">
        <is>
          <t>2001</t>
        </is>
      </c>
      <c r="O1024" t="inlineStr">
        <is>
          <t>eng</t>
        </is>
      </c>
      <c r="P1024" t="inlineStr">
        <is>
          <t>nyu</t>
        </is>
      </c>
      <c r="R1024" t="inlineStr">
        <is>
          <t xml:space="preserve">LB </t>
        </is>
      </c>
      <c r="S1024" t="n">
        <v>2</v>
      </c>
      <c r="T1024" t="n">
        <v>2</v>
      </c>
      <c r="U1024" t="inlineStr">
        <is>
          <t>2001-09-11</t>
        </is>
      </c>
      <c r="V1024" t="inlineStr">
        <is>
          <t>2001-09-11</t>
        </is>
      </c>
      <c r="W1024" t="inlineStr">
        <is>
          <t>2001-08-22</t>
        </is>
      </c>
      <c r="X1024" t="inlineStr">
        <is>
          <t>2001-08-22</t>
        </is>
      </c>
      <c r="Y1024" t="n">
        <v>415</v>
      </c>
      <c r="Z1024" t="n">
        <v>377</v>
      </c>
      <c r="AA1024" t="n">
        <v>378</v>
      </c>
      <c r="AB1024" t="n">
        <v>3</v>
      </c>
      <c r="AC1024" t="n">
        <v>3</v>
      </c>
      <c r="AD1024" t="n">
        <v>21</v>
      </c>
      <c r="AE1024" t="n">
        <v>21</v>
      </c>
      <c r="AF1024" t="n">
        <v>7</v>
      </c>
      <c r="AG1024" t="n">
        <v>7</v>
      </c>
      <c r="AH1024" t="n">
        <v>5</v>
      </c>
      <c r="AI1024" t="n">
        <v>5</v>
      </c>
      <c r="AJ1024" t="n">
        <v>14</v>
      </c>
      <c r="AK1024" t="n">
        <v>14</v>
      </c>
      <c r="AL1024" t="n">
        <v>2</v>
      </c>
      <c r="AM1024" t="n">
        <v>2</v>
      </c>
      <c r="AN1024" t="n">
        <v>0</v>
      </c>
      <c r="AO1024" t="n">
        <v>0</v>
      </c>
      <c r="AP1024" t="inlineStr">
        <is>
          <t>No</t>
        </is>
      </c>
      <c r="AQ1024" t="inlineStr">
        <is>
          <t>No</t>
        </is>
      </c>
      <c r="AS1024">
        <f>HYPERLINK("https://creighton-primo.hosted.exlibrisgroup.com/primo-explore/search?tab=default_tab&amp;search_scope=EVERYTHING&amp;vid=01CRU&amp;lang=en_US&amp;offset=0&amp;query=any,contains,991003596509702656","Catalog Record")</f>
        <v/>
      </c>
      <c r="AT1024">
        <f>HYPERLINK("http://www.worldcat.org/oclc/44802763","WorldCat Record")</f>
        <v/>
      </c>
      <c r="AU1024" t="inlineStr">
        <is>
          <t>33974182:eng</t>
        </is>
      </c>
      <c r="AV1024" t="inlineStr">
        <is>
          <t>44802763</t>
        </is>
      </c>
      <c r="AW1024" t="inlineStr">
        <is>
          <t>991003596509702656</t>
        </is>
      </c>
      <c r="AX1024" t="inlineStr">
        <is>
          <t>991003596509702656</t>
        </is>
      </c>
      <c r="AY1024" t="inlineStr">
        <is>
          <t>2272354030002656</t>
        </is>
      </c>
      <c r="AZ1024" t="inlineStr">
        <is>
          <t>BOOK</t>
        </is>
      </c>
      <c r="BB1024" t="inlineStr">
        <is>
          <t>9780807740170</t>
        </is>
      </c>
      <c r="BC1024" t="inlineStr">
        <is>
          <t>32285004379961</t>
        </is>
      </c>
      <c r="BD1024" t="inlineStr">
        <is>
          <t>893441466</t>
        </is>
      </c>
    </row>
    <row r="1025">
      <c r="A1025" t="inlineStr">
        <is>
          <t>No</t>
        </is>
      </c>
      <c r="B1025" t="inlineStr">
        <is>
          <t>LB2331.62 .E92 1988</t>
        </is>
      </c>
      <c r="C1025" t="inlineStr">
        <is>
          <t>0                      LB 2331620E  92          1988</t>
        </is>
      </c>
      <c r="D1025" t="inlineStr">
        <is>
          <t>Assessing institutional effectiveness : redirecting the self-study process / by Peter T. Ewell and Robert P. Lisensky.</t>
        </is>
      </c>
      <c r="F1025" t="inlineStr">
        <is>
          <t>No</t>
        </is>
      </c>
      <c r="G1025" t="inlineStr">
        <is>
          <t>1</t>
        </is>
      </c>
      <c r="H1025" t="inlineStr">
        <is>
          <t>No</t>
        </is>
      </c>
      <c r="I1025" t="inlineStr">
        <is>
          <t>No</t>
        </is>
      </c>
      <c r="J1025" t="inlineStr">
        <is>
          <t>0</t>
        </is>
      </c>
      <c r="K1025" t="inlineStr">
        <is>
          <t>Ewell, Peter.</t>
        </is>
      </c>
      <c r="L1025" t="inlineStr">
        <is>
          <t>Washington, D.C. : Consortium for the Advancement of Private Higher Education, c1988.</t>
        </is>
      </c>
      <c r="M1025" t="inlineStr">
        <is>
          <t>1988</t>
        </is>
      </c>
      <c r="O1025" t="inlineStr">
        <is>
          <t>eng</t>
        </is>
      </c>
      <c r="P1025" t="inlineStr">
        <is>
          <t>dcu</t>
        </is>
      </c>
      <c r="R1025" t="inlineStr">
        <is>
          <t xml:space="preserve">LB </t>
        </is>
      </c>
      <c r="S1025" t="n">
        <v>1</v>
      </c>
      <c r="T1025" t="n">
        <v>1</v>
      </c>
      <c r="U1025" t="inlineStr">
        <is>
          <t>2003-11-24</t>
        </is>
      </c>
      <c r="V1025" t="inlineStr">
        <is>
          <t>2003-11-24</t>
        </is>
      </c>
      <c r="W1025" t="inlineStr">
        <is>
          <t>2003-11-24</t>
        </is>
      </c>
      <c r="X1025" t="inlineStr">
        <is>
          <t>2003-11-24</t>
        </is>
      </c>
      <c r="Y1025" t="n">
        <v>126</v>
      </c>
      <c r="Z1025" t="n">
        <v>122</v>
      </c>
      <c r="AA1025" t="n">
        <v>124</v>
      </c>
      <c r="AB1025" t="n">
        <v>3</v>
      </c>
      <c r="AC1025" t="n">
        <v>3</v>
      </c>
      <c r="AD1025" t="n">
        <v>9</v>
      </c>
      <c r="AE1025" t="n">
        <v>9</v>
      </c>
      <c r="AF1025" t="n">
        <v>3</v>
      </c>
      <c r="AG1025" t="n">
        <v>3</v>
      </c>
      <c r="AH1025" t="n">
        <v>2</v>
      </c>
      <c r="AI1025" t="n">
        <v>2</v>
      </c>
      <c r="AJ1025" t="n">
        <v>5</v>
      </c>
      <c r="AK1025" t="n">
        <v>5</v>
      </c>
      <c r="AL1025" t="n">
        <v>2</v>
      </c>
      <c r="AM1025" t="n">
        <v>2</v>
      </c>
      <c r="AN1025" t="n">
        <v>0</v>
      </c>
      <c r="AO1025" t="n">
        <v>0</v>
      </c>
      <c r="AP1025" t="inlineStr">
        <is>
          <t>No</t>
        </is>
      </c>
      <c r="AQ1025" t="inlineStr">
        <is>
          <t>Yes</t>
        </is>
      </c>
      <c r="AR1025">
        <f>HYPERLINK("http://catalog.hathitrust.org/Record/005135032","HathiTrust Record")</f>
        <v/>
      </c>
      <c r="AS1025">
        <f>HYPERLINK("https://creighton-primo.hosted.exlibrisgroup.com/primo-explore/search?tab=default_tab&amp;search_scope=EVERYTHING&amp;vid=01CRU&amp;lang=en_US&amp;offset=0&amp;query=any,contains,991004188979702656","Catalog Record")</f>
        <v/>
      </c>
      <c r="AT1025">
        <f>HYPERLINK("http://www.worldcat.org/oclc/18761191","WorldCat Record")</f>
        <v/>
      </c>
      <c r="AU1025" t="inlineStr">
        <is>
          <t>18351019:eng</t>
        </is>
      </c>
      <c r="AV1025" t="inlineStr">
        <is>
          <t>18761191</t>
        </is>
      </c>
      <c r="AW1025" t="inlineStr">
        <is>
          <t>991004188979702656</t>
        </is>
      </c>
      <c r="AX1025" t="inlineStr">
        <is>
          <t>991004188979702656</t>
        </is>
      </c>
      <c r="AY1025" t="inlineStr">
        <is>
          <t>2256367150002656</t>
        </is>
      </c>
      <c r="AZ1025" t="inlineStr">
        <is>
          <t>BOOK</t>
        </is>
      </c>
      <c r="BC1025" t="inlineStr">
        <is>
          <t>32285004841218</t>
        </is>
      </c>
      <c r="BD1025" t="inlineStr">
        <is>
          <t>893687463</t>
        </is>
      </c>
    </row>
    <row r="1026">
      <c r="A1026" t="inlineStr">
        <is>
          <t>No</t>
        </is>
      </c>
      <c r="B1026" t="inlineStr">
        <is>
          <t>LB2331.63 .N52 2000</t>
        </is>
      </c>
      <c r="C1026" t="inlineStr">
        <is>
          <t>0                      LB 2331630N  52          2000</t>
        </is>
      </c>
      <c r="D1026" t="inlineStr">
        <is>
          <t>The departmental guide and record book for student outcomes assessment and institutional effectiveness / by James O. Nichols and Karen W. Nichols.</t>
        </is>
      </c>
      <c r="F1026" t="inlineStr">
        <is>
          <t>No</t>
        </is>
      </c>
      <c r="G1026" t="inlineStr">
        <is>
          <t>1</t>
        </is>
      </c>
      <c r="H1026" t="inlineStr">
        <is>
          <t>No</t>
        </is>
      </c>
      <c r="I1026" t="inlineStr">
        <is>
          <t>No</t>
        </is>
      </c>
      <c r="J1026" t="inlineStr">
        <is>
          <t>0</t>
        </is>
      </c>
      <c r="K1026" t="inlineStr">
        <is>
          <t>Nichols, James O. (James Oliver), 1941-</t>
        </is>
      </c>
      <c r="L1026" t="inlineStr">
        <is>
          <t>New York : Agathon Press, c2000.</t>
        </is>
      </c>
      <c r="M1026" t="inlineStr">
        <is>
          <t>2000</t>
        </is>
      </c>
      <c r="N1026" t="inlineStr">
        <is>
          <t>3rd ed.</t>
        </is>
      </c>
      <c r="O1026" t="inlineStr">
        <is>
          <t>eng</t>
        </is>
      </c>
      <c r="P1026" t="inlineStr">
        <is>
          <t>nyu</t>
        </is>
      </c>
      <c r="R1026" t="inlineStr">
        <is>
          <t xml:space="preserve">LB </t>
        </is>
      </c>
      <c r="S1026" t="n">
        <v>1</v>
      </c>
      <c r="T1026" t="n">
        <v>1</v>
      </c>
      <c r="U1026" t="inlineStr">
        <is>
          <t>2003-12-01</t>
        </is>
      </c>
      <c r="V1026" t="inlineStr">
        <is>
          <t>2003-12-01</t>
        </is>
      </c>
      <c r="W1026" t="inlineStr">
        <is>
          <t>2003-12-01</t>
        </is>
      </c>
      <c r="X1026" t="inlineStr">
        <is>
          <t>2003-12-01</t>
        </is>
      </c>
      <c r="Y1026" t="n">
        <v>203</v>
      </c>
      <c r="Z1026" t="n">
        <v>200</v>
      </c>
      <c r="AA1026" t="n">
        <v>349</v>
      </c>
      <c r="AB1026" t="n">
        <v>2</v>
      </c>
      <c r="AC1026" t="n">
        <v>2</v>
      </c>
      <c r="AD1026" t="n">
        <v>6</v>
      </c>
      <c r="AE1026" t="n">
        <v>10</v>
      </c>
      <c r="AF1026" t="n">
        <v>4</v>
      </c>
      <c r="AG1026" t="n">
        <v>5</v>
      </c>
      <c r="AH1026" t="n">
        <v>1</v>
      </c>
      <c r="AI1026" t="n">
        <v>4</v>
      </c>
      <c r="AJ1026" t="n">
        <v>1</v>
      </c>
      <c r="AK1026" t="n">
        <v>3</v>
      </c>
      <c r="AL1026" t="n">
        <v>1</v>
      </c>
      <c r="AM1026" t="n">
        <v>1</v>
      </c>
      <c r="AN1026" t="n">
        <v>0</v>
      </c>
      <c r="AO1026" t="n">
        <v>0</v>
      </c>
      <c r="AP1026" t="inlineStr">
        <is>
          <t>No</t>
        </is>
      </c>
      <c r="AQ1026" t="inlineStr">
        <is>
          <t>No</t>
        </is>
      </c>
      <c r="AS1026">
        <f>HYPERLINK("https://creighton-primo.hosted.exlibrisgroup.com/primo-explore/search?tab=default_tab&amp;search_scope=EVERYTHING&amp;vid=01CRU&amp;lang=en_US&amp;offset=0&amp;query=any,contains,991004194609702656","Catalog Record")</f>
        <v/>
      </c>
      <c r="AT1026">
        <f>HYPERLINK("http://www.worldcat.org/oclc/43811154","WorldCat Record")</f>
        <v/>
      </c>
      <c r="AU1026" t="inlineStr">
        <is>
          <t>38369836:eng</t>
        </is>
      </c>
      <c r="AV1026" t="inlineStr">
        <is>
          <t>43811154</t>
        </is>
      </c>
      <c r="AW1026" t="inlineStr">
        <is>
          <t>991004194609702656</t>
        </is>
      </c>
      <c r="AX1026" t="inlineStr">
        <is>
          <t>991004194609702656</t>
        </is>
      </c>
      <c r="AY1026" t="inlineStr">
        <is>
          <t>2269066210002656</t>
        </is>
      </c>
      <c r="AZ1026" t="inlineStr">
        <is>
          <t>BOOK</t>
        </is>
      </c>
      <c r="BB1026" t="inlineStr">
        <is>
          <t>9780875861296</t>
        </is>
      </c>
      <c r="BC1026" t="inlineStr">
        <is>
          <t>32285004842372</t>
        </is>
      </c>
      <c r="BD1026" t="inlineStr">
        <is>
          <t>893775744</t>
        </is>
      </c>
    </row>
    <row r="1027">
      <c r="A1027" t="inlineStr">
        <is>
          <t>No</t>
        </is>
      </c>
      <c r="B1027" t="inlineStr">
        <is>
          <t>LB2331.63 .N54 1995</t>
        </is>
      </c>
      <c r="C1027" t="inlineStr">
        <is>
          <t>0                      LB 2331630N  54          1995</t>
        </is>
      </c>
      <c r="D1027" t="inlineStr">
        <is>
          <t>A practitioner's handbook for institutional effectiveness and student outcomes assessment implementation / by James O. Nichols ; resource sections by Sheri Blessing ... [et al.].</t>
        </is>
      </c>
      <c r="F1027" t="inlineStr">
        <is>
          <t>No</t>
        </is>
      </c>
      <c r="G1027" t="inlineStr">
        <is>
          <t>1</t>
        </is>
      </c>
      <c r="H1027" t="inlineStr">
        <is>
          <t>No</t>
        </is>
      </c>
      <c r="I1027" t="inlineStr">
        <is>
          <t>No</t>
        </is>
      </c>
      <c r="J1027" t="inlineStr">
        <is>
          <t>0</t>
        </is>
      </c>
      <c r="K1027" t="inlineStr">
        <is>
          <t>Nichols, James O. (James Oliver), 1941-</t>
        </is>
      </c>
      <c r="L1027" t="inlineStr">
        <is>
          <t>New York : Agathon Press, c1995.</t>
        </is>
      </c>
      <c r="M1027" t="inlineStr">
        <is>
          <t>1995</t>
        </is>
      </c>
      <c r="N1027" t="inlineStr">
        <is>
          <t>3rd ed.</t>
        </is>
      </c>
      <c r="O1027" t="inlineStr">
        <is>
          <t>eng</t>
        </is>
      </c>
      <c r="P1027" t="inlineStr">
        <is>
          <t>nyu</t>
        </is>
      </c>
      <c r="R1027" t="inlineStr">
        <is>
          <t xml:space="preserve">LB </t>
        </is>
      </c>
      <c r="S1027" t="n">
        <v>1</v>
      </c>
      <c r="T1027" t="n">
        <v>1</v>
      </c>
      <c r="U1027" t="inlineStr">
        <is>
          <t>2003-12-01</t>
        </is>
      </c>
      <c r="V1027" t="inlineStr">
        <is>
          <t>2003-12-01</t>
        </is>
      </c>
      <c r="W1027" t="inlineStr">
        <is>
          <t>2003-12-01</t>
        </is>
      </c>
      <c r="X1027" t="inlineStr">
        <is>
          <t>2003-12-01</t>
        </is>
      </c>
      <c r="Y1027" t="n">
        <v>341</v>
      </c>
      <c r="Z1027" t="n">
        <v>329</v>
      </c>
      <c r="AA1027" t="n">
        <v>531</v>
      </c>
      <c r="AB1027" t="n">
        <v>3</v>
      </c>
      <c r="AC1027" t="n">
        <v>5</v>
      </c>
      <c r="AD1027" t="n">
        <v>9</v>
      </c>
      <c r="AE1027" t="n">
        <v>16</v>
      </c>
      <c r="AF1027" t="n">
        <v>2</v>
      </c>
      <c r="AG1027" t="n">
        <v>5</v>
      </c>
      <c r="AH1027" t="n">
        <v>3</v>
      </c>
      <c r="AI1027" t="n">
        <v>4</v>
      </c>
      <c r="AJ1027" t="n">
        <v>5</v>
      </c>
      <c r="AK1027" t="n">
        <v>8</v>
      </c>
      <c r="AL1027" t="n">
        <v>2</v>
      </c>
      <c r="AM1027" t="n">
        <v>4</v>
      </c>
      <c r="AN1027" t="n">
        <v>0</v>
      </c>
      <c r="AO1027" t="n">
        <v>0</v>
      </c>
      <c r="AP1027" t="inlineStr">
        <is>
          <t>No</t>
        </is>
      </c>
      <c r="AQ1027" t="inlineStr">
        <is>
          <t>Yes</t>
        </is>
      </c>
      <c r="AR1027">
        <f>HYPERLINK("http://catalog.hathitrust.org/Record/101981538","HathiTrust Record")</f>
        <v/>
      </c>
      <c r="AS1027">
        <f>HYPERLINK("https://creighton-primo.hosted.exlibrisgroup.com/primo-explore/search?tab=default_tab&amp;search_scope=EVERYTHING&amp;vid=01CRU&amp;lang=en_US&amp;offset=0&amp;query=any,contains,991004194489702656","Catalog Record")</f>
        <v/>
      </c>
      <c r="AT1027">
        <f>HYPERLINK("http://www.worldcat.org/oclc/33132061","WorldCat Record")</f>
        <v/>
      </c>
      <c r="AU1027" t="inlineStr">
        <is>
          <t>25034300:eng</t>
        </is>
      </c>
      <c r="AV1027" t="inlineStr">
        <is>
          <t>33132061</t>
        </is>
      </c>
      <c r="AW1027" t="inlineStr">
        <is>
          <t>991004194489702656</t>
        </is>
      </c>
      <c r="AX1027" t="inlineStr">
        <is>
          <t>991004194489702656</t>
        </is>
      </c>
      <c r="AY1027" t="inlineStr">
        <is>
          <t>2268840120002656</t>
        </is>
      </c>
      <c r="AZ1027" t="inlineStr">
        <is>
          <t>BOOK</t>
        </is>
      </c>
      <c r="BB1027" t="inlineStr">
        <is>
          <t>9780875861135</t>
        </is>
      </c>
      <c r="BC1027" t="inlineStr">
        <is>
          <t>32285004842398</t>
        </is>
      </c>
      <c r="BD1027" t="inlineStr">
        <is>
          <t>893337427</t>
        </is>
      </c>
    </row>
    <row r="1028">
      <c r="A1028" t="inlineStr">
        <is>
          <t>No</t>
        </is>
      </c>
      <c r="B1028" t="inlineStr">
        <is>
          <t>LB2331.63 .N546 1995</t>
        </is>
      </c>
      <c r="C1028" t="inlineStr">
        <is>
          <t>0                      LB 2331630N  546         1995</t>
        </is>
      </c>
      <c r="D1028" t="inlineStr">
        <is>
          <t>Assessment case studies : common issues in implementation with various campus approaches to resolution / James O. Nichols.</t>
        </is>
      </c>
      <c r="F1028" t="inlineStr">
        <is>
          <t>No</t>
        </is>
      </c>
      <c r="G1028" t="inlineStr">
        <is>
          <t>1</t>
        </is>
      </c>
      <c r="H1028" t="inlineStr">
        <is>
          <t>No</t>
        </is>
      </c>
      <c r="I1028" t="inlineStr">
        <is>
          <t>No</t>
        </is>
      </c>
      <c r="J1028" t="inlineStr">
        <is>
          <t>0</t>
        </is>
      </c>
      <c r="K1028" t="inlineStr">
        <is>
          <t>Nichols, James O. (James Oliver), 1941-</t>
        </is>
      </c>
      <c r="L1028" t="inlineStr">
        <is>
          <t>New York : Agathon Press, c1995.</t>
        </is>
      </c>
      <c r="M1028" t="inlineStr">
        <is>
          <t>1995</t>
        </is>
      </c>
      <c r="O1028" t="inlineStr">
        <is>
          <t>eng</t>
        </is>
      </c>
      <c r="P1028" t="inlineStr">
        <is>
          <t>nyu</t>
        </is>
      </c>
      <c r="R1028" t="inlineStr">
        <is>
          <t xml:space="preserve">LB </t>
        </is>
      </c>
      <c r="S1028" t="n">
        <v>1</v>
      </c>
      <c r="T1028" t="n">
        <v>1</v>
      </c>
      <c r="U1028" t="inlineStr">
        <is>
          <t>2003-12-01</t>
        </is>
      </c>
      <c r="V1028" t="inlineStr">
        <is>
          <t>2003-12-01</t>
        </is>
      </c>
      <c r="W1028" t="inlineStr">
        <is>
          <t>2003-12-01</t>
        </is>
      </c>
      <c r="X1028" t="inlineStr">
        <is>
          <t>2003-12-01</t>
        </is>
      </c>
      <c r="Y1028" t="n">
        <v>265</v>
      </c>
      <c r="Z1028" t="n">
        <v>258</v>
      </c>
      <c r="AA1028" t="n">
        <v>265</v>
      </c>
      <c r="AB1028" t="n">
        <v>2</v>
      </c>
      <c r="AC1028" t="n">
        <v>2</v>
      </c>
      <c r="AD1028" t="n">
        <v>8</v>
      </c>
      <c r="AE1028" t="n">
        <v>8</v>
      </c>
      <c r="AF1028" t="n">
        <v>4</v>
      </c>
      <c r="AG1028" t="n">
        <v>4</v>
      </c>
      <c r="AH1028" t="n">
        <v>3</v>
      </c>
      <c r="AI1028" t="n">
        <v>3</v>
      </c>
      <c r="AJ1028" t="n">
        <v>5</v>
      </c>
      <c r="AK1028" t="n">
        <v>5</v>
      </c>
      <c r="AL1028" t="n">
        <v>1</v>
      </c>
      <c r="AM1028" t="n">
        <v>1</v>
      </c>
      <c r="AN1028" t="n">
        <v>0</v>
      </c>
      <c r="AO1028" t="n">
        <v>0</v>
      </c>
      <c r="AP1028" t="inlineStr">
        <is>
          <t>No</t>
        </is>
      </c>
      <c r="AQ1028" t="inlineStr">
        <is>
          <t>No</t>
        </is>
      </c>
      <c r="AS1028">
        <f>HYPERLINK("https://creighton-primo.hosted.exlibrisgroup.com/primo-explore/search?tab=default_tab&amp;search_scope=EVERYTHING&amp;vid=01CRU&amp;lang=en_US&amp;offset=0&amp;query=any,contains,991004194529702656","Catalog Record")</f>
        <v/>
      </c>
      <c r="AT1028">
        <f>HYPERLINK("http://www.worldcat.org/oclc/33132059","WorldCat Record")</f>
        <v/>
      </c>
      <c r="AU1028" t="inlineStr">
        <is>
          <t>38002562:eng</t>
        </is>
      </c>
      <c r="AV1028" t="inlineStr">
        <is>
          <t>33132059</t>
        </is>
      </c>
      <c r="AW1028" t="inlineStr">
        <is>
          <t>991004194529702656</t>
        </is>
      </c>
      <c r="AX1028" t="inlineStr">
        <is>
          <t>991004194529702656</t>
        </is>
      </c>
      <c r="AY1028" t="inlineStr">
        <is>
          <t>2268857200002656</t>
        </is>
      </c>
      <c r="AZ1028" t="inlineStr">
        <is>
          <t>BOOK</t>
        </is>
      </c>
      <c r="BB1028" t="inlineStr">
        <is>
          <t>9780875861128</t>
        </is>
      </c>
      <c r="BC1028" t="inlineStr">
        <is>
          <t>32285004842380</t>
        </is>
      </c>
      <c r="BD1028" t="inlineStr">
        <is>
          <t>893429768</t>
        </is>
      </c>
    </row>
    <row r="1029">
      <c r="A1029" t="inlineStr">
        <is>
          <t>No</t>
        </is>
      </c>
      <c r="B1029" t="inlineStr">
        <is>
          <t>LB2331.72 .B67 1986</t>
        </is>
      </c>
      <c r="C1029" t="inlineStr">
        <is>
          <t>0                      LB 2331720B  67          1986</t>
        </is>
      </c>
      <c r="D1029" t="inlineStr">
        <is>
          <t>American professors : a national resource imperiled / Howard R. Bowen, Jack H. Schuster.</t>
        </is>
      </c>
      <c r="F1029" t="inlineStr">
        <is>
          <t>No</t>
        </is>
      </c>
      <c r="G1029" t="inlineStr">
        <is>
          <t>1</t>
        </is>
      </c>
      <c r="H1029" t="inlineStr">
        <is>
          <t>No</t>
        </is>
      </c>
      <c r="I1029" t="inlineStr">
        <is>
          <t>No</t>
        </is>
      </c>
      <c r="J1029" t="inlineStr">
        <is>
          <t>0</t>
        </is>
      </c>
      <c r="K1029" t="inlineStr">
        <is>
          <t>Bowen, Howard R. (Howard Rothmann), 1908-1989.</t>
        </is>
      </c>
      <c r="L1029" t="inlineStr">
        <is>
          <t>New York : Oxford University Press, 1986.</t>
        </is>
      </c>
      <c r="M1029" t="inlineStr">
        <is>
          <t>1985</t>
        </is>
      </c>
      <c r="O1029" t="inlineStr">
        <is>
          <t>eng</t>
        </is>
      </c>
      <c r="P1029" t="inlineStr">
        <is>
          <t>nyu</t>
        </is>
      </c>
      <c r="R1029" t="inlineStr">
        <is>
          <t xml:space="preserve">LB </t>
        </is>
      </c>
      <c r="S1029" t="n">
        <v>5</v>
      </c>
      <c r="T1029" t="n">
        <v>5</v>
      </c>
      <c r="U1029" t="inlineStr">
        <is>
          <t>2001-12-04</t>
        </is>
      </c>
      <c r="V1029" t="inlineStr">
        <is>
          <t>2001-12-04</t>
        </is>
      </c>
      <c r="W1029" t="inlineStr">
        <is>
          <t>1993-06-09</t>
        </is>
      </c>
      <c r="X1029" t="inlineStr">
        <is>
          <t>1993-06-09</t>
        </is>
      </c>
      <c r="Y1029" t="n">
        <v>720</v>
      </c>
      <c r="Z1029" t="n">
        <v>641</v>
      </c>
      <c r="AA1029" t="n">
        <v>644</v>
      </c>
      <c r="AB1029" t="n">
        <v>2</v>
      </c>
      <c r="AC1029" t="n">
        <v>2</v>
      </c>
      <c r="AD1029" t="n">
        <v>29</v>
      </c>
      <c r="AE1029" t="n">
        <v>29</v>
      </c>
      <c r="AF1029" t="n">
        <v>10</v>
      </c>
      <c r="AG1029" t="n">
        <v>10</v>
      </c>
      <c r="AH1029" t="n">
        <v>7</v>
      </c>
      <c r="AI1029" t="n">
        <v>7</v>
      </c>
      <c r="AJ1029" t="n">
        <v>20</v>
      </c>
      <c r="AK1029" t="n">
        <v>20</v>
      </c>
      <c r="AL1029" t="n">
        <v>1</v>
      </c>
      <c r="AM1029" t="n">
        <v>1</v>
      </c>
      <c r="AN1029" t="n">
        <v>1</v>
      </c>
      <c r="AO1029" t="n">
        <v>1</v>
      </c>
      <c r="AP1029" t="inlineStr">
        <is>
          <t>No</t>
        </is>
      </c>
      <c r="AQ1029" t="inlineStr">
        <is>
          <t>Yes</t>
        </is>
      </c>
      <c r="AR1029">
        <f>HYPERLINK("http://catalog.hathitrust.org/Record/000387419","HathiTrust Record")</f>
        <v/>
      </c>
      <c r="AS1029">
        <f>HYPERLINK("https://creighton-primo.hosted.exlibrisgroup.com/primo-explore/search?tab=default_tab&amp;search_scope=EVERYTHING&amp;vid=01CRU&amp;lang=en_US&amp;offset=0&amp;query=any,contains,991000620309702656","Catalog Record")</f>
        <v/>
      </c>
      <c r="AT1029">
        <f>HYPERLINK("http://www.worldcat.org/oclc/11971250","WorldCat Record")</f>
        <v/>
      </c>
      <c r="AU1029" t="inlineStr">
        <is>
          <t>231285029:eng</t>
        </is>
      </c>
      <c r="AV1029" t="inlineStr">
        <is>
          <t>11971250</t>
        </is>
      </c>
      <c r="AW1029" t="inlineStr">
        <is>
          <t>991000620309702656</t>
        </is>
      </c>
      <c r="AX1029" t="inlineStr">
        <is>
          <t>991000620309702656</t>
        </is>
      </c>
      <c r="AY1029" t="inlineStr">
        <is>
          <t>2256956420002656</t>
        </is>
      </c>
      <c r="AZ1029" t="inlineStr">
        <is>
          <t>BOOK</t>
        </is>
      </c>
      <c r="BB1029" t="inlineStr">
        <is>
          <t>9780195036930</t>
        </is>
      </c>
      <c r="BC1029" t="inlineStr">
        <is>
          <t>32285001714822</t>
        </is>
      </c>
      <c r="BD1029" t="inlineStr">
        <is>
          <t>893351590</t>
        </is>
      </c>
    </row>
    <row r="1030">
      <c r="A1030" t="inlineStr">
        <is>
          <t>No</t>
        </is>
      </c>
      <c r="B1030" t="inlineStr">
        <is>
          <t>LB2331.72 .H3 1983</t>
        </is>
      </c>
      <c r="C1030" t="inlineStr">
        <is>
          <t>0                      LB 2331720H  3           1983</t>
        </is>
      </c>
      <c r="D1030" t="inlineStr">
        <is>
          <t>Academic mentoring for women students and faculty : a new look at an old way to get ahead / by Roberta M. Hall ... and Bernice R. Sandler.</t>
        </is>
      </c>
      <c r="F1030" t="inlineStr">
        <is>
          <t>No</t>
        </is>
      </c>
      <c r="G1030" t="inlineStr">
        <is>
          <t>1</t>
        </is>
      </c>
      <c r="H1030" t="inlineStr">
        <is>
          <t>No</t>
        </is>
      </c>
      <c r="I1030" t="inlineStr">
        <is>
          <t>No</t>
        </is>
      </c>
      <c r="J1030" t="inlineStr">
        <is>
          <t>0</t>
        </is>
      </c>
      <c r="K1030" t="inlineStr">
        <is>
          <t>Hall, Roberta M.</t>
        </is>
      </c>
      <c r="L1030" t="inlineStr">
        <is>
          <t>Washington, D.C. : Association of American Colleges, c1983.</t>
        </is>
      </c>
      <c r="M1030" t="inlineStr">
        <is>
          <t>1983</t>
        </is>
      </c>
      <c r="O1030" t="inlineStr">
        <is>
          <t>eng</t>
        </is>
      </c>
      <c r="P1030" t="inlineStr">
        <is>
          <t>dcu</t>
        </is>
      </c>
      <c r="R1030" t="inlineStr">
        <is>
          <t xml:space="preserve">LB </t>
        </is>
      </c>
      <c r="S1030" t="n">
        <v>1</v>
      </c>
      <c r="T1030" t="n">
        <v>1</v>
      </c>
      <c r="U1030" t="inlineStr">
        <is>
          <t>1997-05-22</t>
        </is>
      </c>
      <c r="V1030" t="inlineStr">
        <is>
          <t>1997-05-22</t>
        </is>
      </c>
      <c r="W1030" t="inlineStr">
        <is>
          <t>1995-11-27</t>
        </is>
      </c>
      <c r="X1030" t="inlineStr">
        <is>
          <t>1995-11-27</t>
        </is>
      </c>
      <c r="Y1030" t="n">
        <v>78</v>
      </c>
      <c r="Z1030" t="n">
        <v>72</v>
      </c>
      <c r="AA1030" t="n">
        <v>73</v>
      </c>
      <c r="AB1030" t="n">
        <v>1</v>
      </c>
      <c r="AC1030" t="n">
        <v>1</v>
      </c>
      <c r="AD1030" t="n">
        <v>2</v>
      </c>
      <c r="AE1030" t="n">
        <v>2</v>
      </c>
      <c r="AF1030" t="n">
        <v>1</v>
      </c>
      <c r="AG1030" t="n">
        <v>1</v>
      </c>
      <c r="AH1030" t="n">
        <v>1</v>
      </c>
      <c r="AI1030" t="n">
        <v>1</v>
      </c>
      <c r="AJ1030" t="n">
        <v>0</v>
      </c>
      <c r="AK1030" t="n">
        <v>0</v>
      </c>
      <c r="AL1030" t="n">
        <v>0</v>
      </c>
      <c r="AM1030" t="n">
        <v>0</v>
      </c>
      <c r="AN1030" t="n">
        <v>0</v>
      </c>
      <c r="AO1030" t="n">
        <v>0</v>
      </c>
      <c r="AP1030" t="inlineStr">
        <is>
          <t>No</t>
        </is>
      </c>
      <c r="AQ1030" t="inlineStr">
        <is>
          <t>No</t>
        </is>
      </c>
      <c r="AS1030">
        <f>HYPERLINK("https://creighton-primo.hosted.exlibrisgroup.com/primo-explore/search?tab=default_tab&amp;search_scope=EVERYTHING&amp;vid=01CRU&amp;lang=en_US&amp;offset=0&amp;query=any,contains,991000396469702656","Catalog Record")</f>
        <v/>
      </c>
      <c r="AT1030">
        <f>HYPERLINK("http://www.worldcat.org/oclc/10593110","WorldCat Record")</f>
        <v/>
      </c>
      <c r="AU1030" t="inlineStr">
        <is>
          <t>3382918:eng</t>
        </is>
      </c>
      <c r="AV1030" t="inlineStr">
        <is>
          <t>10593110</t>
        </is>
      </c>
      <c r="AW1030" t="inlineStr">
        <is>
          <t>991000396469702656</t>
        </is>
      </c>
      <c r="AX1030" t="inlineStr">
        <is>
          <t>991000396469702656</t>
        </is>
      </c>
      <c r="AY1030" t="inlineStr">
        <is>
          <t>2268369810002656</t>
        </is>
      </c>
      <c r="AZ1030" t="inlineStr">
        <is>
          <t>BOOK</t>
        </is>
      </c>
      <c r="BC1030" t="inlineStr">
        <is>
          <t>32285002105756</t>
        </is>
      </c>
      <c r="BD1030" t="inlineStr">
        <is>
          <t>893720669</t>
        </is>
      </c>
    </row>
    <row r="1031">
      <c r="A1031" t="inlineStr">
        <is>
          <t>No</t>
        </is>
      </c>
      <c r="B1031" t="inlineStr">
        <is>
          <t>LB2331.72 .M69 2001</t>
        </is>
      </c>
      <c r="C1031" t="inlineStr">
        <is>
          <t>0                      LB 2331720M  69          2001</t>
        </is>
      </c>
      <c r="D1031" t="inlineStr">
        <is>
          <t>Moving a mountain : transforming the role of contingent faculty in composition studies and higher education / edited by Eileen E. Schell, Patricia Lambert Stock.</t>
        </is>
      </c>
      <c r="F1031" t="inlineStr">
        <is>
          <t>No</t>
        </is>
      </c>
      <c r="G1031" t="inlineStr">
        <is>
          <t>1</t>
        </is>
      </c>
      <c r="H1031" t="inlineStr">
        <is>
          <t>No</t>
        </is>
      </c>
      <c r="I1031" t="inlineStr">
        <is>
          <t>No</t>
        </is>
      </c>
      <c r="J1031" t="inlineStr">
        <is>
          <t>0</t>
        </is>
      </c>
      <c r="L1031" t="inlineStr">
        <is>
          <t>Urbana, Ill. : National Council of Teachers of English, c2001.</t>
        </is>
      </c>
      <c r="M1031" t="inlineStr">
        <is>
          <t>2001</t>
        </is>
      </c>
      <c r="O1031" t="inlineStr">
        <is>
          <t>eng</t>
        </is>
      </c>
      <c r="P1031" t="inlineStr">
        <is>
          <t>ilu</t>
        </is>
      </c>
      <c r="R1031" t="inlineStr">
        <is>
          <t xml:space="preserve">LB </t>
        </is>
      </c>
      <c r="S1031" t="n">
        <v>1</v>
      </c>
      <c r="T1031" t="n">
        <v>1</v>
      </c>
      <c r="U1031" t="inlineStr">
        <is>
          <t>2009-04-08</t>
        </is>
      </c>
      <c r="V1031" t="inlineStr">
        <is>
          <t>2009-04-08</t>
        </is>
      </c>
      <c r="W1031" t="inlineStr">
        <is>
          <t>2003-05-12</t>
        </is>
      </c>
      <c r="X1031" t="inlineStr">
        <is>
          <t>2003-05-12</t>
        </is>
      </c>
      <c r="Y1031" t="n">
        <v>169</v>
      </c>
      <c r="Z1031" t="n">
        <v>160</v>
      </c>
      <c r="AA1031" t="n">
        <v>163</v>
      </c>
      <c r="AB1031" t="n">
        <v>1</v>
      </c>
      <c r="AC1031" t="n">
        <v>1</v>
      </c>
      <c r="AD1031" t="n">
        <v>9</v>
      </c>
      <c r="AE1031" t="n">
        <v>9</v>
      </c>
      <c r="AF1031" t="n">
        <v>4</v>
      </c>
      <c r="AG1031" t="n">
        <v>4</v>
      </c>
      <c r="AH1031" t="n">
        <v>2</v>
      </c>
      <c r="AI1031" t="n">
        <v>2</v>
      </c>
      <c r="AJ1031" t="n">
        <v>4</v>
      </c>
      <c r="AK1031" t="n">
        <v>4</v>
      </c>
      <c r="AL1031" t="n">
        <v>0</v>
      </c>
      <c r="AM1031" t="n">
        <v>0</v>
      </c>
      <c r="AN1031" t="n">
        <v>0</v>
      </c>
      <c r="AO1031" t="n">
        <v>0</v>
      </c>
      <c r="AP1031" t="inlineStr">
        <is>
          <t>No</t>
        </is>
      </c>
      <c r="AQ1031" t="inlineStr">
        <is>
          <t>Yes</t>
        </is>
      </c>
      <c r="AR1031">
        <f>HYPERLINK("http://catalog.hathitrust.org/Record/008327249","HathiTrust Record")</f>
        <v/>
      </c>
      <c r="AS1031">
        <f>HYPERLINK("https://creighton-primo.hosted.exlibrisgroup.com/primo-explore/search?tab=default_tab&amp;search_scope=EVERYTHING&amp;vid=01CRU&amp;lang=en_US&amp;offset=0&amp;query=any,contains,991004031079702656","Catalog Record")</f>
        <v/>
      </c>
      <c r="AT1031">
        <f>HYPERLINK("http://www.worldcat.org/oclc/44818290","WorldCat Record")</f>
        <v/>
      </c>
      <c r="AU1031" t="inlineStr">
        <is>
          <t>992855556:eng</t>
        </is>
      </c>
      <c r="AV1031" t="inlineStr">
        <is>
          <t>44818290</t>
        </is>
      </c>
      <c r="AW1031" t="inlineStr">
        <is>
          <t>991004031079702656</t>
        </is>
      </c>
      <c r="AX1031" t="inlineStr">
        <is>
          <t>991004031079702656</t>
        </is>
      </c>
      <c r="AY1031" t="inlineStr">
        <is>
          <t>2255049160002656</t>
        </is>
      </c>
      <c r="AZ1031" t="inlineStr">
        <is>
          <t>BOOK</t>
        </is>
      </c>
      <c r="BB1031" t="inlineStr">
        <is>
          <t>9780814155080</t>
        </is>
      </c>
      <c r="BC1031" t="inlineStr">
        <is>
          <t>32285004745633</t>
        </is>
      </c>
      <c r="BD1031" t="inlineStr">
        <is>
          <t>893442096</t>
        </is>
      </c>
    </row>
    <row r="1032">
      <c r="A1032" t="inlineStr">
        <is>
          <t>No</t>
        </is>
      </c>
      <c r="B1032" t="inlineStr">
        <is>
          <t>LB2332 .C67 1972</t>
        </is>
      </c>
      <c r="C1032" t="inlineStr">
        <is>
          <t>0                      LB 2332000C  67          1972</t>
        </is>
      </c>
      <c r="D1032" t="inlineStr">
        <is>
          <t>The concept of academic freedom : [papers] / edited by Edmund L. Pincoffs.</t>
        </is>
      </c>
      <c r="F1032" t="inlineStr">
        <is>
          <t>No</t>
        </is>
      </c>
      <c r="G1032" t="inlineStr">
        <is>
          <t>1</t>
        </is>
      </c>
      <c r="H1032" t="inlineStr">
        <is>
          <t>No</t>
        </is>
      </c>
      <c r="I1032" t="inlineStr">
        <is>
          <t>No</t>
        </is>
      </c>
      <c r="J1032" t="inlineStr">
        <is>
          <t>0</t>
        </is>
      </c>
      <c r="K1032" t="inlineStr">
        <is>
          <t>Conference on the Concept of Academic Freedom (1972 : University of Texas at Austin)</t>
        </is>
      </c>
      <c r="L1032" t="inlineStr">
        <is>
          <t>Austin : University of Texas Press, [1975]</t>
        </is>
      </c>
      <c r="M1032" t="inlineStr">
        <is>
          <t>1975</t>
        </is>
      </c>
      <c r="O1032" t="inlineStr">
        <is>
          <t>eng</t>
        </is>
      </c>
      <c r="P1032" t="inlineStr">
        <is>
          <t>txu</t>
        </is>
      </c>
      <c r="R1032" t="inlineStr">
        <is>
          <t xml:space="preserve">LB </t>
        </is>
      </c>
      <c r="S1032" t="n">
        <v>6</v>
      </c>
      <c r="T1032" t="n">
        <v>6</v>
      </c>
      <c r="U1032" t="inlineStr">
        <is>
          <t>1998-06-01</t>
        </is>
      </c>
      <c r="V1032" t="inlineStr">
        <is>
          <t>1998-06-01</t>
        </is>
      </c>
      <c r="W1032" t="inlineStr">
        <is>
          <t>1990-05-07</t>
        </is>
      </c>
      <c r="X1032" t="inlineStr">
        <is>
          <t>1990-05-07</t>
        </is>
      </c>
      <c r="Y1032" t="n">
        <v>700</v>
      </c>
      <c r="Z1032" t="n">
        <v>632</v>
      </c>
      <c r="AA1032" t="n">
        <v>641</v>
      </c>
      <c r="AB1032" t="n">
        <v>7</v>
      </c>
      <c r="AC1032" t="n">
        <v>7</v>
      </c>
      <c r="AD1032" t="n">
        <v>37</v>
      </c>
      <c r="AE1032" t="n">
        <v>37</v>
      </c>
      <c r="AF1032" t="n">
        <v>10</v>
      </c>
      <c r="AG1032" t="n">
        <v>10</v>
      </c>
      <c r="AH1032" t="n">
        <v>9</v>
      </c>
      <c r="AI1032" t="n">
        <v>9</v>
      </c>
      <c r="AJ1032" t="n">
        <v>14</v>
      </c>
      <c r="AK1032" t="n">
        <v>14</v>
      </c>
      <c r="AL1032" t="n">
        <v>6</v>
      </c>
      <c r="AM1032" t="n">
        <v>6</v>
      </c>
      <c r="AN1032" t="n">
        <v>7</v>
      </c>
      <c r="AO1032" t="n">
        <v>7</v>
      </c>
      <c r="AP1032" t="inlineStr">
        <is>
          <t>No</t>
        </is>
      </c>
      <c r="AQ1032" t="inlineStr">
        <is>
          <t>Yes</t>
        </is>
      </c>
      <c r="AR1032">
        <f>HYPERLINK("http://catalog.hathitrust.org/Record/001055982","HathiTrust Record")</f>
        <v/>
      </c>
      <c r="AS1032">
        <f>HYPERLINK("https://creighton-primo.hosted.exlibrisgroup.com/primo-explore/search?tab=default_tab&amp;search_scope=EVERYTHING&amp;vid=01CRU&amp;lang=en_US&amp;offset=0&amp;query=any,contains,991003504029702656","Catalog Record")</f>
        <v/>
      </c>
      <c r="AT1032">
        <f>HYPERLINK("http://www.worldcat.org/oclc/1055622","WorldCat Record")</f>
        <v/>
      </c>
      <c r="AU1032" t="inlineStr">
        <is>
          <t>111736291:eng</t>
        </is>
      </c>
      <c r="AV1032" t="inlineStr">
        <is>
          <t>1055622</t>
        </is>
      </c>
      <c r="AW1032" t="inlineStr">
        <is>
          <t>991003504029702656</t>
        </is>
      </c>
      <c r="AX1032" t="inlineStr">
        <is>
          <t>991003504029702656</t>
        </is>
      </c>
      <c r="AY1032" t="inlineStr">
        <is>
          <t>2269646960002656</t>
        </is>
      </c>
      <c r="AZ1032" t="inlineStr">
        <is>
          <t>BOOK</t>
        </is>
      </c>
      <c r="BB1032" t="inlineStr">
        <is>
          <t>9780292710160</t>
        </is>
      </c>
      <c r="BC1032" t="inlineStr">
        <is>
          <t>32285000149970</t>
        </is>
      </c>
      <c r="BD1032" t="inlineStr">
        <is>
          <t>893531242</t>
        </is>
      </c>
    </row>
    <row r="1033">
      <c r="A1033" t="inlineStr">
        <is>
          <t>No</t>
        </is>
      </c>
      <c r="B1033" t="inlineStr">
        <is>
          <t>LB2332.3 .H46 1991</t>
        </is>
      </c>
      <c r="C1033" t="inlineStr">
        <is>
          <t>0                      LB 2332300H  46          1991</t>
        </is>
      </c>
      <c r="D1033" t="inlineStr">
        <is>
          <t>Realizing gender equality in higher education : the need to integrate work-family issues / by Nancy Hensel.</t>
        </is>
      </c>
      <c r="F1033" t="inlineStr">
        <is>
          <t>No</t>
        </is>
      </c>
      <c r="G1033" t="inlineStr">
        <is>
          <t>1</t>
        </is>
      </c>
      <c r="H1033" t="inlineStr">
        <is>
          <t>No</t>
        </is>
      </c>
      <c r="I1033" t="inlineStr">
        <is>
          <t>No</t>
        </is>
      </c>
      <c r="J1033" t="inlineStr">
        <is>
          <t>0</t>
        </is>
      </c>
      <c r="K1033" t="inlineStr">
        <is>
          <t>Hensel, Nancy H.</t>
        </is>
      </c>
      <c r="L1033" t="inlineStr">
        <is>
          <t>Washington, D.C. : School of Education and Human Development, George Washington University, 1991.</t>
        </is>
      </c>
      <c r="M1033" t="inlineStr">
        <is>
          <t>1991</t>
        </is>
      </c>
      <c r="O1033" t="inlineStr">
        <is>
          <t>eng</t>
        </is>
      </c>
      <c r="P1033" t="inlineStr">
        <is>
          <t>dcu</t>
        </is>
      </c>
      <c r="Q1033" t="inlineStr">
        <is>
          <t>ASHE-ERIC higher education report, 0884-0040 ; 2, 1991</t>
        </is>
      </c>
      <c r="R1033" t="inlineStr">
        <is>
          <t xml:space="preserve">LB </t>
        </is>
      </c>
      <c r="S1033" t="n">
        <v>1</v>
      </c>
      <c r="T1033" t="n">
        <v>1</v>
      </c>
      <c r="U1033" t="inlineStr">
        <is>
          <t>2002-04-21</t>
        </is>
      </c>
      <c r="V1033" t="inlineStr">
        <is>
          <t>2002-04-21</t>
        </is>
      </c>
      <c r="W1033" t="inlineStr">
        <is>
          <t>1996-04-28</t>
        </is>
      </c>
      <c r="X1033" t="inlineStr">
        <is>
          <t>1996-04-28</t>
        </is>
      </c>
      <c r="Y1033" t="n">
        <v>462</v>
      </c>
      <c r="Z1033" t="n">
        <v>436</v>
      </c>
      <c r="AA1033" t="n">
        <v>441</v>
      </c>
      <c r="AB1033" t="n">
        <v>4</v>
      </c>
      <c r="AC1033" t="n">
        <v>4</v>
      </c>
      <c r="AD1033" t="n">
        <v>32</v>
      </c>
      <c r="AE1033" t="n">
        <v>32</v>
      </c>
      <c r="AF1033" t="n">
        <v>15</v>
      </c>
      <c r="AG1033" t="n">
        <v>15</v>
      </c>
      <c r="AH1033" t="n">
        <v>8</v>
      </c>
      <c r="AI1033" t="n">
        <v>8</v>
      </c>
      <c r="AJ1033" t="n">
        <v>10</v>
      </c>
      <c r="AK1033" t="n">
        <v>10</v>
      </c>
      <c r="AL1033" t="n">
        <v>2</v>
      </c>
      <c r="AM1033" t="n">
        <v>2</v>
      </c>
      <c r="AN1033" t="n">
        <v>5</v>
      </c>
      <c r="AO1033" t="n">
        <v>5</v>
      </c>
      <c r="AP1033" t="inlineStr">
        <is>
          <t>No</t>
        </is>
      </c>
      <c r="AQ1033" t="inlineStr">
        <is>
          <t>No</t>
        </is>
      </c>
      <c r="AS1033">
        <f>HYPERLINK("https://creighton-primo.hosted.exlibrisgroup.com/primo-explore/search?tab=default_tab&amp;search_scope=EVERYTHING&amp;vid=01CRU&amp;lang=en_US&amp;offset=0&amp;query=any,contains,991001956309702656","Catalog Record")</f>
        <v/>
      </c>
      <c r="AT1033">
        <f>HYPERLINK("http://www.worldcat.org/oclc/24774517","WorldCat Record")</f>
        <v/>
      </c>
      <c r="AU1033" t="inlineStr">
        <is>
          <t>10173621877:eng</t>
        </is>
      </c>
      <c r="AV1033" t="inlineStr">
        <is>
          <t>24774517</t>
        </is>
      </c>
      <c r="AW1033" t="inlineStr">
        <is>
          <t>991001956309702656</t>
        </is>
      </c>
      <c r="AX1033" t="inlineStr">
        <is>
          <t>991001956309702656</t>
        </is>
      </c>
      <c r="AY1033" t="inlineStr">
        <is>
          <t>2271709530002656</t>
        </is>
      </c>
      <c r="AZ1033" t="inlineStr">
        <is>
          <t>BOOK</t>
        </is>
      </c>
      <c r="BB1033" t="inlineStr">
        <is>
          <t>9781878380074</t>
        </is>
      </c>
      <c r="BC1033" t="inlineStr">
        <is>
          <t>32285002158359</t>
        </is>
      </c>
      <c r="BD1033" t="inlineStr">
        <is>
          <t>893262003</t>
        </is>
      </c>
    </row>
    <row r="1034">
      <c r="A1034" t="inlineStr">
        <is>
          <t>No</t>
        </is>
      </c>
      <c r="B1034" t="inlineStr">
        <is>
          <t>LB2332.3 .T56 2005</t>
        </is>
      </c>
      <c r="C1034" t="inlineStr">
        <is>
          <t>0                      LB 2332300T  56          2005</t>
        </is>
      </c>
      <c r="D1034" t="inlineStr">
        <is>
          <t>Those winter Sundays : female academics and their working-class parents / edited by Kathleen A. Welsch ; with a foreword by Janet Zandy.</t>
        </is>
      </c>
      <c r="F1034" t="inlineStr">
        <is>
          <t>No</t>
        </is>
      </c>
      <c r="G1034" t="inlineStr">
        <is>
          <t>1</t>
        </is>
      </c>
      <c r="H1034" t="inlineStr">
        <is>
          <t>No</t>
        </is>
      </c>
      <c r="I1034" t="inlineStr">
        <is>
          <t>No</t>
        </is>
      </c>
      <c r="J1034" t="inlineStr">
        <is>
          <t>0</t>
        </is>
      </c>
      <c r="L1034" t="inlineStr">
        <is>
          <t>Lanham, MD : University Press of America, c2005.</t>
        </is>
      </c>
      <c r="M1034" t="inlineStr">
        <is>
          <t>2005</t>
        </is>
      </c>
      <c r="O1034" t="inlineStr">
        <is>
          <t>eng</t>
        </is>
      </c>
      <c r="P1034" t="inlineStr">
        <is>
          <t>mdu</t>
        </is>
      </c>
      <c r="R1034" t="inlineStr">
        <is>
          <t xml:space="preserve">LB </t>
        </is>
      </c>
      <c r="S1034" t="n">
        <v>1</v>
      </c>
      <c r="T1034" t="n">
        <v>1</v>
      </c>
      <c r="U1034" t="inlineStr">
        <is>
          <t>2005-12-13</t>
        </is>
      </c>
      <c r="V1034" t="inlineStr">
        <is>
          <t>2005-12-13</t>
        </is>
      </c>
      <c r="W1034" t="inlineStr">
        <is>
          <t>2005-12-13</t>
        </is>
      </c>
      <c r="X1034" t="inlineStr">
        <is>
          <t>2005-12-13</t>
        </is>
      </c>
      <c r="Y1034" t="n">
        <v>140</v>
      </c>
      <c r="Z1034" t="n">
        <v>110</v>
      </c>
      <c r="AA1034" t="n">
        <v>112</v>
      </c>
      <c r="AB1034" t="n">
        <v>3</v>
      </c>
      <c r="AC1034" t="n">
        <v>3</v>
      </c>
      <c r="AD1034" t="n">
        <v>8</v>
      </c>
      <c r="AE1034" t="n">
        <v>8</v>
      </c>
      <c r="AF1034" t="n">
        <v>1</v>
      </c>
      <c r="AG1034" t="n">
        <v>1</v>
      </c>
      <c r="AH1034" t="n">
        <v>2</v>
      </c>
      <c r="AI1034" t="n">
        <v>2</v>
      </c>
      <c r="AJ1034" t="n">
        <v>6</v>
      </c>
      <c r="AK1034" t="n">
        <v>6</v>
      </c>
      <c r="AL1034" t="n">
        <v>2</v>
      </c>
      <c r="AM1034" t="n">
        <v>2</v>
      </c>
      <c r="AN1034" t="n">
        <v>0</v>
      </c>
      <c r="AO1034" t="n">
        <v>0</v>
      </c>
      <c r="AP1034" t="inlineStr">
        <is>
          <t>No</t>
        </is>
      </c>
      <c r="AQ1034" t="inlineStr">
        <is>
          <t>Yes</t>
        </is>
      </c>
      <c r="AR1034">
        <f>HYPERLINK("http://catalog.hathitrust.org/Record/005022483","HathiTrust Record")</f>
        <v/>
      </c>
      <c r="AS1034">
        <f>HYPERLINK("https://creighton-primo.hosted.exlibrisgroup.com/primo-explore/search?tab=default_tab&amp;search_scope=EVERYTHING&amp;vid=01CRU&amp;lang=en_US&amp;offset=0&amp;query=any,contains,991004689439702656","Catalog Record")</f>
        <v/>
      </c>
      <c r="AT1034">
        <f>HYPERLINK("http://www.worldcat.org/oclc/57623934","WorldCat Record")</f>
        <v/>
      </c>
      <c r="AU1034" t="inlineStr">
        <is>
          <t>957096660:eng</t>
        </is>
      </c>
      <c r="AV1034" t="inlineStr">
        <is>
          <t>57623934</t>
        </is>
      </c>
      <c r="AW1034" t="inlineStr">
        <is>
          <t>991004689439702656</t>
        </is>
      </c>
      <c r="AX1034" t="inlineStr">
        <is>
          <t>991004689439702656</t>
        </is>
      </c>
      <c r="AY1034" t="inlineStr">
        <is>
          <t>2259589280002656</t>
        </is>
      </c>
      <c r="AZ1034" t="inlineStr">
        <is>
          <t>BOOK</t>
        </is>
      </c>
      <c r="BB1034" t="inlineStr">
        <is>
          <t>9780761829799</t>
        </is>
      </c>
      <c r="BC1034" t="inlineStr">
        <is>
          <t>32285005151930</t>
        </is>
      </c>
      <c r="BD1034" t="inlineStr">
        <is>
          <t>893889144</t>
        </is>
      </c>
    </row>
    <row r="1035">
      <c r="A1035" t="inlineStr">
        <is>
          <t>No</t>
        </is>
      </c>
      <c r="B1035" t="inlineStr">
        <is>
          <t>LB2332.3 .W67 1990</t>
        </is>
      </c>
      <c r="C1035" t="inlineStr">
        <is>
          <t>0                      LB 2332300W  67          1990</t>
        </is>
      </c>
      <c r="D1035" t="inlineStr">
        <is>
          <t>Women in higher education : changes and challenges / edited by Lynne B. Welch.</t>
        </is>
      </c>
      <c r="F1035" t="inlineStr">
        <is>
          <t>No</t>
        </is>
      </c>
      <c r="G1035" t="inlineStr">
        <is>
          <t>1</t>
        </is>
      </c>
      <c r="H1035" t="inlineStr">
        <is>
          <t>No</t>
        </is>
      </c>
      <c r="I1035" t="inlineStr">
        <is>
          <t>No</t>
        </is>
      </c>
      <c r="J1035" t="inlineStr">
        <is>
          <t>0</t>
        </is>
      </c>
      <c r="L1035" t="inlineStr">
        <is>
          <t>New York : Praeger, 1990.</t>
        </is>
      </c>
      <c r="M1035" t="inlineStr">
        <is>
          <t>1990</t>
        </is>
      </c>
      <c r="O1035" t="inlineStr">
        <is>
          <t>eng</t>
        </is>
      </c>
      <c r="P1035" t="inlineStr">
        <is>
          <t>nyu</t>
        </is>
      </c>
      <c r="R1035" t="inlineStr">
        <is>
          <t xml:space="preserve">LB </t>
        </is>
      </c>
      <c r="S1035" t="n">
        <v>3</v>
      </c>
      <c r="T1035" t="n">
        <v>3</v>
      </c>
      <c r="U1035" t="inlineStr">
        <is>
          <t>2002-04-21</t>
        </is>
      </c>
      <c r="V1035" t="inlineStr">
        <is>
          <t>2002-04-21</t>
        </is>
      </c>
      <c r="W1035" t="inlineStr">
        <is>
          <t>1993-10-04</t>
        </is>
      </c>
      <c r="X1035" t="inlineStr">
        <is>
          <t>1993-10-04</t>
        </is>
      </c>
      <c r="Y1035" t="n">
        <v>353</v>
      </c>
      <c r="Z1035" t="n">
        <v>291</v>
      </c>
      <c r="AA1035" t="n">
        <v>298</v>
      </c>
      <c r="AB1035" t="n">
        <v>3</v>
      </c>
      <c r="AC1035" t="n">
        <v>3</v>
      </c>
      <c r="AD1035" t="n">
        <v>16</v>
      </c>
      <c r="AE1035" t="n">
        <v>16</v>
      </c>
      <c r="AF1035" t="n">
        <v>3</v>
      </c>
      <c r="AG1035" t="n">
        <v>3</v>
      </c>
      <c r="AH1035" t="n">
        <v>6</v>
      </c>
      <c r="AI1035" t="n">
        <v>6</v>
      </c>
      <c r="AJ1035" t="n">
        <v>10</v>
      </c>
      <c r="AK1035" t="n">
        <v>10</v>
      </c>
      <c r="AL1035" t="n">
        <v>2</v>
      </c>
      <c r="AM1035" t="n">
        <v>2</v>
      </c>
      <c r="AN1035" t="n">
        <v>0</v>
      </c>
      <c r="AO1035" t="n">
        <v>0</v>
      </c>
      <c r="AP1035" t="inlineStr">
        <is>
          <t>No</t>
        </is>
      </c>
      <c r="AQ1035" t="inlineStr">
        <is>
          <t>Yes</t>
        </is>
      </c>
      <c r="AR1035">
        <f>HYPERLINK("http://catalog.hathitrust.org/Record/002168861","HathiTrust Record")</f>
        <v/>
      </c>
      <c r="AS1035">
        <f>HYPERLINK("https://creighton-primo.hosted.exlibrisgroup.com/primo-explore/search?tab=default_tab&amp;search_scope=EVERYTHING&amp;vid=01CRU&amp;lang=en_US&amp;offset=0&amp;query=any,contains,991001604989702656","Catalog Record")</f>
        <v/>
      </c>
      <c r="AT1035">
        <f>HYPERLINK("http://www.worldcat.org/oclc/20691351","WorldCat Record")</f>
        <v/>
      </c>
      <c r="AU1035" t="inlineStr">
        <is>
          <t>836750792:eng</t>
        </is>
      </c>
      <c r="AV1035" t="inlineStr">
        <is>
          <t>20691351</t>
        </is>
      </c>
      <c r="AW1035" t="inlineStr">
        <is>
          <t>991001604989702656</t>
        </is>
      </c>
      <c r="AX1035" t="inlineStr">
        <is>
          <t>991001604989702656</t>
        </is>
      </c>
      <c r="AY1035" t="inlineStr">
        <is>
          <t>2257742380002656</t>
        </is>
      </c>
      <c r="AZ1035" t="inlineStr">
        <is>
          <t>BOOK</t>
        </is>
      </c>
      <c r="BB1035" t="inlineStr">
        <is>
          <t>9780275932084</t>
        </is>
      </c>
      <c r="BC1035" t="inlineStr">
        <is>
          <t>32285001769727</t>
        </is>
      </c>
      <c r="BD1035" t="inlineStr">
        <is>
          <t>893778882</t>
        </is>
      </c>
    </row>
    <row r="1036">
      <c r="A1036" t="inlineStr">
        <is>
          <t>No</t>
        </is>
      </c>
      <c r="B1036" t="inlineStr">
        <is>
          <t>LB2332.34.S6 W57 2006</t>
        </is>
      </c>
      <c r="C1036" t="inlineStr">
        <is>
          <t>0                      LB 2332340S  6                  W  57          2006</t>
        </is>
      </c>
      <c r="D1036" t="inlineStr">
        <is>
          <t>Buttons and breakfasts : the Wits Wonderwoman book / edited by Margaret Orr, Mary Rorich and Finuala Dowling ; designed by Hybrid.</t>
        </is>
      </c>
      <c r="F1036" t="inlineStr">
        <is>
          <t>No</t>
        </is>
      </c>
      <c r="G1036" t="inlineStr">
        <is>
          <t>1</t>
        </is>
      </c>
      <c r="H1036" t="inlineStr">
        <is>
          <t>No</t>
        </is>
      </c>
      <c r="I1036" t="inlineStr">
        <is>
          <t>No</t>
        </is>
      </c>
      <c r="J1036" t="inlineStr">
        <is>
          <t>0</t>
        </is>
      </c>
      <c r="L1036" t="inlineStr">
        <is>
          <t>Johannesburg, South Africa : Wits University Press, 2006.</t>
        </is>
      </c>
      <c r="M1036" t="inlineStr">
        <is>
          <t>2006</t>
        </is>
      </c>
      <c r="O1036" t="inlineStr">
        <is>
          <t>eng</t>
        </is>
      </c>
      <c r="P1036" t="inlineStr">
        <is>
          <t xml:space="preserve">sa </t>
        </is>
      </c>
      <c r="R1036" t="inlineStr">
        <is>
          <t xml:space="preserve">LB </t>
        </is>
      </c>
      <c r="S1036" t="n">
        <v>1</v>
      </c>
      <c r="T1036" t="n">
        <v>1</v>
      </c>
      <c r="U1036" t="inlineStr">
        <is>
          <t>2007-02-27</t>
        </is>
      </c>
      <c r="V1036" t="inlineStr">
        <is>
          <t>2007-02-27</t>
        </is>
      </c>
      <c r="W1036" t="inlineStr">
        <is>
          <t>2007-02-27</t>
        </is>
      </c>
      <c r="X1036" t="inlineStr">
        <is>
          <t>2007-02-27</t>
        </is>
      </c>
      <c r="Y1036" t="n">
        <v>95</v>
      </c>
      <c r="Z1036" t="n">
        <v>67</v>
      </c>
      <c r="AA1036" t="n">
        <v>67</v>
      </c>
      <c r="AB1036" t="n">
        <v>1</v>
      </c>
      <c r="AC1036" t="n">
        <v>1</v>
      </c>
      <c r="AD1036" t="n">
        <v>4</v>
      </c>
      <c r="AE1036" t="n">
        <v>4</v>
      </c>
      <c r="AF1036" t="n">
        <v>0</v>
      </c>
      <c r="AG1036" t="n">
        <v>0</v>
      </c>
      <c r="AH1036" t="n">
        <v>3</v>
      </c>
      <c r="AI1036" t="n">
        <v>3</v>
      </c>
      <c r="AJ1036" t="n">
        <v>3</v>
      </c>
      <c r="AK1036" t="n">
        <v>3</v>
      </c>
      <c r="AL1036" t="n">
        <v>0</v>
      </c>
      <c r="AM1036" t="n">
        <v>0</v>
      </c>
      <c r="AN1036" t="n">
        <v>0</v>
      </c>
      <c r="AO1036" t="n">
        <v>0</v>
      </c>
      <c r="AP1036" t="inlineStr">
        <is>
          <t>No</t>
        </is>
      </c>
      <c r="AQ1036" t="inlineStr">
        <is>
          <t>No</t>
        </is>
      </c>
      <c r="AS1036">
        <f>HYPERLINK("https://creighton-primo.hosted.exlibrisgroup.com/primo-explore/search?tab=default_tab&amp;search_scope=EVERYTHING&amp;vid=01CRU&amp;lang=en_US&amp;offset=0&amp;query=any,contains,991005002289702656","Catalog Record")</f>
        <v/>
      </c>
      <c r="AT1036">
        <f>HYPERLINK("http://www.worldcat.org/oclc/77058216","WorldCat Record")</f>
        <v/>
      </c>
      <c r="AU1036" t="inlineStr">
        <is>
          <t>8911412560:eng</t>
        </is>
      </c>
      <c r="AV1036" t="inlineStr">
        <is>
          <t>77058216</t>
        </is>
      </c>
      <c r="AW1036" t="inlineStr">
        <is>
          <t>991005002289702656</t>
        </is>
      </c>
      <c r="AX1036" t="inlineStr">
        <is>
          <t>991005002289702656</t>
        </is>
      </c>
      <c r="AY1036" t="inlineStr">
        <is>
          <t>2272724210002656</t>
        </is>
      </c>
      <c r="AZ1036" t="inlineStr">
        <is>
          <t>BOOK</t>
        </is>
      </c>
      <c r="BB1036" t="inlineStr">
        <is>
          <t>9781868144235</t>
        </is>
      </c>
      <c r="BC1036" t="inlineStr">
        <is>
          <t>32285005279756</t>
        </is>
      </c>
      <c r="BD1036" t="inlineStr">
        <is>
          <t>893905167</t>
        </is>
      </c>
    </row>
    <row r="1037">
      <c r="A1037" t="inlineStr">
        <is>
          <t>No</t>
        </is>
      </c>
      <c r="B1037" t="inlineStr">
        <is>
          <t>LB2333 .S453 1993</t>
        </is>
      </c>
      <c r="C1037" t="inlineStr">
        <is>
          <t>0                      LB 2333000S  453         1993</t>
        </is>
      </c>
      <c r="D1037" t="inlineStr">
        <is>
          <t>Successful use of teaching portfolios / Peter Seldin and associates.</t>
        </is>
      </c>
      <c r="F1037" t="inlineStr">
        <is>
          <t>No</t>
        </is>
      </c>
      <c r="G1037" t="inlineStr">
        <is>
          <t>1</t>
        </is>
      </c>
      <c r="H1037" t="inlineStr">
        <is>
          <t>No</t>
        </is>
      </c>
      <c r="I1037" t="inlineStr">
        <is>
          <t>No</t>
        </is>
      </c>
      <c r="J1037" t="inlineStr">
        <is>
          <t>0</t>
        </is>
      </c>
      <c r="K1037" t="inlineStr">
        <is>
          <t>Seldin, Peter.</t>
        </is>
      </c>
      <c r="L1037" t="inlineStr">
        <is>
          <t>Bolton, MA : Anker Pub. Co., c1993.</t>
        </is>
      </c>
      <c r="M1037" t="inlineStr">
        <is>
          <t>1993</t>
        </is>
      </c>
      <c r="O1037" t="inlineStr">
        <is>
          <t>eng</t>
        </is>
      </c>
      <c r="P1037" t="inlineStr">
        <is>
          <t>mau</t>
        </is>
      </c>
      <c r="R1037" t="inlineStr">
        <is>
          <t xml:space="preserve">LB </t>
        </is>
      </c>
      <c r="S1037" t="n">
        <v>12</v>
      </c>
      <c r="T1037" t="n">
        <v>12</v>
      </c>
      <c r="U1037" t="inlineStr">
        <is>
          <t>2009-01-16</t>
        </is>
      </c>
      <c r="V1037" t="inlineStr">
        <is>
          <t>2009-01-16</t>
        </is>
      </c>
      <c r="W1037" t="inlineStr">
        <is>
          <t>1993-12-28</t>
        </is>
      </c>
      <c r="X1037" t="inlineStr">
        <is>
          <t>1993-12-28</t>
        </is>
      </c>
      <c r="Y1037" t="n">
        <v>472</v>
      </c>
      <c r="Z1037" t="n">
        <v>417</v>
      </c>
      <c r="AA1037" t="n">
        <v>420</v>
      </c>
      <c r="AB1037" t="n">
        <v>4</v>
      </c>
      <c r="AC1037" t="n">
        <v>4</v>
      </c>
      <c r="AD1037" t="n">
        <v>20</v>
      </c>
      <c r="AE1037" t="n">
        <v>20</v>
      </c>
      <c r="AF1037" t="n">
        <v>10</v>
      </c>
      <c r="AG1037" t="n">
        <v>10</v>
      </c>
      <c r="AH1037" t="n">
        <v>3</v>
      </c>
      <c r="AI1037" t="n">
        <v>3</v>
      </c>
      <c r="AJ1037" t="n">
        <v>6</v>
      </c>
      <c r="AK1037" t="n">
        <v>6</v>
      </c>
      <c r="AL1037" t="n">
        <v>3</v>
      </c>
      <c r="AM1037" t="n">
        <v>3</v>
      </c>
      <c r="AN1037" t="n">
        <v>0</v>
      </c>
      <c r="AO1037" t="n">
        <v>0</v>
      </c>
      <c r="AP1037" t="inlineStr">
        <is>
          <t>No</t>
        </is>
      </c>
      <c r="AQ1037" t="inlineStr">
        <is>
          <t>Yes</t>
        </is>
      </c>
      <c r="AR1037">
        <f>HYPERLINK("http://catalog.hathitrust.org/Record/009922578","HathiTrust Record")</f>
        <v/>
      </c>
      <c r="AS1037">
        <f>HYPERLINK("https://creighton-primo.hosted.exlibrisgroup.com/primo-explore/search?tab=default_tab&amp;search_scope=EVERYTHING&amp;vid=01CRU&amp;lang=en_US&amp;offset=0&amp;query=any,contains,991002150049702656","Catalog Record")</f>
        <v/>
      </c>
      <c r="AT1037">
        <f>HYPERLINK("http://www.worldcat.org/oclc/27717312","WorldCat Record")</f>
        <v/>
      </c>
      <c r="AU1037" t="inlineStr">
        <is>
          <t>30261207:eng</t>
        </is>
      </c>
      <c r="AV1037" t="inlineStr">
        <is>
          <t>27717312</t>
        </is>
      </c>
      <c r="AW1037" t="inlineStr">
        <is>
          <t>991002150049702656</t>
        </is>
      </c>
      <c r="AX1037" t="inlineStr">
        <is>
          <t>991002150049702656</t>
        </is>
      </c>
      <c r="AY1037" t="inlineStr">
        <is>
          <t>2272276490002656</t>
        </is>
      </c>
      <c r="AZ1037" t="inlineStr">
        <is>
          <t>BOOK</t>
        </is>
      </c>
      <c r="BB1037" t="inlineStr">
        <is>
          <t>9780962704253</t>
        </is>
      </c>
      <c r="BC1037" t="inlineStr">
        <is>
          <t>32285001817914</t>
        </is>
      </c>
      <c r="BD1037" t="inlineStr">
        <is>
          <t>893866855</t>
        </is>
      </c>
    </row>
    <row r="1038">
      <c r="A1038" t="inlineStr">
        <is>
          <t>No</t>
        </is>
      </c>
      <c r="B1038" t="inlineStr">
        <is>
          <t>LB2333 .W42 1988</t>
        </is>
      </c>
      <c r="C1038" t="inlineStr">
        <is>
          <t>0                      LB 2333000W  42          1988</t>
        </is>
      </c>
      <c r="D1038" t="inlineStr">
        <is>
          <t>How am I teaching? : forms and activities for acquiring instructional input / by Maryellen Weimer, Joan L. Parrett, Mary-Margaret Kerns.</t>
        </is>
      </c>
      <c r="F1038" t="inlineStr">
        <is>
          <t>No</t>
        </is>
      </c>
      <c r="G1038" t="inlineStr">
        <is>
          <t>1</t>
        </is>
      </c>
      <c r="H1038" t="inlineStr">
        <is>
          <t>No</t>
        </is>
      </c>
      <c r="I1038" t="inlineStr">
        <is>
          <t>No</t>
        </is>
      </c>
      <c r="J1038" t="inlineStr">
        <is>
          <t>0</t>
        </is>
      </c>
      <c r="K1038" t="inlineStr">
        <is>
          <t>Weimer, Maryellen, 1947-</t>
        </is>
      </c>
      <c r="L1038" t="inlineStr">
        <is>
          <t>Madison, Wis. : Magna Publications, 1988.</t>
        </is>
      </c>
      <c r="M1038" t="inlineStr">
        <is>
          <t>1988</t>
        </is>
      </c>
      <c r="N1038" t="inlineStr">
        <is>
          <t>Rev. ed.</t>
        </is>
      </c>
      <c r="O1038" t="inlineStr">
        <is>
          <t>eng</t>
        </is>
      </c>
      <c r="P1038" t="inlineStr">
        <is>
          <t>wiu</t>
        </is>
      </c>
      <c r="R1038" t="inlineStr">
        <is>
          <t xml:space="preserve">LB </t>
        </is>
      </c>
      <c r="S1038" t="n">
        <v>3</v>
      </c>
      <c r="T1038" t="n">
        <v>3</v>
      </c>
      <c r="U1038" t="inlineStr">
        <is>
          <t>2007-09-11</t>
        </is>
      </c>
      <c r="V1038" t="inlineStr">
        <is>
          <t>2007-09-11</t>
        </is>
      </c>
      <c r="W1038" t="inlineStr">
        <is>
          <t>2003-11-25</t>
        </is>
      </c>
      <c r="X1038" t="inlineStr">
        <is>
          <t>2003-11-25</t>
        </is>
      </c>
      <c r="Y1038" t="n">
        <v>310</v>
      </c>
      <c r="Z1038" t="n">
        <v>268</v>
      </c>
      <c r="AA1038" t="n">
        <v>503</v>
      </c>
      <c r="AB1038" t="n">
        <v>3</v>
      </c>
      <c r="AC1038" t="n">
        <v>4</v>
      </c>
      <c r="AD1038" t="n">
        <v>11</v>
      </c>
      <c r="AE1038" t="n">
        <v>20</v>
      </c>
      <c r="AF1038" t="n">
        <v>6</v>
      </c>
      <c r="AG1038" t="n">
        <v>12</v>
      </c>
      <c r="AH1038" t="n">
        <v>2</v>
      </c>
      <c r="AI1038" t="n">
        <v>5</v>
      </c>
      <c r="AJ1038" t="n">
        <v>2</v>
      </c>
      <c r="AK1038" t="n">
        <v>7</v>
      </c>
      <c r="AL1038" t="n">
        <v>2</v>
      </c>
      <c r="AM1038" t="n">
        <v>3</v>
      </c>
      <c r="AN1038" t="n">
        <v>0</v>
      </c>
      <c r="AO1038" t="n">
        <v>0</v>
      </c>
      <c r="AP1038" t="inlineStr">
        <is>
          <t>No</t>
        </is>
      </c>
      <c r="AQ1038" t="inlineStr">
        <is>
          <t>No</t>
        </is>
      </c>
      <c r="AS1038">
        <f>HYPERLINK("https://creighton-primo.hosted.exlibrisgroup.com/primo-explore/search?tab=default_tab&amp;search_scope=EVERYTHING&amp;vid=01CRU&amp;lang=en_US&amp;offset=0&amp;query=any,contains,991004191789702656","Catalog Record")</f>
        <v/>
      </c>
      <c r="AT1038">
        <f>HYPERLINK("http://www.worldcat.org/oclc/18750886","WorldCat Record")</f>
        <v/>
      </c>
      <c r="AU1038" t="inlineStr">
        <is>
          <t>6276410:eng</t>
        </is>
      </c>
      <c r="AV1038" t="inlineStr">
        <is>
          <t>18750886</t>
        </is>
      </c>
      <c r="AW1038" t="inlineStr">
        <is>
          <t>991004191789702656</t>
        </is>
      </c>
      <c r="AX1038" t="inlineStr">
        <is>
          <t>991004191789702656</t>
        </is>
      </c>
      <c r="AY1038" t="inlineStr">
        <is>
          <t>2255317340002656</t>
        </is>
      </c>
      <c r="AZ1038" t="inlineStr">
        <is>
          <t>BOOK</t>
        </is>
      </c>
      <c r="BB1038" t="inlineStr">
        <is>
          <t>9780912150062</t>
        </is>
      </c>
      <c r="BC1038" t="inlineStr">
        <is>
          <t>32285004842265</t>
        </is>
      </c>
      <c r="BD1038" t="inlineStr">
        <is>
          <t>893411235</t>
        </is>
      </c>
    </row>
    <row r="1039">
      <c r="A1039" t="inlineStr">
        <is>
          <t>No</t>
        </is>
      </c>
      <c r="B1039" t="inlineStr">
        <is>
          <t>LB2333 .W424 2000</t>
        </is>
      </c>
      <c r="C1039" t="inlineStr">
        <is>
          <t>0                      LB 2333000W  424         2000</t>
        </is>
      </c>
      <c r="D1039" t="inlineStr">
        <is>
          <t>Departmental assessment : how some campuses are effectively evaluating the collective work of faculty / by Jon F. Wergin and Judi N. Swingen.</t>
        </is>
      </c>
      <c r="F1039" t="inlineStr">
        <is>
          <t>No</t>
        </is>
      </c>
      <c r="G1039" t="inlineStr">
        <is>
          <t>1</t>
        </is>
      </c>
      <c r="H1039" t="inlineStr">
        <is>
          <t>No</t>
        </is>
      </c>
      <c r="I1039" t="inlineStr">
        <is>
          <t>No</t>
        </is>
      </c>
      <c r="J1039" t="inlineStr">
        <is>
          <t>0</t>
        </is>
      </c>
      <c r="K1039" t="inlineStr">
        <is>
          <t>Wergin, Jon F.</t>
        </is>
      </c>
      <c r="L1039" t="inlineStr">
        <is>
          <t>Washington, DC : American Association for Higher Education, c2000.</t>
        </is>
      </c>
      <c r="M1039" t="inlineStr">
        <is>
          <t>2000</t>
        </is>
      </c>
      <c r="O1039" t="inlineStr">
        <is>
          <t>eng</t>
        </is>
      </c>
      <c r="P1039" t="inlineStr">
        <is>
          <t>dcu</t>
        </is>
      </c>
      <c r="R1039" t="inlineStr">
        <is>
          <t xml:space="preserve">LB </t>
        </is>
      </c>
      <c r="S1039" t="n">
        <v>1</v>
      </c>
      <c r="T1039" t="n">
        <v>1</v>
      </c>
      <c r="U1039" t="inlineStr">
        <is>
          <t>2003-12-01</t>
        </is>
      </c>
      <c r="V1039" t="inlineStr">
        <is>
          <t>2003-12-01</t>
        </is>
      </c>
      <c r="W1039" t="inlineStr">
        <is>
          <t>2003-12-01</t>
        </is>
      </c>
      <c r="X1039" t="inlineStr">
        <is>
          <t>2003-12-01</t>
        </is>
      </c>
      <c r="Y1039" t="n">
        <v>149</v>
      </c>
      <c r="Z1039" t="n">
        <v>134</v>
      </c>
      <c r="AA1039" t="n">
        <v>138</v>
      </c>
      <c r="AB1039" t="n">
        <v>2</v>
      </c>
      <c r="AC1039" t="n">
        <v>2</v>
      </c>
      <c r="AD1039" t="n">
        <v>6</v>
      </c>
      <c r="AE1039" t="n">
        <v>6</v>
      </c>
      <c r="AF1039" t="n">
        <v>3</v>
      </c>
      <c r="AG1039" t="n">
        <v>3</v>
      </c>
      <c r="AH1039" t="n">
        <v>1</v>
      </c>
      <c r="AI1039" t="n">
        <v>1</v>
      </c>
      <c r="AJ1039" t="n">
        <v>3</v>
      </c>
      <c r="AK1039" t="n">
        <v>3</v>
      </c>
      <c r="AL1039" t="n">
        <v>1</v>
      </c>
      <c r="AM1039" t="n">
        <v>1</v>
      </c>
      <c r="AN1039" t="n">
        <v>0</v>
      </c>
      <c r="AO1039" t="n">
        <v>0</v>
      </c>
      <c r="AP1039" t="inlineStr">
        <is>
          <t>No</t>
        </is>
      </c>
      <c r="AQ1039" t="inlineStr">
        <is>
          <t>Yes</t>
        </is>
      </c>
      <c r="AR1039">
        <f>HYPERLINK("http://catalog.hathitrust.org/Record/007040444","HathiTrust Record")</f>
        <v/>
      </c>
      <c r="AS1039">
        <f>HYPERLINK("https://creighton-primo.hosted.exlibrisgroup.com/primo-explore/search?tab=default_tab&amp;search_scope=EVERYTHING&amp;vid=01CRU&amp;lang=en_US&amp;offset=0&amp;query=any,contains,991004194299702656","Catalog Record")</f>
        <v/>
      </c>
      <c r="AT1039">
        <f>HYPERLINK("http://www.worldcat.org/oclc/45870744","WorldCat Record")</f>
        <v/>
      </c>
      <c r="AU1039" t="inlineStr">
        <is>
          <t>2219785946:eng</t>
        </is>
      </c>
      <c r="AV1039" t="inlineStr">
        <is>
          <t>45870744</t>
        </is>
      </c>
      <c r="AW1039" t="inlineStr">
        <is>
          <t>991004194299702656</t>
        </is>
      </c>
      <c r="AX1039" t="inlineStr">
        <is>
          <t>991004194299702656</t>
        </is>
      </c>
      <c r="AY1039" t="inlineStr">
        <is>
          <t>2258385960002656</t>
        </is>
      </c>
      <c r="AZ1039" t="inlineStr">
        <is>
          <t>BOOK</t>
        </is>
      </c>
      <c r="BB1039" t="inlineStr">
        <is>
          <t>9781563770494</t>
        </is>
      </c>
      <c r="BC1039" t="inlineStr">
        <is>
          <t>32285004842414</t>
        </is>
      </c>
      <c r="BD1039" t="inlineStr">
        <is>
          <t>893337425</t>
        </is>
      </c>
    </row>
    <row r="1040">
      <c r="A1040" t="inlineStr">
        <is>
          <t>No</t>
        </is>
      </c>
      <c r="B1040" t="inlineStr">
        <is>
          <t>LB2333.3 .A88 1999</t>
        </is>
      </c>
      <c r="C1040" t="inlineStr">
        <is>
          <t>0                      LB 2333300A  88          1999</t>
        </is>
      </c>
      <c r="D1040" t="inlineStr">
        <is>
          <t>Meaning and spirituality in the lives of college faculty : a study of values, authenticity, and stress / by Alexander W. Astin and Helen S. Astin with the assistance of Anthony L. Antonio, John Astin, and Christine M. Cress.</t>
        </is>
      </c>
      <c r="F1040" t="inlineStr">
        <is>
          <t>No</t>
        </is>
      </c>
      <c r="G1040" t="inlineStr">
        <is>
          <t>1</t>
        </is>
      </c>
      <c r="H1040" t="inlineStr">
        <is>
          <t>No</t>
        </is>
      </c>
      <c r="I1040" t="inlineStr">
        <is>
          <t>No</t>
        </is>
      </c>
      <c r="J1040" t="inlineStr">
        <is>
          <t>0</t>
        </is>
      </c>
      <c r="K1040" t="inlineStr">
        <is>
          <t>Astin, Alexander W.</t>
        </is>
      </c>
      <c r="L1040" t="inlineStr">
        <is>
          <t>Los Angeles, Calif, : Higher Education Research Institute, University of California, Los Angeles, 1999.</t>
        </is>
      </c>
      <c r="M1040" t="inlineStr">
        <is>
          <t>1999</t>
        </is>
      </c>
      <c r="O1040" t="inlineStr">
        <is>
          <t>eng</t>
        </is>
      </c>
      <c r="P1040" t="inlineStr">
        <is>
          <t>cau</t>
        </is>
      </c>
      <c r="R1040" t="inlineStr">
        <is>
          <t xml:space="preserve">LB </t>
        </is>
      </c>
      <c r="S1040" t="n">
        <v>1</v>
      </c>
      <c r="T1040" t="n">
        <v>1</v>
      </c>
      <c r="U1040" t="inlineStr">
        <is>
          <t>2006-03-14</t>
        </is>
      </c>
      <c r="V1040" t="inlineStr">
        <is>
          <t>2006-03-14</t>
        </is>
      </c>
      <c r="W1040" t="inlineStr">
        <is>
          <t>2006-03-14</t>
        </is>
      </c>
      <c r="X1040" t="inlineStr">
        <is>
          <t>2006-03-14</t>
        </is>
      </c>
      <c r="Y1040" t="n">
        <v>62</v>
      </c>
      <c r="Z1040" t="n">
        <v>61</v>
      </c>
      <c r="AA1040" t="n">
        <v>63</v>
      </c>
      <c r="AB1040" t="n">
        <v>2</v>
      </c>
      <c r="AC1040" t="n">
        <v>2</v>
      </c>
      <c r="AD1040" t="n">
        <v>3</v>
      </c>
      <c r="AE1040" t="n">
        <v>3</v>
      </c>
      <c r="AF1040" t="n">
        <v>2</v>
      </c>
      <c r="AG1040" t="n">
        <v>2</v>
      </c>
      <c r="AH1040" t="n">
        <v>0</v>
      </c>
      <c r="AI1040" t="n">
        <v>0</v>
      </c>
      <c r="AJ1040" t="n">
        <v>1</v>
      </c>
      <c r="AK1040" t="n">
        <v>1</v>
      </c>
      <c r="AL1040" t="n">
        <v>1</v>
      </c>
      <c r="AM1040" t="n">
        <v>1</v>
      </c>
      <c r="AN1040" t="n">
        <v>0</v>
      </c>
      <c r="AO1040" t="n">
        <v>0</v>
      </c>
      <c r="AP1040" t="inlineStr">
        <is>
          <t>No</t>
        </is>
      </c>
      <c r="AQ1040" t="inlineStr">
        <is>
          <t>No</t>
        </is>
      </c>
      <c r="AS1040">
        <f>HYPERLINK("https://creighton-primo.hosted.exlibrisgroup.com/primo-explore/search?tab=default_tab&amp;search_scope=EVERYTHING&amp;vid=01CRU&amp;lang=en_US&amp;offset=0&amp;query=any,contains,991004744699702656","Catalog Record")</f>
        <v/>
      </c>
      <c r="AT1040">
        <f>HYPERLINK("http://www.worldcat.org/oclc/43539290","WorldCat Record")</f>
        <v/>
      </c>
      <c r="AU1040" t="inlineStr">
        <is>
          <t>4007658417:eng</t>
        </is>
      </c>
      <c r="AV1040" t="inlineStr">
        <is>
          <t>43539290</t>
        </is>
      </c>
      <c r="AW1040" t="inlineStr">
        <is>
          <t>991004744699702656</t>
        </is>
      </c>
      <c r="AX1040" t="inlineStr">
        <is>
          <t>991004744699702656</t>
        </is>
      </c>
      <c r="AY1040" t="inlineStr">
        <is>
          <t>2268297960002656</t>
        </is>
      </c>
      <c r="AZ1040" t="inlineStr">
        <is>
          <t>BOOK</t>
        </is>
      </c>
      <c r="BC1040" t="inlineStr">
        <is>
          <t>32285005165229</t>
        </is>
      </c>
      <c r="BD1040" t="inlineStr">
        <is>
          <t>893628349</t>
        </is>
      </c>
    </row>
    <row r="1041">
      <c r="A1041" t="inlineStr">
        <is>
          <t>No</t>
        </is>
      </c>
      <c r="B1041" t="inlineStr">
        <is>
          <t>LB2334 .S55</t>
        </is>
      </c>
      <c r="C1041" t="inlineStr">
        <is>
          <t>0                      LB 2334000S  55</t>
        </is>
      </c>
      <c r="D1041" t="inlineStr">
        <is>
          <t>The tenure debate / Bardwell L. Smith and associates.</t>
        </is>
      </c>
      <c r="F1041" t="inlineStr">
        <is>
          <t>No</t>
        </is>
      </c>
      <c r="G1041" t="inlineStr">
        <is>
          <t>1</t>
        </is>
      </c>
      <c r="H1041" t="inlineStr">
        <is>
          <t>No</t>
        </is>
      </c>
      <c r="I1041" t="inlineStr">
        <is>
          <t>No</t>
        </is>
      </c>
      <c r="J1041" t="inlineStr">
        <is>
          <t>0</t>
        </is>
      </c>
      <c r="K1041" t="inlineStr">
        <is>
          <t>Smith, Bardwell L., 1925-</t>
        </is>
      </c>
      <c r="L1041" t="inlineStr">
        <is>
          <t>San Francisco : Jossey-Bass, 1973.</t>
        </is>
      </c>
      <c r="M1041" t="inlineStr">
        <is>
          <t>1973</t>
        </is>
      </c>
      <c r="N1041" t="inlineStr">
        <is>
          <t>[1st ed.]</t>
        </is>
      </c>
      <c r="O1041" t="inlineStr">
        <is>
          <t>eng</t>
        </is>
      </c>
      <c r="P1041" t="inlineStr">
        <is>
          <t>cau</t>
        </is>
      </c>
      <c r="Q1041" t="inlineStr">
        <is>
          <t>The Jossey-Bass series in higher education</t>
        </is>
      </c>
      <c r="R1041" t="inlineStr">
        <is>
          <t xml:space="preserve">LB </t>
        </is>
      </c>
      <c r="S1041" t="n">
        <v>7</v>
      </c>
      <c r="T1041" t="n">
        <v>7</v>
      </c>
      <c r="U1041" t="inlineStr">
        <is>
          <t>2009-02-03</t>
        </is>
      </c>
      <c r="V1041" t="inlineStr">
        <is>
          <t>2009-02-03</t>
        </is>
      </c>
      <c r="W1041" t="inlineStr">
        <is>
          <t>1991-12-09</t>
        </is>
      </c>
      <c r="X1041" t="inlineStr">
        <is>
          <t>1991-12-09</t>
        </is>
      </c>
      <c r="Y1041" t="n">
        <v>869</v>
      </c>
      <c r="Z1041" t="n">
        <v>814</v>
      </c>
      <c r="AA1041" t="n">
        <v>825</v>
      </c>
      <c r="AB1041" t="n">
        <v>6</v>
      </c>
      <c r="AC1041" t="n">
        <v>6</v>
      </c>
      <c r="AD1041" t="n">
        <v>39</v>
      </c>
      <c r="AE1041" t="n">
        <v>39</v>
      </c>
      <c r="AF1041" t="n">
        <v>14</v>
      </c>
      <c r="AG1041" t="n">
        <v>14</v>
      </c>
      <c r="AH1041" t="n">
        <v>8</v>
      </c>
      <c r="AI1041" t="n">
        <v>8</v>
      </c>
      <c r="AJ1041" t="n">
        <v>17</v>
      </c>
      <c r="AK1041" t="n">
        <v>17</v>
      </c>
      <c r="AL1041" t="n">
        <v>4</v>
      </c>
      <c r="AM1041" t="n">
        <v>4</v>
      </c>
      <c r="AN1041" t="n">
        <v>5</v>
      </c>
      <c r="AO1041" t="n">
        <v>5</v>
      </c>
      <c r="AP1041" t="inlineStr">
        <is>
          <t>No</t>
        </is>
      </c>
      <c r="AQ1041" t="inlineStr">
        <is>
          <t>Yes</t>
        </is>
      </c>
      <c r="AR1041">
        <f>HYPERLINK("http://catalog.hathitrust.org/Record/001117637","HathiTrust Record")</f>
        <v/>
      </c>
      <c r="AS1041">
        <f>HYPERLINK("https://creighton-primo.hosted.exlibrisgroup.com/primo-explore/search?tab=default_tab&amp;search_scope=EVERYTHING&amp;vid=01CRU&amp;lang=en_US&amp;offset=0&amp;query=any,contains,991002980989702656","Catalog Record")</f>
        <v/>
      </c>
      <c r="AT1041">
        <f>HYPERLINK("http://www.worldcat.org/oclc/554934","WorldCat Record")</f>
        <v/>
      </c>
      <c r="AU1041" t="inlineStr">
        <is>
          <t>26442268:eng</t>
        </is>
      </c>
      <c r="AV1041" t="inlineStr">
        <is>
          <t>554934</t>
        </is>
      </c>
      <c r="AW1041" t="inlineStr">
        <is>
          <t>991002980989702656</t>
        </is>
      </c>
      <c r="AX1041" t="inlineStr">
        <is>
          <t>991002980989702656</t>
        </is>
      </c>
      <c r="AY1041" t="inlineStr">
        <is>
          <t>2256416090002656</t>
        </is>
      </c>
      <c r="AZ1041" t="inlineStr">
        <is>
          <t>BOOK</t>
        </is>
      </c>
      <c r="BB1041" t="inlineStr">
        <is>
          <t>9780875891484</t>
        </is>
      </c>
      <c r="BC1041" t="inlineStr">
        <is>
          <t>32285000829498</t>
        </is>
      </c>
      <c r="BD1041" t="inlineStr">
        <is>
          <t>893592039</t>
        </is>
      </c>
    </row>
    <row r="1042">
      <c r="A1042" t="inlineStr">
        <is>
          <t>No</t>
        </is>
      </c>
      <c r="B1042" t="inlineStr">
        <is>
          <t>LB2335.3 .B66 1989</t>
        </is>
      </c>
      <c r="C1042" t="inlineStr">
        <is>
          <t>0                      LB 2335300B  66          1989</t>
        </is>
      </c>
      <c r="D1042" t="inlineStr">
        <is>
          <t>Prospects for faculty in the arts and sciences : a study of factors affecting demand and supply, 1987 to 2012 / William G. Bowen and Julie Ann Sosa.</t>
        </is>
      </c>
      <c r="F1042" t="inlineStr">
        <is>
          <t>No</t>
        </is>
      </c>
      <c r="G1042" t="inlineStr">
        <is>
          <t>1</t>
        </is>
      </c>
      <c r="H1042" t="inlineStr">
        <is>
          <t>No</t>
        </is>
      </c>
      <c r="I1042" t="inlineStr">
        <is>
          <t>No</t>
        </is>
      </c>
      <c r="J1042" t="inlineStr">
        <is>
          <t>0</t>
        </is>
      </c>
      <c r="K1042" t="inlineStr">
        <is>
          <t>Bowen, William G.</t>
        </is>
      </c>
      <c r="L1042" t="inlineStr">
        <is>
          <t>Princeton, N.J. : Princeton University Press, 1989.</t>
        </is>
      </c>
      <c r="M1042" t="inlineStr">
        <is>
          <t>1989</t>
        </is>
      </c>
      <c r="O1042" t="inlineStr">
        <is>
          <t>eng</t>
        </is>
      </c>
      <c r="P1042" t="inlineStr">
        <is>
          <t>nju</t>
        </is>
      </c>
      <c r="R1042" t="inlineStr">
        <is>
          <t xml:space="preserve">LB </t>
        </is>
      </c>
      <c r="S1042" t="n">
        <v>1</v>
      </c>
      <c r="T1042" t="n">
        <v>1</v>
      </c>
      <c r="U1042" t="inlineStr">
        <is>
          <t>1992-12-08</t>
        </is>
      </c>
      <c r="V1042" t="inlineStr">
        <is>
          <t>1992-12-08</t>
        </is>
      </c>
      <c r="W1042" t="inlineStr">
        <is>
          <t>1989-11-07</t>
        </is>
      </c>
      <c r="X1042" t="inlineStr">
        <is>
          <t>1989-11-07</t>
        </is>
      </c>
      <c r="Y1042" t="n">
        <v>491</v>
      </c>
      <c r="Z1042" t="n">
        <v>427</v>
      </c>
      <c r="AA1042" t="n">
        <v>649</v>
      </c>
      <c r="AB1042" t="n">
        <v>4</v>
      </c>
      <c r="AC1042" t="n">
        <v>6</v>
      </c>
      <c r="AD1042" t="n">
        <v>18</v>
      </c>
      <c r="AE1042" t="n">
        <v>30</v>
      </c>
      <c r="AF1042" t="n">
        <v>3</v>
      </c>
      <c r="AG1042" t="n">
        <v>11</v>
      </c>
      <c r="AH1042" t="n">
        <v>6</v>
      </c>
      <c r="AI1042" t="n">
        <v>10</v>
      </c>
      <c r="AJ1042" t="n">
        <v>11</v>
      </c>
      <c r="AK1042" t="n">
        <v>14</v>
      </c>
      <c r="AL1042" t="n">
        <v>3</v>
      </c>
      <c r="AM1042" t="n">
        <v>4</v>
      </c>
      <c r="AN1042" t="n">
        <v>0</v>
      </c>
      <c r="AO1042" t="n">
        <v>0</v>
      </c>
      <c r="AP1042" t="inlineStr">
        <is>
          <t>No</t>
        </is>
      </c>
      <c r="AQ1042" t="inlineStr">
        <is>
          <t>No</t>
        </is>
      </c>
      <c r="AS1042">
        <f>HYPERLINK("https://creighton-primo.hosted.exlibrisgroup.com/primo-explore/search?tab=default_tab&amp;search_scope=EVERYTHING&amp;vid=01CRU&amp;lang=en_US&amp;offset=0&amp;query=any,contains,991001514859702656","Catalog Record")</f>
        <v/>
      </c>
      <c r="AT1042">
        <f>HYPERLINK("http://www.worldcat.org/oclc/19921480","WorldCat Record")</f>
        <v/>
      </c>
      <c r="AU1042" t="inlineStr">
        <is>
          <t>21460448:eng</t>
        </is>
      </c>
      <c r="AV1042" t="inlineStr">
        <is>
          <t>19921480</t>
        </is>
      </c>
      <c r="AW1042" t="inlineStr">
        <is>
          <t>991001514859702656</t>
        </is>
      </c>
      <c r="AX1042" t="inlineStr">
        <is>
          <t>991001514859702656</t>
        </is>
      </c>
      <c r="AY1042" t="inlineStr">
        <is>
          <t>2269418560002656</t>
        </is>
      </c>
      <c r="AZ1042" t="inlineStr">
        <is>
          <t>BOOK</t>
        </is>
      </c>
      <c r="BB1042" t="inlineStr">
        <is>
          <t>9780691042596</t>
        </is>
      </c>
      <c r="BC1042" t="inlineStr">
        <is>
          <t>32285000012194</t>
        </is>
      </c>
      <c r="BD1042" t="inlineStr">
        <is>
          <t>893872573</t>
        </is>
      </c>
    </row>
    <row r="1043">
      <c r="A1043" t="inlineStr">
        <is>
          <t>No</t>
        </is>
      </c>
      <c r="B1043" t="inlineStr">
        <is>
          <t>LB2335.35 .C67 1987</t>
        </is>
      </c>
      <c r="C1043" t="inlineStr">
        <is>
          <t>0                      LB 2335350C  67          1987</t>
        </is>
      </c>
      <c r="D1043" t="inlineStr">
        <is>
          <t>Coping with faculty stress / Peter Seldin, editor.</t>
        </is>
      </c>
      <c r="F1043" t="inlineStr">
        <is>
          <t>No</t>
        </is>
      </c>
      <c r="G1043" t="inlineStr">
        <is>
          <t>1</t>
        </is>
      </c>
      <c r="H1043" t="inlineStr">
        <is>
          <t>No</t>
        </is>
      </c>
      <c r="I1043" t="inlineStr">
        <is>
          <t>No</t>
        </is>
      </c>
      <c r="J1043" t="inlineStr">
        <is>
          <t>0</t>
        </is>
      </c>
      <c r="L1043" t="inlineStr">
        <is>
          <t>San Francisco : Jossey-Bass, Inc., 1987.</t>
        </is>
      </c>
      <c r="M1043" t="inlineStr">
        <is>
          <t>1987</t>
        </is>
      </c>
      <c r="O1043" t="inlineStr">
        <is>
          <t>eng</t>
        </is>
      </c>
      <c r="P1043" t="inlineStr">
        <is>
          <t>cau</t>
        </is>
      </c>
      <c r="Q1043" t="inlineStr">
        <is>
          <t>New directions for teaching and learning, 0271-0633 ; no. 29</t>
        </is>
      </c>
      <c r="R1043" t="inlineStr">
        <is>
          <t xml:space="preserve">LB </t>
        </is>
      </c>
      <c r="S1043" t="n">
        <v>6</v>
      </c>
      <c r="T1043" t="n">
        <v>6</v>
      </c>
      <c r="U1043" t="inlineStr">
        <is>
          <t>2001-11-13</t>
        </is>
      </c>
      <c r="V1043" t="inlineStr">
        <is>
          <t>2001-11-13</t>
        </is>
      </c>
      <c r="W1043" t="inlineStr">
        <is>
          <t>1992-10-10</t>
        </is>
      </c>
      <c r="X1043" t="inlineStr">
        <is>
          <t>1992-10-10</t>
        </is>
      </c>
      <c r="Y1043" t="n">
        <v>395</v>
      </c>
      <c r="Z1043" t="n">
        <v>348</v>
      </c>
      <c r="AA1043" t="n">
        <v>353</v>
      </c>
      <c r="AB1043" t="n">
        <v>3</v>
      </c>
      <c r="AC1043" t="n">
        <v>3</v>
      </c>
      <c r="AD1043" t="n">
        <v>19</v>
      </c>
      <c r="AE1043" t="n">
        <v>19</v>
      </c>
      <c r="AF1043" t="n">
        <v>7</v>
      </c>
      <c r="AG1043" t="n">
        <v>7</v>
      </c>
      <c r="AH1043" t="n">
        <v>3</v>
      </c>
      <c r="AI1043" t="n">
        <v>3</v>
      </c>
      <c r="AJ1043" t="n">
        <v>11</v>
      </c>
      <c r="AK1043" t="n">
        <v>11</v>
      </c>
      <c r="AL1043" t="n">
        <v>2</v>
      </c>
      <c r="AM1043" t="n">
        <v>2</v>
      </c>
      <c r="AN1043" t="n">
        <v>0</v>
      </c>
      <c r="AO1043" t="n">
        <v>0</v>
      </c>
      <c r="AP1043" t="inlineStr">
        <is>
          <t>No</t>
        </is>
      </c>
      <c r="AQ1043" t="inlineStr">
        <is>
          <t>Yes</t>
        </is>
      </c>
      <c r="AR1043">
        <f>HYPERLINK("http://catalog.hathitrust.org/Record/000875859","HathiTrust Record")</f>
        <v/>
      </c>
      <c r="AS1043">
        <f>HYPERLINK("https://creighton-primo.hosted.exlibrisgroup.com/primo-explore/search?tab=default_tab&amp;search_scope=EVERYTHING&amp;vid=01CRU&amp;lang=en_US&amp;offset=0&amp;query=any,contains,991001005789702656","Catalog Record")</f>
        <v/>
      </c>
      <c r="AT1043">
        <f>HYPERLINK("http://www.worldcat.org/oclc/15238107","WorldCat Record")</f>
        <v/>
      </c>
      <c r="AU1043" t="inlineStr">
        <is>
          <t>54912521:eng</t>
        </is>
      </c>
      <c r="AV1043" t="inlineStr">
        <is>
          <t>15238107</t>
        </is>
      </c>
      <c r="AW1043" t="inlineStr">
        <is>
          <t>991001005789702656</t>
        </is>
      </c>
      <c r="AX1043" t="inlineStr">
        <is>
          <t>991001005789702656</t>
        </is>
      </c>
      <c r="AY1043" t="inlineStr">
        <is>
          <t>2264955830002656</t>
        </is>
      </c>
      <c r="AZ1043" t="inlineStr">
        <is>
          <t>BOOK</t>
        </is>
      </c>
      <c r="BB1043" t="inlineStr">
        <is>
          <t>9781555429751</t>
        </is>
      </c>
      <c r="BC1043" t="inlineStr">
        <is>
          <t>32285001346476</t>
        </is>
      </c>
      <c r="BD1043" t="inlineStr">
        <is>
          <t>893333970</t>
        </is>
      </c>
    </row>
    <row r="1044">
      <c r="A1044" t="inlineStr">
        <is>
          <t>No</t>
        </is>
      </c>
      <c r="B1044" t="inlineStr">
        <is>
          <t>LB2335.7 .A48 2000</t>
        </is>
      </c>
      <c r="C1044" t="inlineStr">
        <is>
          <t>0                      LB 2335700A  48          2000</t>
        </is>
      </c>
      <c r="D1044" t="inlineStr">
        <is>
          <t>Posttenure faculty development : building a system for faculty improvement and appreciation / Jeffrey W. Alstete ; prepared and published by Jossey-Bass in cooperation with ERIC Clearinghouse on Higher Education, Association for the Study of Higher Education (ASHE), The George Washington University.</t>
        </is>
      </c>
      <c r="F1044" t="inlineStr">
        <is>
          <t>No</t>
        </is>
      </c>
      <c r="G1044" t="inlineStr">
        <is>
          <t>1</t>
        </is>
      </c>
      <c r="H1044" t="inlineStr">
        <is>
          <t>No</t>
        </is>
      </c>
      <c r="I1044" t="inlineStr">
        <is>
          <t>No</t>
        </is>
      </c>
      <c r="J1044" t="inlineStr">
        <is>
          <t>0</t>
        </is>
      </c>
      <c r="K1044" t="inlineStr">
        <is>
          <t>Alstete, Jeffrey W.</t>
        </is>
      </c>
      <c r="L1044" t="inlineStr">
        <is>
          <t>San Fransisco, [Calif.] : Jossey-Bass c2000.</t>
        </is>
      </c>
      <c r="M1044" t="inlineStr">
        <is>
          <t>2000</t>
        </is>
      </c>
      <c r="O1044" t="inlineStr">
        <is>
          <t>eng</t>
        </is>
      </c>
      <c r="P1044" t="inlineStr">
        <is>
          <t>cau</t>
        </is>
      </c>
      <c r="Q1044" t="inlineStr">
        <is>
          <t>ASHE-ERIC higher education report, 0884-0040 ; v. 27, no. 4</t>
        </is>
      </c>
      <c r="R1044" t="inlineStr">
        <is>
          <t xml:space="preserve">LB </t>
        </is>
      </c>
      <c r="S1044" t="n">
        <v>2</v>
      </c>
      <c r="T1044" t="n">
        <v>2</v>
      </c>
      <c r="U1044" t="inlineStr">
        <is>
          <t>2009-02-03</t>
        </is>
      </c>
      <c r="V1044" t="inlineStr">
        <is>
          <t>2009-02-03</t>
        </is>
      </c>
      <c r="W1044" t="inlineStr">
        <is>
          <t>2003-11-25</t>
        </is>
      </c>
      <c r="X1044" t="inlineStr">
        <is>
          <t>2003-11-25</t>
        </is>
      </c>
      <c r="Y1044" t="n">
        <v>358</v>
      </c>
      <c r="Z1044" t="n">
        <v>339</v>
      </c>
      <c r="AA1044" t="n">
        <v>342</v>
      </c>
      <c r="AB1044" t="n">
        <v>4</v>
      </c>
      <c r="AC1044" t="n">
        <v>4</v>
      </c>
      <c r="AD1044" t="n">
        <v>23</v>
      </c>
      <c r="AE1044" t="n">
        <v>23</v>
      </c>
      <c r="AF1044" t="n">
        <v>11</v>
      </c>
      <c r="AG1044" t="n">
        <v>11</v>
      </c>
      <c r="AH1044" t="n">
        <v>6</v>
      </c>
      <c r="AI1044" t="n">
        <v>6</v>
      </c>
      <c r="AJ1044" t="n">
        <v>9</v>
      </c>
      <c r="AK1044" t="n">
        <v>9</v>
      </c>
      <c r="AL1044" t="n">
        <v>3</v>
      </c>
      <c r="AM1044" t="n">
        <v>3</v>
      </c>
      <c r="AN1044" t="n">
        <v>0</v>
      </c>
      <c r="AO1044" t="n">
        <v>0</v>
      </c>
      <c r="AP1044" t="inlineStr">
        <is>
          <t>No</t>
        </is>
      </c>
      <c r="AQ1044" t="inlineStr">
        <is>
          <t>No</t>
        </is>
      </c>
      <c r="AS1044">
        <f>HYPERLINK("https://creighton-primo.hosted.exlibrisgroup.com/primo-explore/search?tab=default_tab&amp;search_scope=EVERYTHING&amp;vid=01CRU&amp;lang=en_US&amp;offset=0&amp;query=any,contains,991004192589702656","Catalog Record")</f>
        <v/>
      </c>
      <c r="AT1044">
        <f>HYPERLINK("http://www.worldcat.org/oclc/44577699","WorldCat Record")</f>
        <v/>
      </c>
      <c r="AU1044" t="inlineStr">
        <is>
          <t>917407567:eng</t>
        </is>
      </c>
      <c r="AV1044" t="inlineStr">
        <is>
          <t>44577699</t>
        </is>
      </c>
      <c r="AW1044" t="inlineStr">
        <is>
          <t>991004192589702656</t>
        </is>
      </c>
      <c r="AX1044" t="inlineStr">
        <is>
          <t>991004192589702656</t>
        </is>
      </c>
      <c r="AY1044" t="inlineStr">
        <is>
          <t>2269551850002656</t>
        </is>
      </c>
      <c r="AZ1044" t="inlineStr">
        <is>
          <t>BOOK</t>
        </is>
      </c>
      <c r="BB1044" t="inlineStr">
        <is>
          <t>9780787955724</t>
        </is>
      </c>
      <c r="BC1044" t="inlineStr">
        <is>
          <t>32285004842646</t>
        </is>
      </c>
      <c r="BD1044" t="inlineStr">
        <is>
          <t>893259437</t>
        </is>
      </c>
    </row>
    <row r="1045">
      <c r="A1045" t="inlineStr">
        <is>
          <t>No</t>
        </is>
      </c>
      <c r="B1045" t="inlineStr">
        <is>
          <t>LB2335.7 .B34 1995</t>
        </is>
      </c>
      <c r="C1045" t="inlineStr">
        <is>
          <t>0                      LB 2335700B  34          1995</t>
        </is>
      </c>
      <c r="D1045" t="inlineStr">
        <is>
          <t>Tenure, promotion, and reappointment : legal and administrative implications / by Benjamin Baez and John A. Centra ; prepared by ERIC Clearinghouse on Higher Education, the George Washington University in cooperation with ASHE, Association for the Study of Higher Education.</t>
        </is>
      </c>
      <c r="F1045" t="inlineStr">
        <is>
          <t>No</t>
        </is>
      </c>
      <c r="G1045" t="inlineStr">
        <is>
          <t>1</t>
        </is>
      </c>
      <c r="H1045" t="inlineStr">
        <is>
          <t>No</t>
        </is>
      </c>
      <c r="I1045" t="inlineStr">
        <is>
          <t>No</t>
        </is>
      </c>
      <c r="J1045" t="inlineStr">
        <is>
          <t>0</t>
        </is>
      </c>
      <c r="K1045" t="inlineStr">
        <is>
          <t>Baez, Benjamin.</t>
        </is>
      </c>
      <c r="L1045" t="inlineStr">
        <is>
          <t>Washington : Graduate School of Education and Development, the George Washington University, [1995]</t>
        </is>
      </c>
      <c r="M1045" t="inlineStr">
        <is>
          <t>1995</t>
        </is>
      </c>
      <c r="O1045" t="inlineStr">
        <is>
          <t>eng</t>
        </is>
      </c>
      <c r="P1045" t="inlineStr">
        <is>
          <t>dcu</t>
        </is>
      </c>
      <c r="Q1045" t="inlineStr">
        <is>
          <t>ASHE-ERIC higher education report, 0884-0040 ; no. 1, 1995</t>
        </is>
      </c>
      <c r="R1045" t="inlineStr">
        <is>
          <t xml:space="preserve">LB </t>
        </is>
      </c>
      <c r="S1045" t="n">
        <v>1</v>
      </c>
      <c r="T1045" t="n">
        <v>1</v>
      </c>
      <c r="U1045" t="inlineStr">
        <is>
          <t>2003-11-25</t>
        </is>
      </c>
      <c r="V1045" t="inlineStr">
        <is>
          <t>2003-11-25</t>
        </is>
      </c>
      <c r="W1045" t="inlineStr">
        <is>
          <t>2003-11-25</t>
        </is>
      </c>
      <c r="X1045" t="inlineStr">
        <is>
          <t>2003-11-25</t>
        </is>
      </c>
      <c r="Y1045" t="n">
        <v>402</v>
      </c>
      <c r="Z1045" t="n">
        <v>385</v>
      </c>
      <c r="AA1045" t="n">
        <v>390</v>
      </c>
      <c r="AB1045" t="n">
        <v>4</v>
      </c>
      <c r="AC1045" t="n">
        <v>4</v>
      </c>
      <c r="AD1045" t="n">
        <v>25</v>
      </c>
      <c r="AE1045" t="n">
        <v>25</v>
      </c>
      <c r="AF1045" t="n">
        <v>11</v>
      </c>
      <c r="AG1045" t="n">
        <v>11</v>
      </c>
      <c r="AH1045" t="n">
        <v>4</v>
      </c>
      <c r="AI1045" t="n">
        <v>4</v>
      </c>
      <c r="AJ1045" t="n">
        <v>10</v>
      </c>
      <c r="AK1045" t="n">
        <v>10</v>
      </c>
      <c r="AL1045" t="n">
        <v>3</v>
      </c>
      <c r="AM1045" t="n">
        <v>3</v>
      </c>
      <c r="AN1045" t="n">
        <v>3</v>
      </c>
      <c r="AO1045" t="n">
        <v>3</v>
      </c>
      <c r="AP1045" t="inlineStr">
        <is>
          <t>No</t>
        </is>
      </c>
      <c r="AQ1045" t="inlineStr">
        <is>
          <t>Yes</t>
        </is>
      </c>
      <c r="AR1045">
        <f>HYPERLINK("http://catalog.hathitrust.org/Record/003106473","HathiTrust Record")</f>
        <v/>
      </c>
      <c r="AS1045">
        <f>HYPERLINK("https://creighton-primo.hosted.exlibrisgroup.com/primo-explore/search?tab=default_tab&amp;search_scope=EVERYTHING&amp;vid=01CRU&amp;lang=en_US&amp;offset=0&amp;query=any,contains,991004192619702656","Catalog Record")</f>
        <v/>
      </c>
      <c r="AT1045">
        <f>HYPERLINK("http://www.worldcat.org/oclc/35285517","WorldCat Record")</f>
        <v/>
      </c>
      <c r="AU1045" t="inlineStr">
        <is>
          <t>917379788:eng</t>
        </is>
      </c>
      <c r="AV1045" t="inlineStr">
        <is>
          <t>35285517</t>
        </is>
      </c>
      <c r="AW1045" t="inlineStr">
        <is>
          <t>991004192619702656</t>
        </is>
      </c>
      <c r="AX1045" t="inlineStr">
        <is>
          <t>991004192619702656</t>
        </is>
      </c>
      <c r="AY1045" t="inlineStr">
        <is>
          <t>2259239380002656</t>
        </is>
      </c>
      <c r="AZ1045" t="inlineStr">
        <is>
          <t>BOOK</t>
        </is>
      </c>
      <c r="BB1045" t="inlineStr">
        <is>
          <t>9781878380654</t>
        </is>
      </c>
      <c r="BC1045" t="inlineStr">
        <is>
          <t>32285004842612</t>
        </is>
      </c>
      <c r="BD1045" t="inlineStr">
        <is>
          <t>893718604</t>
        </is>
      </c>
    </row>
    <row r="1046">
      <c r="A1046" t="inlineStr">
        <is>
          <t>No</t>
        </is>
      </c>
      <c r="B1046" t="inlineStr">
        <is>
          <t>LB2335.7 .C65 1973</t>
        </is>
      </c>
      <c r="C1046" t="inlineStr">
        <is>
          <t>0                      LB 2335700C  65          1973</t>
        </is>
      </c>
      <c r="D1046" t="inlineStr">
        <is>
          <t>Faculty tenure; a report and recommendations. William R. Keast, chairman; John W. Macy, Jr., cochairman.</t>
        </is>
      </c>
      <c r="F1046" t="inlineStr">
        <is>
          <t>No</t>
        </is>
      </c>
      <c r="G1046" t="inlineStr">
        <is>
          <t>1</t>
        </is>
      </c>
      <c r="H1046" t="inlineStr">
        <is>
          <t>No</t>
        </is>
      </c>
      <c r="I1046" t="inlineStr">
        <is>
          <t>No</t>
        </is>
      </c>
      <c r="J1046" t="inlineStr">
        <is>
          <t>0</t>
        </is>
      </c>
      <c r="K1046" t="inlineStr">
        <is>
          <t>Commission on Academic Tenure in Higher Education.</t>
        </is>
      </c>
      <c r="L1046" t="inlineStr">
        <is>
          <t>San Francisco, Jossey-Bass Publishers, 1973.</t>
        </is>
      </c>
      <c r="M1046" t="inlineStr">
        <is>
          <t>1973</t>
        </is>
      </c>
      <c r="N1046" t="inlineStr">
        <is>
          <t>[1st ed.]</t>
        </is>
      </c>
      <c r="O1046" t="inlineStr">
        <is>
          <t>eng</t>
        </is>
      </c>
      <c r="P1046" t="inlineStr">
        <is>
          <t>cau</t>
        </is>
      </c>
      <c r="Q1046" t="inlineStr">
        <is>
          <t>The Jossey-Bass series in higher education</t>
        </is>
      </c>
      <c r="R1046" t="inlineStr">
        <is>
          <t xml:space="preserve">LB </t>
        </is>
      </c>
      <c r="S1046" t="n">
        <v>11</v>
      </c>
      <c r="T1046" t="n">
        <v>11</v>
      </c>
      <c r="U1046" t="inlineStr">
        <is>
          <t>2009-02-12</t>
        </is>
      </c>
      <c r="V1046" t="inlineStr">
        <is>
          <t>2009-02-12</t>
        </is>
      </c>
      <c r="W1046" t="inlineStr">
        <is>
          <t>1991-12-09</t>
        </is>
      </c>
      <c r="X1046" t="inlineStr">
        <is>
          <t>1991-12-09</t>
        </is>
      </c>
      <c r="Y1046" t="n">
        <v>1122</v>
      </c>
      <c r="Z1046" t="n">
        <v>1053</v>
      </c>
      <c r="AA1046" t="n">
        <v>1060</v>
      </c>
      <c r="AB1046" t="n">
        <v>10</v>
      </c>
      <c r="AC1046" t="n">
        <v>10</v>
      </c>
      <c r="AD1046" t="n">
        <v>56</v>
      </c>
      <c r="AE1046" t="n">
        <v>56</v>
      </c>
      <c r="AF1046" t="n">
        <v>18</v>
      </c>
      <c r="AG1046" t="n">
        <v>18</v>
      </c>
      <c r="AH1046" t="n">
        <v>8</v>
      </c>
      <c r="AI1046" t="n">
        <v>8</v>
      </c>
      <c r="AJ1046" t="n">
        <v>23</v>
      </c>
      <c r="AK1046" t="n">
        <v>23</v>
      </c>
      <c r="AL1046" t="n">
        <v>8</v>
      </c>
      <c r="AM1046" t="n">
        <v>8</v>
      </c>
      <c r="AN1046" t="n">
        <v>11</v>
      </c>
      <c r="AO1046" t="n">
        <v>11</v>
      </c>
      <c r="AP1046" t="inlineStr">
        <is>
          <t>No</t>
        </is>
      </c>
      <c r="AQ1046" t="inlineStr">
        <is>
          <t>Yes</t>
        </is>
      </c>
      <c r="AR1046">
        <f>HYPERLINK("http://catalog.hathitrust.org/Record/000614649","HathiTrust Record")</f>
        <v/>
      </c>
      <c r="AS1046">
        <f>HYPERLINK("https://creighton-primo.hosted.exlibrisgroup.com/primo-explore/search?tab=default_tab&amp;search_scope=EVERYTHING&amp;vid=01CRU&amp;lang=en_US&amp;offset=0&amp;query=any,contains,991003064549702656","Catalog Record")</f>
        <v/>
      </c>
      <c r="AT1046">
        <f>HYPERLINK("http://www.worldcat.org/oclc/621177","WorldCat Record")</f>
        <v/>
      </c>
      <c r="AU1046" t="inlineStr">
        <is>
          <t>866635081:eng</t>
        </is>
      </c>
      <c r="AV1046" t="inlineStr">
        <is>
          <t>621177</t>
        </is>
      </c>
      <c r="AW1046" t="inlineStr">
        <is>
          <t>991003064549702656</t>
        </is>
      </c>
      <c r="AX1046" t="inlineStr">
        <is>
          <t>991003064549702656</t>
        </is>
      </c>
      <c r="AY1046" t="inlineStr">
        <is>
          <t>2256645960002656</t>
        </is>
      </c>
      <c r="AZ1046" t="inlineStr">
        <is>
          <t>BOOK</t>
        </is>
      </c>
      <c r="BB1046" t="inlineStr">
        <is>
          <t>9780875891620</t>
        </is>
      </c>
      <c r="BC1046" t="inlineStr">
        <is>
          <t>32285000829506</t>
        </is>
      </c>
      <c r="BD1046" t="inlineStr">
        <is>
          <t>893239854</t>
        </is>
      </c>
    </row>
    <row r="1047">
      <c r="A1047" t="inlineStr">
        <is>
          <t>No</t>
        </is>
      </c>
      <c r="B1047" t="inlineStr">
        <is>
          <t>LB2335.7 .G48 1993</t>
        </is>
      </c>
      <c r="C1047" t="inlineStr">
        <is>
          <t>0                      LB 2335700G  48          1993</t>
        </is>
      </c>
      <c r="D1047" t="inlineStr">
        <is>
          <t>Getting tenure / Marcia Lynn Whicker, Jennie Jacobs Kronenfeld, Ruth Ann Strickland.</t>
        </is>
      </c>
      <c r="F1047" t="inlineStr">
        <is>
          <t>No</t>
        </is>
      </c>
      <c r="G1047" t="inlineStr">
        <is>
          <t>1</t>
        </is>
      </c>
      <c r="H1047" t="inlineStr">
        <is>
          <t>No</t>
        </is>
      </c>
      <c r="I1047" t="inlineStr">
        <is>
          <t>No</t>
        </is>
      </c>
      <c r="J1047" t="inlineStr">
        <is>
          <t>0</t>
        </is>
      </c>
      <c r="K1047" t="inlineStr">
        <is>
          <t>Whicker, Marcia Lynn.</t>
        </is>
      </c>
      <c r="L1047" t="inlineStr">
        <is>
          <t>Newbury Park : Sage Publications, c1993.</t>
        </is>
      </c>
      <c r="M1047" t="inlineStr">
        <is>
          <t>1993</t>
        </is>
      </c>
      <c r="O1047" t="inlineStr">
        <is>
          <t>eng</t>
        </is>
      </c>
      <c r="P1047" t="inlineStr">
        <is>
          <t>cau</t>
        </is>
      </c>
      <c r="Q1047" t="inlineStr">
        <is>
          <t>Survival skills for scholars ; v. 8</t>
        </is>
      </c>
      <c r="R1047" t="inlineStr">
        <is>
          <t xml:space="preserve">LB </t>
        </is>
      </c>
      <c r="S1047" t="n">
        <v>1</v>
      </c>
      <c r="T1047" t="n">
        <v>1</v>
      </c>
      <c r="U1047" t="inlineStr">
        <is>
          <t>2008-02-04</t>
        </is>
      </c>
      <c r="V1047" t="inlineStr">
        <is>
          <t>2008-02-04</t>
        </is>
      </c>
      <c r="W1047" t="inlineStr">
        <is>
          <t>2008-02-04</t>
        </is>
      </c>
      <c r="X1047" t="inlineStr">
        <is>
          <t>2008-02-04</t>
        </is>
      </c>
      <c r="Y1047" t="n">
        <v>409</v>
      </c>
      <c r="Z1047" t="n">
        <v>354</v>
      </c>
      <c r="AA1047" t="n">
        <v>357</v>
      </c>
      <c r="AB1047" t="n">
        <v>3</v>
      </c>
      <c r="AC1047" t="n">
        <v>3</v>
      </c>
      <c r="AD1047" t="n">
        <v>17</v>
      </c>
      <c r="AE1047" t="n">
        <v>17</v>
      </c>
      <c r="AF1047" t="n">
        <v>8</v>
      </c>
      <c r="AG1047" t="n">
        <v>8</v>
      </c>
      <c r="AH1047" t="n">
        <v>4</v>
      </c>
      <c r="AI1047" t="n">
        <v>4</v>
      </c>
      <c r="AJ1047" t="n">
        <v>7</v>
      </c>
      <c r="AK1047" t="n">
        <v>7</v>
      </c>
      <c r="AL1047" t="n">
        <v>2</v>
      </c>
      <c r="AM1047" t="n">
        <v>2</v>
      </c>
      <c r="AN1047" t="n">
        <v>1</v>
      </c>
      <c r="AO1047" t="n">
        <v>1</v>
      </c>
      <c r="AP1047" t="inlineStr">
        <is>
          <t>No</t>
        </is>
      </c>
      <c r="AQ1047" t="inlineStr">
        <is>
          <t>Yes</t>
        </is>
      </c>
      <c r="AR1047">
        <f>HYPERLINK("http://catalog.hathitrust.org/Record/004552869","HathiTrust Record")</f>
        <v/>
      </c>
      <c r="AS1047">
        <f>HYPERLINK("https://creighton-primo.hosted.exlibrisgroup.com/primo-explore/search?tab=default_tab&amp;search_scope=EVERYTHING&amp;vid=01CRU&amp;lang=en_US&amp;offset=0&amp;query=any,contains,991005179429702656","Catalog Record")</f>
        <v/>
      </c>
      <c r="AT1047">
        <f>HYPERLINK("http://www.worldcat.org/oclc/28336383","WorldCat Record")</f>
        <v/>
      </c>
      <c r="AU1047" t="inlineStr">
        <is>
          <t>2752595:eng</t>
        </is>
      </c>
      <c r="AV1047" t="inlineStr">
        <is>
          <t>28336383</t>
        </is>
      </c>
      <c r="AW1047" t="inlineStr">
        <is>
          <t>991005179429702656</t>
        </is>
      </c>
      <c r="AX1047" t="inlineStr">
        <is>
          <t>991005179429702656</t>
        </is>
      </c>
      <c r="AY1047" t="inlineStr">
        <is>
          <t>2261028830002656</t>
        </is>
      </c>
      <c r="AZ1047" t="inlineStr">
        <is>
          <t>BOOK</t>
        </is>
      </c>
      <c r="BB1047" t="inlineStr">
        <is>
          <t>9780803953024</t>
        </is>
      </c>
      <c r="BC1047" t="inlineStr">
        <is>
          <t>32285005391726</t>
        </is>
      </c>
      <c r="BD1047" t="inlineStr">
        <is>
          <t>893338662</t>
        </is>
      </c>
    </row>
    <row r="1048">
      <c r="A1048" t="inlineStr">
        <is>
          <t>No</t>
        </is>
      </c>
      <c r="B1048" t="inlineStr">
        <is>
          <t>LB2335.7 .P678 2002</t>
        </is>
      </c>
      <c r="C1048" t="inlineStr">
        <is>
          <t>0                      LB 2335700P  678         2002</t>
        </is>
      </c>
      <c r="D1048" t="inlineStr">
        <is>
          <t>Post-tenure faculty review and renewal : experienced voices / Christine M. Licata and Joseph Morreale, editors.</t>
        </is>
      </c>
      <c r="F1048" t="inlineStr">
        <is>
          <t>No</t>
        </is>
      </c>
      <c r="G1048" t="inlineStr">
        <is>
          <t>1</t>
        </is>
      </c>
      <c r="H1048" t="inlineStr">
        <is>
          <t>No</t>
        </is>
      </c>
      <c r="I1048" t="inlineStr">
        <is>
          <t>No</t>
        </is>
      </c>
      <c r="J1048" t="inlineStr">
        <is>
          <t>0</t>
        </is>
      </c>
      <c r="L1048" t="inlineStr">
        <is>
          <t>Washington, D.C. : American Association for Higher Education, c2002.</t>
        </is>
      </c>
      <c r="M1048" t="inlineStr">
        <is>
          <t>2002</t>
        </is>
      </c>
      <c r="O1048" t="inlineStr">
        <is>
          <t>eng</t>
        </is>
      </c>
      <c r="P1048" t="inlineStr">
        <is>
          <t>dcu</t>
        </is>
      </c>
      <c r="R1048" t="inlineStr">
        <is>
          <t xml:space="preserve">LB </t>
        </is>
      </c>
      <c r="S1048" t="n">
        <v>1</v>
      </c>
      <c r="T1048" t="n">
        <v>1</v>
      </c>
      <c r="U1048" t="inlineStr">
        <is>
          <t>2004-02-06</t>
        </is>
      </c>
      <c r="V1048" t="inlineStr">
        <is>
          <t>2004-02-06</t>
        </is>
      </c>
      <c r="W1048" t="inlineStr">
        <is>
          <t>2003-11-25</t>
        </is>
      </c>
      <c r="X1048" t="inlineStr">
        <is>
          <t>2003-11-25</t>
        </is>
      </c>
      <c r="Y1048" t="n">
        <v>214</v>
      </c>
      <c r="Z1048" t="n">
        <v>206</v>
      </c>
      <c r="AA1048" t="n">
        <v>210</v>
      </c>
      <c r="AB1048" t="n">
        <v>2</v>
      </c>
      <c r="AC1048" t="n">
        <v>2</v>
      </c>
      <c r="AD1048" t="n">
        <v>12</v>
      </c>
      <c r="AE1048" t="n">
        <v>12</v>
      </c>
      <c r="AF1048" t="n">
        <v>4</v>
      </c>
      <c r="AG1048" t="n">
        <v>4</v>
      </c>
      <c r="AH1048" t="n">
        <v>3</v>
      </c>
      <c r="AI1048" t="n">
        <v>3</v>
      </c>
      <c r="AJ1048" t="n">
        <v>4</v>
      </c>
      <c r="AK1048" t="n">
        <v>4</v>
      </c>
      <c r="AL1048" t="n">
        <v>1</v>
      </c>
      <c r="AM1048" t="n">
        <v>1</v>
      </c>
      <c r="AN1048" t="n">
        <v>1</v>
      </c>
      <c r="AO1048" t="n">
        <v>1</v>
      </c>
      <c r="AP1048" t="inlineStr">
        <is>
          <t>No</t>
        </is>
      </c>
      <c r="AQ1048" t="inlineStr">
        <is>
          <t>Yes</t>
        </is>
      </c>
      <c r="AR1048">
        <f>HYPERLINK("http://catalog.hathitrust.org/Record/005032627","HathiTrust Record")</f>
        <v/>
      </c>
      <c r="AS1048">
        <f>HYPERLINK("https://creighton-primo.hosted.exlibrisgroup.com/primo-explore/search?tab=default_tab&amp;search_scope=EVERYTHING&amp;vid=01CRU&amp;lang=en_US&amp;offset=0&amp;query=any,contains,991004191449702656","Catalog Record")</f>
        <v/>
      </c>
      <c r="AT1048">
        <f>HYPERLINK("http://www.worldcat.org/oclc/49016303","WorldCat Record")</f>
        <v/>
      </c>
      <c r="AU1048" t="inlineStr">
        <is>
          <t>997184055:eng</t>
        </is>
      </c>
      <c r="AV1048" t="inlineStr">
        <is>
          <t>49016303</t>
        </is>
      </c>
      <c r="AW1048" t="inlineStr">
        <is>
          <t>991004191449702656</t>
        </is>
      </c>
      <c r="AX1048" t="inlineStr">
        <is>
          <t>991004191449702656</t>
        </is>
      </c>
      <c r="AY1048" t="inlineStr">
        <is>
          <t>2271095020002656</t>
        </is>
      </c>
      <c r="AZ1048" t="inlineStr">
        <is>
          <t>BOOK</t>
        </is>
      </c>
      <c r="BB1048" t="inlineStr">
        <is>
          <t>9781563770531</t>
        </is>
      </c>
      <c r="BC1048" t="inlineStr">
        <is>
          <t>32285004841895</t>
        </is>
      </c>
      <c r="BD1048" t="inlineStr">
        <is>
          <t>893605746</t>
        </is>
      </c>
    </row>
    <row r="1049">
      <c r="A1049" t="inlineStr">
        <is>
          <t>No</t>
        </is>
      </c>
      <c r="B1049" t="inlineStr">
        <is>
          <t>LB2335.7 .S36 1994</t>
        </is>
      </c>
      <c r="C1049" t="inlineStr">
        <is>
          <t>0                      LB 2335700S  36          1994</t>
        </is>
      </c>
      <c r="D1049" t="inlineStr">
        <is>
          <t>Mentor in a manual : climbing the academic ladder to tenure / A. Clay Schoenfeld, Robert Magnan.</t>
        </is>
      </c>
      <c r="F1049" t="inlineStr">
        <is>
          <t>No</t>
        </is>
      </c>
      <c r="G1049" t="inlineStr">
        <is>
          <t>1</t>
        </is>
      </c>
      <c r="H1049" t="inlineStr">
        <is>
          <t>No</t>
        </is>
      </c>
      <c r="I1049" t="inlineStr">
        <is>
          <t>No</t>
        </is>
      </c>
      <c r="J1049" t="inlineStr">
        <is>
          <t>0</t>
        </is>
      </c>
      <c r="K1049" t="inlineStr">
        <is>
          <t>Schoenfeld, Clay, 1918-1996.</t>
        </is>
      </c>
      <c r="L1049" t="inlineStr">
        <is>
          <t>Madison, WI : Magna Publications, c1994.</t>
        </is>
      </c>
      <c r="M1049" t="inlineStr">
        <is>
          <t>1994</t>
        </is>
      </c>
      <c r="N1049" t="inlineStr">
        <is>
          <t>2nd ed.</t>
        </is>
      </c>
      <c r="O1049" t="inlineStr">
        <is>
          <t>eng</t>
        </is>
      </c>
      <c r="P1049" t="inlineStr">
        <is>
          <t>wiu</t>
        </is>
      </c>
      <c r="R1049" t="inlineStr">
        <is>
          <t xml:space="preserve">LB </t>
        </is>
      </c>
      <c r="S1049" t="n">
        <v>4</v>
      </c>
      <c r="T1049" t="n">
        <v>4</v>
      </c>
      <c r="U1049" t="inlineStr">
        <is>
          <t>2001-11-12</t>
        </is>
      </c>
      <c r="V1049" t="inlineStr">
        <is>
          <t>2001-11-12</t>
        </is>
      </c>
      <c r="W1049" t="inlineStr">
        <is>
          <t>1996-06-25</t>
        </is>
      </c>
      <c r="X1049" t="inlineStr">
        <is>
          <t>1996-06-25</t>
        </is>
      </c>
      <c r="Y1049" t="n">
        <v>262</v>
      </c>
      <c r="Z1049" t="n">
        <v>238</v>
      </c>
      <c r="AA1049" t="n">
        <v>534</v>
      </c>
      <c r="AB1049" t="n">
        <v>2</v>
      </c>
      <c r="AC1049" t="n">
        <v>5</v>
      </c>
      <c r="AD1049" t="n">
        <v>12</v>
      </c>
      <c r="AE1049" t="n">
        <v>26</v>
      </c>
      <c r="AF1049" t="n">
        <v>8</v>
      </c>
      <c r="AG1049" t="n">
        <v>14</v>
      </c>
      <c r="AH1049" t="n">
        <v>1</v>
      </c>
      <c r="AI1049" t="n">
        <v>4</v>
      </c>
      <c r="AJ1049" t="n">
        <v>6</v>
      </c>
      <c r="AK1049" t="n">
        <v>12</v>
      </c>
      <c r="AL1049" t="n">
        <v>1</v>
      </c>
      <c r="AM1049" t="n">
        <v>4</v>
      </c>
      <c r="AN1049" t="n">
        <v>1</v>
      </c>
      <c r="AO1049" t="n">
        <v>1</v>
      </c>
      <c r="AP1049" t="inlineStr">
        <is>
          <t>No</t>
        </is>
      </c>
      <c r="AQ1049" t="inlineStr">
        <is>
          <t>Yes</t>
        </is>
      </c>
      <c r="AR1049">
        <f>HYPERLINK("http://catalog.hathitrust.org/Record/004534897","HathiTrust Record")</f>
        <v/>
      </c>
      <c r="AS1049">
        <f>HYPERLINK("https://creighton-primo.hosted.exlibrisgroup.com/primo-explore/search?tab=default_tab&amp;search_scope=EVERYTHING&amp;vid=01CRU&amp;lang=en_US&amp;offset=0&amp;query=any,contains,991002401009702656","Catalog Record")</f>
        <v/>
      </c>
      <c r="AT1049">
        <f>HYPERLINK("http://www.worldcat.org/oclc/31206962","WorldCat Record")</f>
        <v/>
      </c>
      <c r="AU1049" t="inlineStr">
        <is>
          <t>435939771:eng</t>
        </is>
      </c>
      <c r="AV1049" t="inlineStr">
        <is>
          <t>31206962</t>
        </is>
      </c>
      <c r="AW1049" t="inlineStr">
        <is>
          <t>991002401009702656</t>
        </is>
      </c>
      <c r="AX1049" t="inlineStr">
        <is>
          <t>991002401009702656</t>
        </is>
      </c>
      <c r="AY1049" t="inlineStr">
        <is>
          <t>2259361710002656</t>
        </is>
      </c>
      <c r="AZ1049" t="inlineStr">
        <is>
          <t>BOOK</t>
        </is>
      </c>
      <c r="BB1049" t="inlineStr">
        <is>
          <t>9780912150345</t>
        </is>
      </c>
      <c r="BC1049" t="inlineStr">
        <is>
          <t>32285002173150</t>
        </is>
      </c>
      <c r="BD1049" t="inlineStr">
        <is>
          <t>893322893</t>
        </is>
      </c>
    </row>
    <row r="1050">
      <c r="A1050" t="inlineStr">
        <is>
          <t>No</t>
        </is>
      </c>
      <c r="B1050" t="inlineStr">
        <is>
          <t>LB2337.4 .W67 2004</t>
        </is>
      </c>
      <c r="C1050" t="inlineStr">
        <is>
          <t>0                      LB 2337400W  67          2004</t>
        </is>
      </c>
      <c r="D1050" t="inlineStr">
        <is>
          <t>Workforce contingent financial aid : how states link financial aid to employment / Rita J. Kirshstein ... [et al.].</t>
        </is>
      </c>
      <c r="F1050" t="inlineStr">
        <is>
          <t>No</t>
        </is>
      </c>
      <c r="G1050" t="inlineStr">
        <is>
          <t>1</t>
        </is>
      </c>
      <c r="H1050" t="inlineStr">
        <is>
          <t>No</t>
        </is>
      </c>
      <c r="I1050" t="inlineStr">
        <is>
          <t>No</t>
        </is>
      </c>
      <c r="J1050" t="inlineStr">
        <is>
          <t>0</t>
        </is>
      </c>
      <c r="L1050" t="inlineStr">
        <is>
          <t>[United States] : Lumina Foundation for Education, [2004]</t>
        </is>
      </c>
      <c r="M1050" t="inlineStr">
        <is>
          <t>2004</t>
        </is>
      </c>
      <c r="O1050" t="inlineStr">
        <is>
          <t>eng</t>
        </is>
      </c>
      <c r="P1050" t="inlineStr">
        <is>
          <t>xxu</t>
        </is>
      </c>
      <c r="R1050" t="inlineStr">
        <is>
          <t xml:space="preserve">LB </t>
        </is>
      </c>
      <c r="S1050" t="n">
        <v>1</v>
      </c>
      <c r="T1050" t="n">
        <v>1</v>
      </c>
      <c r="U1050" t="inlineStr">
        <is>
          <t>2004-04-22</t>
        </is>
      </c>
      <c r="V1050" t="inlineStr">
        <is>
          <t>2004-04-22</t>
        </is>
      </c>
      <c r="W1050" t="inlineStr">
        <is>
          <t>2004-04-22</t>
        </is>
      </c>
      <c r="X1050" t="inlineStr">
        <is>
          <t>2004-04-22</t>
        </is>
      </c>
      <c r="Y1050" t="n">
        <v>199</v>
      </c>
      <c r="Z1050" t="n">
        <v>198</v>
      </c>
      <c r="AA1050" t="n">
        <v>211</v>
      </c>
      <c r="AB1050" t="n">
        <v>6</v>
      </c>
      <c r="AC1050" t="n">
        <v>6</v>
      </c>
      <c r="AD1050" t="n">
        <v>6</v>
      </c>
      <c r="AE1050" t="n">
        <v>6</v>
      </c>
      <c r="AF1050" t="n">
        <v>0</v>
      </c>
      <c r="AG1050" t="n">
        <v>0</v>
      </c>
      <c r="AH1050" t="n">
        <v>0</v>
      </c>
      <c r="AI1050" t="n">
        <v>0</v>
      </c>
      <c r="AJ1050" t="n">
        <v>1</v>
      </c>
      <c r="AK1050" t="n">
        <v>1</v>
      </c>
      <c r="AL1050" t="n">
        <v>5</v>
      </c>
      <c r="AM1050" t="n">
        <v>5</v>
      </c>
      <c r="AN1050" t="n">
        <v>0</v>
      </c>
      <c r="AO1050" t="n">
        <v>0</v>
      </c>
      <c r="AP1050" t="inlineStr">
        <is>
          <t>No</t>
        </is>
      </c>
      <c r="AQ1050" t="inlineStr">
        <is>
          <t>Yes</t>
        </is>
      </c>
      <c r="AR1050">
        <f>HYPERLINK("http://catalog.hathitrust.org/Record/007988206","HathiTrust Record")</f>
        <v/>
      </c>
      <c r="AS1050">
        <f>HYPERLINK("https://creighton-primo.hosted.exlibrisgroup.com/primo-explore/search?tab=default_tab&amp;search_scope=EVERYTHING&amp;vid=01CRU&amp;lang=en_US&amp;offset=0&amp;query=any,contains,991004288039702656","Catalog Record")</f>
        <v/>
      </c>
      <c r="AT1050">
        <f>HYPERLINK("http://www.worldcat.org/oclc/54471421","WorldCat Record")</f>
        <v/>
      </c>
      <c r="AU1050" t="inlineStr">
        <is>
          <t>968685585:eng</t>
        </is>
      </c>
      <c r="AV1050" t="inlineStr">
        <is>
          <t>54471421</t>
        </is>
      </c>
      <c r="AW1050" t="inlineStr">
        <is>
          <t>991004288039702656</t>
        </is>
      </c>
      <c r="AX1050" t="inlineStr">
        <is>
          <t>991004288039702656</t>
        </is>
      </c>
      <c r="AY1050" t="inlineStr">
        <is>
          <t>2257488530002656</t>
        </is>
      </c>
      <c r="AZ1050" t="inlineStr">
        <is>
          <t>BOOK</t>
        </is>
      </c>
      <c r="BC1050" t="inlineStr">
        <is>
          <t>32285004902036</t>
        </is>
      </c>
      <c r="BD1050" t="inlineStr">
        <is>
          <t>893593508</t>
        </is>
      </c>
    </row>
    <row r="1051">
      <c r="A1051" t="inlineStr">
        <is>
          <t>No</t>
        </is>
      </c>
      <c r="B1051" t="inlineStr">
        <is>
          <t>LB2341 .A756</t>
        </is>
      </c>
      <c r="C1051" t="inlineStr">
        <is>
          <t>0                      LB 2341000A  756</t>
        </is>
      </c>
      <c r="D1051" t="inlineStr">
        <is>
          <t>Maximizing leadership effectiveness / Alexander W. Astin, Rita A. Scherrei.</t>
        </is>
      </c>
      <c r="F1051" t="inlineStr">
        <is>
          <t>No</t>
        </is>
      </c>
      <c r="G1051" t="inlineStr">
        <is>
          <t>1</t>
        </is>
      </c>
      <c r="H1051" t="inlineStr">
        <is>
          <t>No</t>
        </is>
      </c>
      <c r="I1051" t="inlineStr">
        <is>
          <t>No</t>
        </is>
      </c>
      <c r="J1051" t="inlineStr">
        <is>
          <t>0</t>
        </is>
      </c>
      <c r="K1051" t="inlineStr">
        <is>
          <t>Astin, Alexander W.</t>
        </is>
      </c>
      <c r="L1051" t="inlineStr">
        <is>
          <t>San Francisco : Jossey-Bass, 1980.</t>
        </is>
      </c>
      <c r="M1051" t="inlineStr">
        <is>
          <t>1980</t>
        </is>
      </c>
      <c r="N1051" t="inlineStr">
        <is>
          <t>1st ed.</t>
        </is>
      </c>
      <c r="O1051" t="inlineStr">
        <is>
          <t>eng</t>
        </is>
      </c>
      <c r="P1051" t="inlineStr">
        <is>
          <t>cau</t>
        </is>
      </c>
      <c r="Q1051" t="inlineStr">
        <is>
          <t>The Jossey-Bass series in higher education</t>
        </is>
      </c>
      <c r="R1051" t="inlineStr">
        <is>
          <t xml:space="preserve">LB </t>
        </is>
      </c>
      <c r="S1051" t="n">
        <v>4</v>
      </c>
      <c r="T1051" t="n">
        <v>4</v>
      </c>
      <c r="U1051" t="inlineStr">
        <is>
          <t>2003-12-05</t>
        </is>
      </c>
      <c r="V1051" t="inlineStr">
        <is>
          <t>2003-12-05</t>
        </is>
      </c>
      <c r="W1051" t="inlineStr">
        <is>
          <t>1990-06-12</t>
        </is>
      </c>
      <c r="X1051" t="inlineStr">
        <is>
          <t>1990-06-12</t>
        </is>
      </c>
      <c r="Y1051" t="n">
        <v>544</v>
      </c>
      <c r="Z1051" t="n">
        <v>470</v>
      </c>
      <c r="AA1051" t="n">
        <v>481</v>
      </c>
      <c r="AB1051" t="n">
        <v>5</v>
      </c>
      <c r="AC1051" t="n">
        <v>5</v>
      </c>
      <c r="AD1051" t="n">
        <v>21</v>
      </c>
      <c r="AE1051" t="n">
        <v>21</v>
      </c>
      <c r="AF1051" t="n">
        <v>10</v>
      </c>
      <c r="AG1051" t="n">
        <v>10</v>
      </c>
      <c r="AH1051" t="n">
        <v>2</v>
      </c>
      <c r="AI1051" t="n">
        <v>2</v>
      </c>
      <c r="AJ1051" t="n">
        <v>12</v>
      </c>
      <c r="AK1051" t="n">
        <v>12</v>
      </c>
      <c r="AL1051" t="n">
        <v>2</v>
      </c>
      <c r="AM1051" t="n">
        <v>2</v>
      </c>
      <c r="AN1051" t="n">
        <v>0</v>
      </c>
      <c r="AO1051" t="n">
        <v>0</v>
      </c>
      <c r="AP1051" t="inlineStr">
        <is>
          <t>No</t>
        </is>
      </c>
      <c r="AQ1051" t="inlineStr">
        <is>
          <t>Yes</t>
        </is>
      </c>
      <c r="AR1051">
        <f>HYPERLINK("http://catalog.hathitrust.org/Record/000721544","HathiTrust Record")</f>
        <v/>
      </c>
      <c r="AS1051">
        <f>HYPERLINK("https://creighton-primo.hosted.exlibrisgroup.com/primo-explore/search?tab=default_tab&amp;search_scope=EVERYTHING&amp;vid=01CRU&amp;lang=en_US&amp;offset=0&amp;query=any,contains,991004914709702656","Catalog Record")</f>
        <v/>
      </c>
      <c r="AT1051">
        <f>HYPERLINK("http://www.worldcat.org/oclc/6015564","WorldCat Record")</f>
        <v/>
      </c>
      <c r="AU1051" t="inlineStr">
        <is>
          <t>532802:eng</t>
        </is>
      </c>
      <c r="AV1051" t="inlineStr">
        <is>
          <t>6015564</t>
        </is>
      </c>
      <c r="AW1051" t="inlineStr">
        <is>
          <t>991004914709702656</t>
        </is>
      </c>
      <c r="AX1051" t="inlineStr">
        <is>
          <t>991004914709702656</t>
        </is>
      </c>
      <c r="AY1051" t="inlineStr">
        <is>
          <t>2269205290002656</t>
        </is>
      </c>
      <c r="AZ1051" t="inlineStr">
        <is>
          <t>BOOK</t>
        </is>
      </c>
      <c r="BB1051" t="inlineStr">
        <is>
          <t>9780875894546</t>
        </is>
      </c>
      <c r="BC1051" t="inlineStr">
        <is>
          <t>32285000190826</t>
        </is>
      </c>
      <c r="BD1051" t="inlineStr">
        <is>
          <t>893713203</t>
        </is>
      </c>
    </row>
    <row r="1052">
      <c r="A1052" t="inlineStr">
        <is>
          <t>No</t>
        </is>
      </c>
      <c r="B1052" t="inlineStr">
        <is>
          <t>LB2341 .B4742 2000</t>
        </is>
      </c>
      <c r="C1052" t="inlineStr">
        <is>
          <t>0                      LB 2341000B  4742        2000</t>
        </is>
      </c>
      <c r="D1052" t="inlineStr">
        <is>
          <t>The department chair's role in developing new faculty into teachers and scholars / Estela Mara Bensimon, Kelly Ward, Karla Sanders.</t>
        </is>
      </c>
      <c r="F1052" t="inlineStr">
        <is>
          <t>No</t>
        </is>
      </c>
      <c r="G1052" t="inlineStr">
        <is>
          <t>1</t>
        </is>
      </c>
      <c r="H1052" t="inlineStr">
        <is>
          <t>No</t>
        </is>
      </c>
      <c r="I1052" t="inlineStr">
        <is>
          <t>No</t>
        </is>
      </c>
      <c r="J1052" t="inlineStr">
        <is>
          <t>0</t>
        </is>
      </c>
      <c r="K1052" t="inlineStr">
        <is>
          <t>Bensimon, Estela Mara.</t>
        </is>
      </c>
      <c r="L1052" t="inlineStr">
        <is>
          <t>Bolton, Mass. : Anker Pub. Co., c2000.</t>
        </is>
      </c>
      <c r="M1052" t="inlineStr">
        <is>
          <t>2000</t>
        </is>
      </c>
      <c r="O1052" t="inlineStr">
        <is>
          <t>eng</t>
        </is>
      </c>
      <c r="P1052" t="inlineStr">
        <is>
          <t>mau</t>
        </is>
      </c>
      <c r="R1052" t="inlineStr">
        <is>
          <t xml:space="preserve">LB </t>
        </is>
      </c>
      <c r="S1052" t="n">
        <v>1</v>
      </c>
      <c r="T1052" t="n">
        <v>1</v>
      </c>
      <c r="U1052" t="inlineStr">
        <is>
          <t>2003-11-24</t>
        </is>
      </c>
      <c r="V1052" t="inlineStr">
        <is>
          <t>2003-11-24</t>
        </is>
      </c>
      <c r="W1052" t="inlineStr">
        <is>
          <t>2003-11-24</t>
        </is>
      </c>
      <c r="X1052" t="inlineStr">
        <is>
          <t>2003-11-24</t>
        </is>
      </c>
      <c r="Y1052" t="n">
        <v>372</v>
      </c>
      <c r="Z1052" t="n">
        <v>334</v>
      </c>
      <c r="AA1052" t="n">
        <v>343</v>
      </c>
      <c r="AB1052" t="n">
        <v>6</v>
      </c>
      <c r="AC1052" t="n">
        <v>6</v>
      </c>
      <c r="AD1052" t="n">
        <v>21</v>
      </c>
      <c r="AE1052" t="n">
        <v>21</v>
      </c>
      <c r="AF1052" t="n">
        <v>8</v>
      </c>
      <c r="AG1052" t="n">
        <v>8</v>
      </c>
      <c r="AH1052" t="n">
        <v>2</v>
      </c>
      <c r="AI1052" t="n">
        <v>2</v>
      </c>
      <c r="AJ1052" t="n">
        <v>8</v>
      </c>
      <c r="AK1052" t="n">
        <v>8</v>
      </c>
      <c r="AL1052" t="n">
        <v>5</v>
      </c>
      <c r="AM1052" t="n">
        <v>5</v>
      </c>
      <c r="AN1052" t="n">
        <v>2</v>
      </c>
      <c r="AO1052" t="n">
        <v>2</v>
      </c>
      <c r="AP1052" t="inlineStr">
        <is>
          <t>No</t>
        </is>
      </c>
      <c r="AQ1052" t="inlineStr">
        <is>
          <t>Yes</t>
        </is>
      </c>
      <c r="AR1052">
        <f>HYPERLINK("http://catalog.hathitrust.org/Record/009928159","HathiTrust Record")</f>
        <v/>
      </c>
      <c r="AS1052">
        <f>HYPERLINK("https://creighton-primo.hosted.exlibrisgroup.com/primo-explore/search?tab=default_tab&amp;search_scope=EVERYTHING&amp;vid=01CRU&amp;lang=en_US&amp;offset=0&amp;query=any,contains,991004188399702656","Catalog Record")</f>
        <v/>
      </c>
      <c r="AT1052">
        <f>HYPERLINK("http://www.worldcat.org/oclc/44539065","WorldCat Record")</f>
        <v/>
      </c>
      <c r="AU1052" t="inlineStr">
        <is>
          <t>20688018:eng</t>
        </is>
      </c>
      <c r="AV1052" t="inlineStr">
        <is>
          <t>44539065</t>
        </is>
      </c>
      <c r="AW1052" t="inlineStr">
        <is>
          <t>991004188399702656</t>
        </is>
      </c>
      <c r="AX1052" t="inlineStr">
        <is>
          <t>991004188399702656</t>
        </is>
      </c>
      <c r="AY1052" t="inlineStr">
        <is>
          <t>2262017410002656</t>
        </is>
      </c>
      <c r="AZ1052" t="inlineStr">
        <is>
          <t>BOOK</t>
        </is>
      </c>
      <c r="BB1052" t="inlineStr">
        <is>
          <t>9781882982332</t>
        </is>
      </c>
      <c r="BC1052" t="inlineStr">
        <is>
          <t>32285004840921</t>
        </is>
      </c>
      <c r="BD1052" t="inlineStr">
        <is>
          <t>893888396</t>
        </is>
      </c>
    </row>
    <row r="1053">
      <c r="A1053" t="inlineStr">
        <is>
          <t>No</t>
        </is>
      </c>
      <c r="B1053" t="inlineStr">
        <is>
          <t>LB2341 .B48 1988</t>
        </is>
      </c>
      <c r="C1053" t="inlineStr">
        <is>
          <t>0                      LB 2341000B  48          1988</t>
        </is>
      </c>
      <c r="D1053" t="inlineStr">
        <is>
          <t>How colleges work : the cybernetics of academic organization and leadership / Robert Birnbaum.</t>
        </is>
      </c>
      <c r="F1053" t="inlineStr">
        <is>
          <t>No</t>
        </is>
      </c>
      <c r="G1053" t="inlineStr">
        <is>
          <t>1</t>
        </is>
      </c>
      <c r="H1053" t="inlineStr">
        <is>
          <t>No</t>
        </is>
      </c>
      <c r="I1053" t="inlineStr">
        <is>
          <t>No</t>
        </is>
      </c>
      <c r="J1053" t="inlineStr">
        <is>
          <t>0</t>
        </is>
      </c>
      <c r="K1053" t="inlineStr">
        <is>
          <t>Birnbaum, Robert.</t>
        </is>
      </c>
      <c r="L1053" t="inlineStr">
        <is>
          <t>San Francisco : Jossey-Bass, 1988.</t>
        </is>
      </c>
      <c r="M1053" t="inlineStr">
        <is>
          <t>1988</t>
        </is>
      </c>
      <c r="O1053" t="inlineStr">
        <is>
          <t>eng</t>
        </is>
      </c>
      <c r="P1053" t="inlineStr">
        <is>
          <t>cau</t>
        </is>
      </c>
      <c r="Q1053" t="inlineStr">
        <is>
          <t>The Jossey-Bass higher education series</t>
        </is>
      </c>
      <c r="R1053" t="inlineStr">
        <is>
          <t xml:space="preserve">LB </t>
        </is>
      </c>
      <c r="S1053" t="n">
        <v>3</v>
      </c>
      <c r="T1053" t="n">
        <v>3</v>
      </c>
      <c r="U1053" t="inlineStr">
        <is>
          <t>2009-04-15</t>
        </is>
      </c>
      <c r="V1053" t="inlineStr">
        <is>
          <t>2009-04-15</t>
        </is>
      </c>
      <c r="W1053" t="inlineStr">
        <is>
          <t>2009-01-12</t>
        </is>
      </c>
      <c r="X1053" t="inlineStr">
        <is>
          <t>2009-01-12</t>
        </is>
      </c>
      <c r="Y1053" t="n">
        <v>882</v>
      </c>
      <c r="Z1053" t="n">
        <v>768</v>
      </c>
      <c r="AA1053" t="n">
        <v>780</v>
      </c>
      <c r="AB1053" t="n">
        <v>6</v>
      </c>
      <c r="AC1053" t="n">
        <v>6</v>
      </c>
      <c r="AD1053" t="n">
        <v>37</v>
      </c>
      <c r="AE1053" t="n">
        <v>37</v>
      </c>
      <c r="AF1053" t="n">
        <v>19</v>
      </c>
      <c r="AG1053" t="n">
        <v>19</v>
      </c>
      <c r="AH1053" t="n">
        <v>7</v>
      </c>
      <c r="AI1053" t="n">
        <v>7</v>
      </c>
      <c r="AJ1053" t="n">
        <v>17</v>
      </c>
      <c r="AK1053" t="n">
        <v>17</v>
      </c>
      <c r="AL1053" t="n">
        <v>5</v>
      </c>
      <c r="AM1053" t="n">
        <v>5</v>
      </c>
      <c r="AN1053" t="n">
        <v>0</v>
      </c>
      <c r="AO1053" t="n">
        <v>0</v>
      </c>
      <c r="AP1053" t="inlineStr">
        <is>
          <t>No</t>
        </is>
      </c>
      <c r="AQ1053" t="inlineStr">
        <is>
          <t>Yes</t>
        </is>
      </c>
      <c r="AR1053">
        <f>HYPERLINK("http://catalog.hathitrust.org/Record/001081140","HathiTrust Record")</f>
        <v/>
      </c>
      <c r="AS1053">
        <f>HYPERLINK("https://creighton-primo.hosted.exlibrisgroup.com/primo-explore/search?tab=default_tab&amp;search_scope=EVERYTHING&amp;vid=01CRU&amp;lang=en_US&amp;offset=0&amp;query=any,contains,991005289689702656","Catalog Record")</f>
        <v/>
      </c>
      <c r="AT1053">
        <f>HYPERLINK("http://www.worldcat.org/oclc/18324878","WorldCat Record")</f>
        <v/>
      </c>
      <c r="AU1053" t="inlineStr">
        <is>
          <t>810343597:eng</t>
        </is>
      </c>
      <c r="AV1053" t="inlineStr">
        <is>
          <t>18324878</t>
        </is>
      </c>
      <c r="AW1053" t="inlineStr">
        <is>
          <t>991005289689702656</t>
        </is>
      </c>
      <c r="AX1053" t="inlineStr">
        <is>
          <t>991005289689702656</t>
        </is>
      </c>
      <c r="AY1053" t="inlineStr">
        <is>
          <t>2257341420002656</t>
        </is>
      </c>
      <c r="AZ1053" t="inlineStr">
        <is>
          <t>BOOK</t>
        </is>
      </c>
      <c r="BB1053" t="inlineStr">
        <is>
          <t>9781555421267</t>
        </is>
      </c>
      <c r="BC1053" t="inlineStr">
        <is>
          <t>32285005477137</t>
        </is>
      </c>
      <c r="BD1053" t="inlineStr">
        <is>
          <t>893351050</t>
        </is>
      </c>
    </row>
    <row r="1054">
      <c r="A1054" t="inlineStr">
        <is>
          <t>No</t>
        </is>
      </c>
      <c r="B1054" t="inlineStr">
        <is>
          <t>LB2341 .B554 1994</t>
        </is>
      </c>
      <c r="C1054" t="inlineStr">
        <is>
          <t>0                      LB 2341000B  554         1994</t>
        </is>
      </c>
      <c r="D1054" t="inlineStr">
        <is>
          <t>Leadership by design : strengthening integrity in higher education / E. Grady Bogue.</t>
        </is>
      </c>
      <c r="F1054" t="inlineStr">
        <is>
          <t>No</t>
        </is>
      </c>
      <c r="G1054" t="inlineStr">
        <is>
          <t>1</t>
        </is>
      </c>
      <c r="H1054" t="inlineStr">
        <is>
          <t>No</t>
        </is>
      </c>
      <c r="I1054" t="inlineStr">
        <is>
          <t>No</t>
        </is>
      </c>
      <c r="J1054" t="inlineStr">
        <is>
          <t>0</t>
        </is>
      </c>
      <c r="K1054" t="inlineStr">
        <is>
          <t>Bogue, E. Grady (Ernest Grady), 1935-2013.</t>
        </is>
      </c>
      <c r="L1054" t="inlineStr">
        <is>
          <t>San Francisco : Jossey-Bass, c1994.</t>
        </is>
      </c>
      <c r="M1054" t="inlineStr">
        <is>
          <t>1994</t>
        </is>
      </c>
      <c r="N1054" t="inlineStr">
        <is>
          <t>1st ed.</t>
        </is>
      </c>
      <c r="O1054" t="inlineStr">
        <is>
          <t>eng</t>
        </is>
      </c>
      <c r="P1054" t="inlineStr">
        <is>
          <t>cau</t>
        </is>
      </c>
      <c r="Q1054" t="inlineStr">
        <is>
          <t>The Jossey-Bass higher and adult education series</t>
        </is>
      </c>
      <c r="R1054" t="inlineStr">
        <is>
          <t xml:space="preserve">LB </t>
        </is>
      </c>
      <c r="S1054" t="n">
        <v>2</v>
      </c>
      <c r="T1054" t="n">
        <v>2</v>
      </c>
      <c r="U1054" t="inlineStr">
        <is>
          <t>2003-12-05</t>
        </is>
      </c>
      <c r="V1054" t="inlineStr">
        <is>
          <t>2003-12-05</t>
        </is>
      </c>
      <c r="W1054" t="inlineStr">
        <is>
          <t>1996-01-10</t>
        </is>
      </c>
      <c r="X1054" t="inlineStr">
        <is>
          <t>1996-01-10</t>
        </is>
      </c>
      <c r="Y1054" t="n">
        <v>481</v>
      </c>
      <c r="Z1054" t="n">
        <v>417</v>
      </c>
      <c r="AA1054" t="n">
        <v>419</v>
      </c>
      <c r="AB1054" t="n">
        <v>3</v>
      </c>
      <c r="AC1054" t="n">
        <v>3</v>
      </c>
      <c r="AD1054" t="n">
        <v>17</v>
      </c>
      <c r="AE1054" t="n">
        <v>17</v>
      </c>
      <c r="AF1054" t="n">
        <v>8</v>
      </c>
      <c r="AG1054" t="n">
        <v>8</v>
      </c>
      <c r="AH1054" t="n">
        <v>3</v>
      </c>
      <c r="AI1054" t="n">
        <v>3</v>
      </c>
      <c r="AJ1054" t="n">
        <v>9</v>
      </c>
      <c r="AK1054" t="n">
        <v>9</v>
      </c>
      <c r="AL1054" t="n">
        <v>2</v>
      </c>
      <c r="AM1054" t="n">
        <v>2</v>
      </c>
      <c r="AN1054" t="n">
        <v>0</v>
      </c>
      <c r="AO1054" t="n">
        <v>0</v>
      </c>
      <c r="AP1054" t="inlineStr">
        <is>
          <t>No</t>
        </is>
      </c>
      <c r="AQ1054" t="inlineStr">
        <is>
          <t>Yes</t>
        </is>
      </c>
      <c r="AR1054">
        <f>HYPERLINK("http://catalog.hathitrust.org/Record/002908631","HathiTrust Record")</f>
        <v/>
      </c>
      <c r="AS1054">
        <f>HYPERLINK("https://creighton-primo.hosted.exlibrisgroup.com/primo-explore/search?tab=default_tab&amp;search_scope=EVERYTHING&amp;vid=01CRU&amp;lang=en_US&amp;offset=0&amp;query=any,contains,991002356609702656","Catalog Record")</f>
        <v/>
      </c>
      <c r="AT1054">
        <f>HYPERLINK("http://www.worldcat.org/oclc/30666213","WorldCat Record")</f>
        <v/>
      </c>
      <c r="AU1054" t="inlineStr">
        <is>
          <t>894288851:eng</t>
        </is>
      </c>
      <c r="AV1054" t="inlineStr">
        <is>
          <t>30666213</t>
        </is>
      </c>
      <c r="AW1054" t="inlineStr">
        <is>
          <t>991002356609702656</t>
        </is>
      </c>
      <c r="AX1054" t="inlineStr">
        <is>
          <t>991002356609702656</t>
        </is>
      </c>
      <c r="AY1054" t="inlineStr">
        <is>
          <t>2267691260002656</t>
        </is>
      </c>
      <c r="AZ1054" t="inlineStr">
        <is>
          <t>BOOK</t>
        </is>
      </c>
      <c r="BB1054" t="inlineStr">
        <is>
          <t>9780787900342</t>
        </is>
      </c>
      <c r="BC1054" t="inlineStr">
        <is>
          <t>32285002116522</t>
        </is>
      </c>
      <c r="BD1054" t="inlineStr">
        <is>
          <t>893716342</t>
        </is>
      </c>
    </row>
    <row r="1055">
      <c r="A1055" t="inlineStr">
        <is>
          <t>No</t>
        </is>
      </c>
      <c r="B1055" t="inlineStr">
        <is>
          <t>LB2341 .D66 1997</t>
        </is>
      </c>
      <c r="C1055" t="inlineStr">
        <is>
          <t>0                      LB 2341000D  66          1997</t>
        </is>
      </c>
      <c r="D1055" t="inlineStr">
        <is>
          <t>Improving the environment for learning : academic leaders talk about what works / Janet Donald.</t>
        </is>
      </c>
      <c r="F1055" t="inlineStr">
        <is>
          <t>No</t>
        </is>
      </c>
      <c r="G1055" t="inlineStr">
        <is>
          <t>1</t>
        </is>
      </c>
      <c r="H1055" t="inlineStr">
        <is>
          <t>No</t>
        </is>
      </c>
      <c r="I1055" t="inlineStr">
        <is>
          <t>No</t>
        </is>
      </c>
      <c r="J1055" t="inlineStr">
        <is>
          <t>0</t>
        </is>
      </c>
      <c r="K1055" t="inlineStr">
        <is>
          <t>Donald, Janet Gail, 1940-</t>
        </is>
      </c>
      <c r="L1055" t="inlineStr">
        <is>
          <t>San Francisco : Jossey-Bass Publishers, c1997.</t>
        </is>
      </c>
      <c r="M1055" t="inlineStr">
        <is>
          <t>1997</t>
        </is>
      </c>
      <c r="N1055" t="inlineStr">
        <is>
          <t>1st ed.</t>
        </is>
      </c>
      <c r="O1055" t="inlineStr">
        <is>
          <t>eng</t>
        </is>
      </c>
      <c r="P1055" t="inlineStr">
        <is>
          <t>cau</t>
        </is>
      </c>
      <c r="Q1055" t="inlineStr">
        <is>
          <t>The Jossey-Bass higher and adult education series</t>
        </is>
      </c>
      <c r="R1055" t="inlineStr">
        <is>
          <t xml:space="preserve">LB </t>
        </is>
      </c>
      <c r="S1055" t="n">
        <v>2</v>
      </c>
      <c r="T1055" t="n">
        <v>2</v>
      </c>
      <c r="U1055" t="inlineStr">
        <is>
          <t>2004-06-14</t>
        </is>
      </c>
      <c r="V1055" t="inlineStr">
        <is>
          <t>2004-06-14</t>
        </is>
      </c>
      <c r="W1055" t="inlineStr">
        <is>
          <t>1997-05-04</t>
        </is>
      </c>
      <c r="X1055" t="inlineStr">
        <is>
          <t>1997-05-04</t>
        </is>
      </c>
      <c r="Y1055" t="n">
        <v>668</v>
      </c>
      <c r="Z1055" t="n">
        <v>581</v>
      </c>
      <c r="AA1055" t="n">
        <v>589</v>
      </c>
      <c r="AB1055" t="n">
        <v>5</v>
      </c>
      <c r="AC1055" t="n">
        <v>5</v>
      </c>
      <c r="AD1055" t="n">
        <v>25</v>
      </c>
      <c r="AE1055" t="n">
        <v>25</v>
      </c>
      <c r="AF1055" t="n">
        <v>10</v>
      </c>
      <c r="AG1055" t="n">
        <v>10</v>
      </c>
      <c r="AH1055" t="n">
        <v>5</v>
      </c>
      <c r="AI1055" t="n">
        <v>5</v>
      </c>
      <c r="AJ1055" t="n">
        <v>13</v>
      </c>
      <c r="AK1055" t="n">
        <v>13</v>
      </c>
      <c r="AL1055" t="n">
        <v>4</v>
      </c>
      <c r="AM1055" t="n">
        <v>4</v>
      </c>
      <c r="AN1055" t="n">
        <v>1</v>
      </c>
      <c r="AO1055" t="n">
        <v>1</v>
      </c>
      <c r="AP1055" t="inlineStr">
        <is>
          <t>No</t>
        </is>
      </c>
      <c r="AQ1055" t="inlineStr">
        <is>
          <t>Yes</t>
        </is>
      </c>
      <c r="AR1055">
        <f>HYPERLINK("http://catalog.hathitrust.org/Record/003152333","HathiTrust Record")</f>
        <v/>
      </c>
      <c r="AS1055">
        <f>HYPERLINK("https://creighton-primo.hosted.exlibrisgroup.com/primo-explore/search?tab=default_tab&amp;search_scope=EVERYTHING&amp;vid=01CRU&amp;lang=en_US&amp;offset=0&amp;query=any,contains,991002729159702656","Catalog Record")</f>
        <v/>
      </c>
      <c r="AT1055">
        <f>HYPERLINK("http://www.worldcat.org/oclc/35792281","WorldCat Record")</f>
        <v/>
      </c>
      <c r="AU1055" t="inlineStr">
        <is>
          <t>905401663:eng</t>
        </is>
      </c>
      <c r="AV1055" t="inlineStr">
        <is>
          <t>35792281</t>
        </is>
      </c>
      <c r="AW1055" t="inlineStr">
        <is>
          <t>991002729159702656</t>
        </is>
      </c>
      <c r="AX1055" t="inlineStr">
        <is>
          <t>991002729159702656</t>
        </is>
      </c>
      <c r="AY1055" t="inlineStr">
        <is>
          <t>2260903210002656</t>
        </is>
      </c>
      <c r="AZ1055" t="inlineStr">
        <is>
          <t>BOOK</t>
        </is>
      </c>
      <c r="BB1055" t="inlineStr">
        <is>
          <t>9780787908324</t>
        </is>
      </c>
      <c r="BC1055" t="inlineStr">
        <is>
          <t>32285002543055</t>
        </is>
      </c>
      <c r="BD1055" t="inlineStr">
        <is>
          <t>893511112</t>
        </is>
      </c>
    </row>
    <row r="1056">
      <c r="A1056" t="inlineStr">
        <is>
          <t>No</t>
        </is>
      </c>
      <c r="B1056" t="inlineStr">
        <is>
          <t>LB2341 .H523 1998</t>
        </is>
      </c>
      <c r="C1056" t="inlineStr">
        <is>
          <t>0                      LB 2341000H  523         1998</t>
        </is>
      </c>
      <c r="D1056" t="inlineStr">
        <is>
          <t>Higher education and school reform / P. Michael Timpane, Lori S. White, editors.</t>
        </is>
      </c>
      <c r="F1056" t="inlineStr">
        <is>
          <t>No</t>
        </is>
      </c>
      <c r="G1056" t="inlineStr">
        <is>
          <t>1</t>
        </is>
      </c>
      <c r="H1056" t="inlineStr">
        <is>
          <t>No</t>
        </is>
      </c>
      <c r="I1056" t="inlineStr">
        <is>
          <t>No</t>
        </is>
      </c>
      <c r="J1056" t="inlineStr">
        <is>
          <t>0</t>
        </is>
      </c>
      <c r="L1056" t="inlineStr">
        <is>
          <t>San Francisco : Jossey-Bass, c1998.</t>
        </is>
      </c>
      <c r="M1056" t="inlineStr">
        <is>
          <t>1998</t>
        </is>
      </c>
      <c r="N1056" t="inlineStr">
        <is>
          <t>1st ed.</t>
        </is>
      </c>
      <c r="O1056" t="inlineStr">
        <is>
          <t>eng</t>
        </is>
      </c>
      <c r="P1056" t="inlineStr">
        <is>
          <t>cau</t>
        </is>
      </c>
      <c r="Q1056" t="inlineStr">
        <is>
          <t>Jossey-Bass education series</t>
        </is>
      </c>
      <c r="R1056" t="inlineStr">
        <is>
          <t xml:space="preserve">LB </t>
        </is>
      </c>
      <c r="S1056" t="n">
        <v>2</v>
      </c>
      <c r="T1056" t="n">
        <v>2</v>
      </c>
      <c r="U1056" t="inlineStr">
        <is>
          <t>2001-05-14</t>
        </is>
      </c>
      <c r="V1056" t="inlineStr">
        <is>
          <t>2001-05-14</t>
        </is>
      </c>
      <c r="W1056" t="inlineStr">
        <is>
          <t>1998-07-27</t>
        </is>
      </c>
      <c r="X1056" t="inlineStr">
        <is>
          <t>1998-07-27</t>
        </is>
      </c>
      <c r="Y1056" t="n">
        <v>302</v>
      </c>
      <c r="Z1056" t="n">
        <v>269</v>
      </c>
      <c r="AA1056" t="n">
        <v>276</v>
      </c>
      <c r="AB1056" t="n">
        <v>3</v>
      </c>
      <c r="AC1056" t="n">
        <v>3</v>
      </c>
      <c r="AD1056" t="n">
        <v>10</v>
      </c>
      <c r="AE1056" t="n">
        <v>10</v>
      </c>
      <c r="AF1056" t="n">
        <v>1</v>
      </c>
      <c r="AG1056" t="n">
        <v>1</v>
      </c>
      <c r="AH1056" t="n">
        <v>1</v>
      </c>
      <c r="AI1056" t="n">
        <v>1</v>
      </c>
      <c r="AJ1056" t="n">
        <v>7</v>
      </c>
      <c r="AK1056" t="n">
        <v>7</v>
      </c>
      <c r="AL1056" t="n">
        <v>2</v>
      </c>
      <c r="AM1056" t="n">
        <v>2</v>
      </c>
      <c r="AN1056" t="n">
        <v>0</v>
      </c>
      <c r="AO1056" t="n">
        <v>0</v>
      </c>
      <c r="AP1056" t="inlineStr">
        <is>
          <t>No</t>
        </is>
      </c>
      <c r="AQ1056" t="inlineStr">
        <is>
          <t>Yes</t>
        </is>
      </c>
      <c r="AR1056">
        <f>HYPERLINK("http://catalog.hathitrust.org/Record/003992906","HathiTrust Record")</f>
        <v/>
      </c>
      <c r="AS1056">
        <f>HYPERLINK("https://creighton-primo.hosted.exlibrisgroup.com/primo-explore/search?tab=default_tab&amp;search_scope=EVERYTHING&amp;vid=01CRU&amp;lang=en_US&amp;offset=0&amp;query=any,contains,991002910639702656","Catalog Record")</f>
        <v/>
      </c>
      <c r="AT1056">
        <f>HYPERLINK("http://www.worldcat.org/oclc/38485855","WorldCat Record")</f>
        <v/>
      </c>
      <c r="AU1056" t="inlineStr">
        <is>
          <t>476195942:eng</t>
        </is>
      </c>
      <c r="AV1056" t="inlineStr">
        <is>
          <t>38485855</t>
        </is>
      </c>
      <c r="AW1056" t="inlineStr">
        <is>
          <t>991002910639702656</t>
        </is>
      </c>
      <c r="AX1056" t="inlineStr">
        <is>
          <t>991002910639702656</t>
        </is>
      </c>
      <c r="AY1056" t="inlineStr">
        <is>
          <t>2269642740002656</t>
        </is>
      </c>
      <c r="AZ1056" t="inlineStr">
        <is>
          <t>BOOK</t>
        </is>
      </c>
      <c r="BB1056" t="inlineStr">
        <is>
          <t>9780787940621</t>
        </is>
      </c>
      <c r="BC1056" t="inlineStr">
        <is>
          <t>32285003446241</t>
        </is>
      </c>
      <c r="BD1056" t="inlineStr">
        <is>
          <t>893445442</t>
        </is>
      </c>
    </row>
    <row r="1057">
      <c r="A1057" t="inlineStr">
        <is>
          <t>No</t>
        </is>
      </c>
      <c r="B1057" t="inlineStr">
        <is>
          <t>LB2341 .I532 1993</t>
        </is>
      </c>
      <c r="C1057" t="inlineStr">
        <is>
          <t>0                      LB 2341000I  532         1993</t>
        </is>
      </c>
      <c r="D1057" t="inlineStr">
        <is>
          <t>Governing independent colleges and universities : a handbook for trustees, chief executives, and other campus leaders / Richard T. Ingram and associates ; foreword by Clark Kerr.</t>
        </is>
      </c>
      <c r="F1057" t="inlineStr">
        <is>
          <t>No</t>
        </is>
      </c>
      <c r="G1057" t="inlineStr">
        <is>
          <t>1</t>
        </is>
      </c>
      <c r="H1057" t="inlineStr">
        <is>
          <t>No</t>
        </is>
      </c>
      <c r="I1057" t="inlineStr">
        <is>
          <t>No</t>
        </is>
      </c>
      <c r="J1057" t="inlineStr">
        <is>
          <t>0</t>
        </is>
      </c>
      <c r="K1057" t="inlineStr">
        <is>
          <t>Ingram, Richard T., 1941-</t>
        </is>
      </c>
      <c r="L1057" t="inlineStr">
        <is>
          <t>San Francisco : Jossey-Bass Publishers, c1993.</t>
        </is>
      </c>
      <c r="M1057" t="inlineStr">
        <is>
          <t>1993</t>
        </is>
      </c>
      <c r="N1057" t="inlineStr">
        <is>
          <t>1st ed.</t>
        </is>
      </c>
      <c r="O1057" t="inlineStr">
        <is>
          <t>eng</t>
        </is>
      </c>
      <c r="P1057" t="inlineStr">
        <is>
          <t>cau</t>
        </is>
      </c>
      <c r="Q1057" t="inlineStr">
        <is>
          <t>A Joint publication in the Jossey-Bass higher and adult education series and the Jossey-Bass nonprofit sector series</t>
        </is>
      </c>
      <c r="R1057" t="inlineStr">
        <is>
          <t xml:space="preserve">LB </t>
        </is>
      </c>
      <c r="S1057" t="n">
        <v>1</v>
      </c>
      <c r="T1057" t="n">
        <v>1</v>
      </c>
      <c r="U1057" t="inlineStr">
        <is>
          <t>2010-01-05</t>
        </is>
      </c>
      <c r="V1057" t="inlineStr">
        <is>
          <t>2010-01-05</t>
        </is>
      </c>
      <c r="W1057" t="inlineStr">
        <is>
          <t>2008-03-26</t>
        </is>
      </c>
      <c r="X1057" t="inlineStr">
        <is>
          <t>2008-03-26</t>
        </is>
      </c>
      <c r="Y1057" t="n">
        <v>337</v>
      </c>
      <c r="Z1057" t="n">
        <v>318</v>
      </c>
      <c r="AA1057" t="n">
        <v>327</v>
      </c>
      <c r="AB1057" t="n">
        <v>2</v>
      </c>
      <c r="AC1057" t="n">
        <v>2</v>
      </c>
      <c r="AD1057" t="n">
        <v>15</v>
      </c>
      <c r="AE1057" t="n">
        <v>15</v>
      </c>
      <c r="AF1057" t="n">
        <v>7</v>
      </c>
      <c r="AG1057" t="n">
        <v>7</v>
      </c>
      <c r="AH1057" t="n">
        <v>3</v>
      </c>
      <c r="AI1057" t="n">
        <v>3</v>
      </c>
      <c r="AJ1057" t="n">
        <v>9</v>
      </c>
      <c r="AK1057" t="n">
        <v>9</v>
      </c>
      <c r="AL1057" t="n">
        <v>1</v>
      </c>
      <c r="AM1057" t="n">
        <v>1</v>
      </c>
      <c r="AN1057" t="n">
        <v>0</v>
      </c>
      <c r="AO1057" t="n">
        <v>0</v>
      </c>
      <c r="AP1057" t="inlineStr">
        <is>
          <t>No</t>
        </is>
      </c>
      <c r="AQ1057" t="inlineStr">
        <is>
          <t>Yes</t>
        </is>
      </c>
      <c r="AR1057">
        <f>HYPERLINK("http://catalog.hathitrust.org/Record/002791924","HathiTrust Record")</f>
        <v/>
      </c>
      <c r="AS1057">
        <f>HYPERLINK("https://creighton-primo.hosted.exlibrisgroup.com/primo-explore/search?tab=default_tab&amp;search_scope=EVERYTHING&amp;vid=01CRU&amp;lang=en_US&amp;offset=0&amp;query=any,contains,991005197589702656","Catalog Record")</f>
        <v/>
      </c>
      <c r="AT1057">
        <f>HYPERLINK("http://www.worldcat.org/oclc/27975292","WorldCat Record")</f>
        <v/>
      </c>
      <c r="AU1057" t="inlineStr">
        <is>
          <t>3857365924:eng</t>
        </is>
      </c>
      <c r="AV1057" t="inlineStr">
        <is>
          <t>27975292</t>
        </is>
      </c>
      <c r="AW1057" t="inlineStr">
        <is>
          <t>991005197589702656</t>
        </is>
      </c>
      <c r="AX1057" t="inlineStr">
        <is>
          <t>991005197589702656</t>
        </is>
      </c>
      <c r="AY1057" t="inlineStr">
        <is>
          <t>2262356160002656</t>
        </is>
      </c>
      <c r="AZ1057" t="inlineStr">
        <is>
          <t>BOOK</t>
        </is>
      </c>
      <c r="BB1057" t="inlineStr">
        <is>
          <t>9781555425678</t>
        </is>
      </c>
      <c r="BC1057" t="inlineStr">
        <is>
          <t>32285005398721</t>
        </is>
      </c>
      <c r="BD1057" t="inlineStr">
        <is>
          <t>893619624</t>
        </is>
      </c>
    </row>
    <row r="1058">
      <c r="A1058" t="inlineStr">
        <is>
          <t>No</t>
        </is>
      </c>
      <c r="B1058" t="inlineStr">
        <is>
          <t>LB2341 .K35 1999</t>
        </is>
      </c>
      <c r="C1058" t="inlineStr">
        <is>
          <t>0                      LB 2341000K  35          1999</t>
        </is>
      </c>
      <c r="D1058" t="inlineStr">
        <is>
          <t>Dancing with the devil : information technology and the new competition in higher education / Richard N. Katz and Associates.</t>
        </is>
      </c>
      <c r="F1058" t="inlineStr">
        <is>
          <t>No</t>
        </is>
      </c>
      <c r="G1058" t="inlineStr">
        <is>
          <t>1</t>
        </is>
      </c>
      <c r="H1058" t="inlineStr">
        <is>
          <t>No</t>
        </is>
      </c>
      <c r="I1058" t="inlineStr">
        <is>
          <t>No</t>
        </is>
      </c>
      <c r="J1058" t="inlineStr">
        <is>
          <t>0</t>
        </is>
      </c>
      <c r="K1058" t="inlineStr">
        <is>
          <t>Katz, Richard N.</t>
        </is>
      </c>
      <c r="L1058" t="inlineStr">
        <is>
          <t>San Francisco, Calif. : Jossey-Bass Publishers, c1999.</t>
        </is>
      </c>
      <c r="M1058" t="inlineStr">
        <is>
          <t>1999</t>
        </is>
      </c>
      <c r="N1058" t="inlineStr">
        <is>
          <t>1st ed.</t>
        </is>
      </c>
      <c r="O1058" t="inlineStr">
        <is>
          <t>eng</t>
        </is>
      </c>
      <c r="P1058" t="inlineStr">
        <is>
          <t>cau</t>
        </is>
      </c>
      <c r="Q1058" t="inlineStr">
        <is>
          <t>The Jossey-Bass higher and adult education series</t>
        </is>
      </c>
      <c r="R1058" t="inlineStr">
        <is>
          <t xml:space="preserve">LB </t>
        </is>
      </c>
      <c r="S1058" t="n">
        <v>3</v>
      </c>
      <c r="T1058" t="n">
        <v>3</v>
      </c>
      <c r="U1058" t="inlineStr">
        <is>
          <t>2007-02-16</t>
        </is>
      </c>
      <c r="V1058" t="inlineStr">
        <is>
          <t>2007-02-16</t>
        </is>
      </c>
      <c r="W1058" t="inlineStr">
        <is>
          <t>1999-02-17</t>
        </is>
      </c>
      <c r="X1058" t="inlineStr">
        <is>
          <t>1999-02-17</t>
        </is>
      </c>
      <c r="Y1058" t="n">
        <v>803</v>
      </c>
      <c r="Z1058" t="n">
        <v>684</v>
      </c>
      <c r="AA1058" t="n">
        <v>1583</v>
      </c>
      <c r="AB1058" t="n">
        <v>9</v>
      </c>
      <c r="AC1058" t="n">
        <v>10</v>
      </c>
      <c r="AD1058" t="n">
        <v>40</v>
      </c>
      <c r="AE1058" t="n">
        <v>51</v>
      </c>
      <c r="AF1058" t="n">
        <v>17</v>
      </c>
      <c r="AG1058" t="n">
        <v>24</v>
      </c>
      <c r="AH1058" t="n">
        <v>8</v>
      </c>
      <c r="AI1058" t="n">
        <v>9</v>
      </c>
      <c r="AJ1058" t="n">
        <v>14</v>
      </c>
      <c r="AK1058" t="n">
        <v>19</v>
      </c>
      <c r="AL1058" t="n">
        <v>8</v>
      </c>
      <c r="AM1058" t="n">
        <v>8</v>
      </c>
      <c r="AN1058" t="n">
        <v>2</v>
      </c>
      <c r="AO1058" t="n">
        <v>2</v>
      </c>
      <c r="AP1058" t="inlineStr">
        <is>
          <t>No</t>
        </is>
      </c>
      <c r="AQ1058" t="inlineStr">
        <is>
          <t>Yes</t>
        </is>
      </c>
      <c r="AR1058">
        <f>HYPERLINK("http://catalog.hathitrust.org/Record/004030495","HathiTrust Record")</f>
        <v/>
      </c>
      <c r="AS1058">
        <f>HYPERLINK("https://creighton-primo.hosted.exlibrisgroup.com/primo-explore/search?tab=default_tab&amp;search_scope=EVERYTHING&amp;vid=01CRU&amp;lang=en_US&amp;offset=0&amp;query=any,contains,991005429419702656","Catalog Record")</f>
        <v/>
      </c>
      <c r="AT1058">
        <f>HYPERLINK("http://www.worldcat.org/oclc/39756780","WorldCat Record")</f>
        <v/>
      </c>
      <c r="AU1058" t="inlineStr">
        <is>
          <t>799607605:eng</t>
        </is>
      </c>
      <c r="AV1058" t="inlineStr">
        <is>
          <t>39756780</t>
        </is>
      </c>
      <c r="AW1058" t="inlineStr">
        <is>
          <t>991005429419702656</t>
        </is>
      </c>
      <c r="AX1058" t="inlineStr">
        <is>
          <t>991005429419702656</t>
        </is>
      </c>
      <c r="AY1058" t="inlineStr">
        <is>
          <t>2260663670002656</t>
        </is>
      </c>
      <c r="AZ1058" t="inlineStr">
        <is>
          <t>BOOK</t>
        </is>
      </c>
      <c r="BB1058" t="inlineStr">
        <is>
          <t>9780787946951</t>
        </is>
      </c>
      <c r="BC1058" t="inlineStr">
        <is>
          <t>32285003526166</t>
        </is>
      </c>
      <c r="BD1058" t="inlineStr">
        <is>
          <t>893236824</t>
        </is>
      </c>
    </row>
    <row r="1059">
      <c r="A1059" t="inlineStr">
        <is>
          <t>No</t>
        </is>
      </c>
      <c r="B1059" t="inlineStr">
        <is>
          <t>LB2341 .N435 1997</t>
        </is>
      </c>
      <c r="C1059" t="inlineStr">
        <is>
          <t>0                      LB 2341000N  435         1997</t>
        </is>
      </c>
      <c r="D1059" t="inlineStr">
        <is>
          <t>New models for higher education / The Stanford Forum for Higher Education Futures ; Joel W. Meyerson and William F. Massy, editors.</t>
        </is>
      </c>
      <c r="F1059" t="inlineStr">
        <is>
          <t>No</t>
        </is>
      </c>
      <c r="G1059" t="inlineStr">
        <is>
          <t>1</t>
        </is>
      </c>
      <c r="H1059" t="inlineStr">
        <is>
          <t>No</t>
        </is>
      </c>
      <c r="I1059" t="inlineStr">
        <is>
          <t>No</t>
        </is>
      </c>
      <c r="J1059" t="inlineStr">
        <is>
          <t>0</t>
        </is>
      </c>
      <c r="L1059" t="inlineStr">
        <is>
          <t>Princeton, N.J. : Peterson's, c1997.</t>
        </is>
      </c>
      <c r="M1059" t="inlineStr">
        <is>
          <t>1997</t>
        </is>
      </c>
      <c r="O1059" t="inlineStr">
        <is>
          <t>eng</t>
        </is>
      </c>
      <c r="P1059" t="inlineStr">
        <is>
          <t>nju</t>
        </is>
      </c>
      <c r="R1059" t="inlineStr">
        <is>
          <t xml:space="preserve">LB </t>
        </is>
      </c>
      <c r="S1059" t="n">
        <v>6</v>
      </c>
      <c r="T1059" t="n">
        <v>6</v>
      </c>
      <c r="U1059" t="inlineStr">
        <is>
          <t>2002-10-08</t>
        </is>
      </c>
      <c r="V1059" t="inlineStr">
        <is>
          <t>2002-10-08</t>
        </is>
      </c>
      <c r="W1059" t="inlineStr">
        <is>
          <t>2000-01-11</t>
        </is>
      </c>
      <c r="X1059" t="inlineStr">
        <is>
          <t>2000-01-11</t>
        </is>
      </c>
      <c r="Y1059" t="n">
        <v>37</v>
      </c>
      <c r="Z1059" t="n">
        <v>34</v>
      </c>
      <c r="AA1059" t="n">
        <v>34</v>
      </c>
      <c r="AB1059" t="n">
        <v>2</v>
      </c>
      <c r="AC1059" t="n">
        <v>2</v>
      </c>
      <c r="AD1059" t="n">
        <v>2</v>
      </c>
      <c r="AE1059" t="n">
        <v>2</v>
      </c>
      <c r="AF1059" t="n">
        <v>0</v>
      </c>
      <c r="AG1059" t="n">
        <v>0</v>
      </c>
      <c r="AH1059" t="n">
        <v>0</v>
      </c>
      <c r="AI1059" t="n">
        <v>0</v>
      </c>
      <c r="AJ1059" t="n">
        <v>1</v>
      </c>
      <c r="AK1059" t="n">
        <v>1</v>
      </c>
      <c r="AL1059" t="n">
        <v>1</v>
      </c>
      <c r="AM1059" t="n">
        <v>1</v>
      </c>
      <c r="AN1059" t="n">
        <v>0</v>
      </c>
      <c r="AO1059" t="n">
        <v>0</v>
      </c>
      <c r="AP1059" t="inlineStr">
        <is>
          <t>No</t>
        </is>
      </c>
      <c r="AQ1059" t="inlineStr">
        <is>
          <t>No</t>
        </is>
      </c>
      <c r="AS1059">
        <f>HYPERLINK("https://creighton-primo.hosted.exlibrisgroup.com/primo-explore/search?tab=default_tab&amp;search_scope=EVERYTHING&amp;vid=01CRU&amp;lang=en_US&amp;offset=0&amp;query=any,contains,991002880209702656","Catalog Record")</f>
        <v/>
      </c>
      <c r="AT1059">
        <f>HYPERLINK("http://www.worldcat.org/oclc/37956896","WorldCat Record")</f>
        <v/>
      </c>
      <c r="AU1059" t="inlineStr">
        <is>
          <t>45328161:eng</t>
        </is>
      </c>
      <c r="AV1059" t="inlineStr">
        <is>
          <t>37956896</t>
        </is>
      </c>
      <c r="AW1059" t="inlineStr">
        <is>
          <t>991002880209702656</t>
        </is>
      </c>
      <c r="AX1059" t="inlineStr">
        <is>
          <t>991002880209702656</t>
        </is>
      </c>
      <c r="AY1059" t="inlineStr">
        <is>
          <t>2259167410002656</t>
        </is>
      </c>
      <c r="AZ1059" t="inlineStr">
        <is>
          <t>BOOK</t>
        </is>
      </c>
      <c r="BB1059" t="inlineStr">
        <is>
          <t>9781560798088</t>
        </is>
      </c>
      <c r="BC1059" t="inlineStr">
        <is>
          <t>32285003639498</t>
        </is>
      </c>
      <c r="BD1059" t="inlineStr">
        <is>
          <t>893880528</t>
        </is>
      </c>
    </row>
    <row r="1060">
      <c r="A1060" t="inlineStr">
        <is>
          <t>No</t>
        </is>
      </c>
      <c r="B1060" t="inlineStr">
        <is>
          <t>LB2341 .S3188 1993</t>
        </is>
      </c>
      <c r="C1060" t="inlineStr">
        <is>
          <t>0                      LB 2341000S  3188        1993</t>
        </is>
      </c>
      <c r="D1060" t="inlineStr">
        <is>
          <t>The department chair : new roles, responsibilities and challenges / by Alan T. Seagren, John W. Creswell, and Daniel W. Wheeler ; prepared by ERIC Clearinghouse on Higher Education, the George Washington University in cooperation with Association for the Study of Higher Education.</t>
        </is>
      </c>
      <c r="F1060" t="inlineStr">
        <is>
          <t>No</t>
        </is>
      </c>
      <c r="G1060" t="inlineStr">
        <is>
          <t>1</t>
        </is>
      </c>
      <c r="H1060" t="inlineStr">
        <is>
          <t>No</t>
        </is>
      </c>
      <c r="I1060" t="inlineStr">
        <is>
          <t>No</t>
        </is>
      </c>
      <c r="J1060" t="inlineStr">
        <is>
          <t>0</t>
        </is>
      </c>
      <c r="K1060" t="inlineStr">
        <is>
          <t>Seagren, Alan T., 1932-</t>
        </is>
      </c>
      <c r="L1060" t="inlineStr">
        <is>
          <t>Washington, DC : School of Education and Human Development, George Washington University, 1993.</t>
        </is>
      </c>
      <c r="M1060" t="inlineStr">
        <is>
          <t>1993</t>
        </is>
      </c>
      <c r="O1060" t="inlineStr">
        <is>
          <t>eng</t>
        </is>
      </c>
      <c r="P1060" t="inlineStr">
        <is>
          <t>dcu</t>
        </is>
      </c>
      <c r="Q1060" t="inlineStr">
        <is>
          <t>ASHE-ERIC higher education report, 0884-0040 ; no. 1, 1993</t>
        </is>
      </c>
      <c r="R1060" t="inlineStr">
        <is>
          <t xml:space="preserve">LB </t>
        </is>
      </c>
      <c r="S1060" t="n">
        <v>2</v>
      </c>
      <c r="T1060" t="n">
        <v>2</v>
      </c>
      <c r="U1060" t="inlineStr">
        <is>
          <t>1997-06-26</t>
        </is>
      </c>
      <c r="V1060" t="inlineStr">
        <is>
          <t>1997-06-26</t>
        </is>
      </c>
      <c r="W1060" t="inlineStr">
        <is>
          <t>1994-04-14</t>
        </is>
      </c>
      <c r="X1060" t="inlineStr">
        <is>
          <t>1994-04-14</t>
        </is>
      </c>
      <c r="Y1060" t="n">
        <v>540</v>
      </c>
      <c r="Z1060" t="n">
        <v>513</v>
      </c>
      <c r="AA1060" t="n">
        <v>523</v>
      </c>
      <c r="AB1060" t="n">
        <v>5</v>
      </c>
      <c r="AC1060" t="n">
        <v>5</v>
      </c>
      <c r="AD1060" t="n">
        <v>25</v>
      </c>
      <c r="AE1060" t="n">
        <v>25</v>
      </c>
      <c r="AF1060" t="n">
        <v>11</v>
      </c>
      <c r="AG1060" t="n">
        <v>11</v>
      </c>
      <c r="AH1060" t="n">
        <v>5</v>
      </c>
      <c r="AI1060" t="n">
        <v>5</v>
      </c>
      <c r="AJ1060" t="n">
        <v>12</v>
      </c>
      <c r="AK1060" t="n">
        <v>12</v>
      </c>
      <c r="AL1060" t="n">
        <v>3</v>
      </c>
      <c r="AM1060" t="n">
        <v>3</v>
      </c>
      <c r="AN1060" t="n">
        <v>1</v>
      </c>
      <c r="AO1060" t="n">
        <v>1</v>
      </c>
      <c r="AP1060" t="inlineStr">
        <is>
          <t>No</t>
        </is>
      </c>
      <c r="AQ1060" t="inlineStr">
        <is>
          <t>Yes</t>
        </is>
      </c>
      <c r="AR1060">
        <f>HYPERLINK("http://catalog.hathitrust.org/Record/002737141","HathiTrust Record")</f>
        <v/>
      </c>
      <c r="AS1060">
        <f>HYPERLINK("https://creighton-primo.hosted.exlibrisgroup.com/primo-explore/search?tab=default_tab&amp;search_scope=EVERYTHING&amp;vid=01CRU&amp;lang=en_US&amp;offset=0&amp;query=any,contains,991002261579702656","Catalog Record")</f>
        <v/>
      </c>
      <c r="AT1060">
        <f>HYPERLINK("http://www.worldcat.org/oclc/29329726","WorldCat Record")</f>
        <v/>
      </c>
      <c r="AU1060" t="inlineStr">
        <is>
          <t>918637457:eng</t>
        </is>
      </c>
      <c r="AV1060" t="inlineStr">
        <is>
          <t>29329726</t>
        </is>
      </c>
      <c r="AW1060" t="inlineStr">
        <is>
          <t>991002261579702656</t>
        </is>
      </c>
      <c r="AX1060" t="inlineStr">
        <is>
          <t>991002261579702656</t>
        </is>
      </c>
      <c r="AY1060" t="inlineStr">
        <is>
          <t>2258497930002656</t>
        </is>
      </c>
      <c r="AZ1060" t="inlineStr">
        <is>
          <t>BOOK</t>
        </is>
      </c>
      <c r="BB1060" t="inlineStr">
        <is>
          <t>9781878380227</t>
        </is>
      </c>
      <c r="BC1060" t="inlineStr">
        <is>
          <t>32285001876258</t>
        </is>
      </c>
      <c r="BD1060" t="inlineStr">
        <is>
          <t>893510518</t>
        </is>
      </c>
    </row>
    <row r="1061">
      <c r="A1061" t="inlineStr">
        <is>
          <t>No</t>
        </is>
      </c>
      <c r="B1061" t="inlineStr">
        <is>
          <t>LB2341 .S76</t>
        </is>
      </c>
      <c r="C1061" t="inlineStr">
        <is>
          <t>0                      LB 2341000S  76</t>
        </is>
      </c>
      <c r="D1061" t="inlineStr">
        <is>
          <t>The many faces of educational consumerism / Joan S. Stark and associates.</t>
        </is>
      </c>
      <c r="F1061" t="inlineStr">
        <is>
          <t>No</t>
        </is>
      </c>
      <c r="G1061" t="inlineStr">
        <is>
          <t>1</t>
        </is>
      </c>
      <c r="H1061" t="inlineStr">
        <is>
          <t>No</t>
        </is>
      </c>
      <c r="I1061" t="inlineStr">
        <is>
          <t>No</t>
        </is>
      </c>
      <c r="J1061" t="inlineStr">
        <is>
          <t>0</t>
        </is>
      </c>
      <c r="K1061" t="inlineStr">
        <is>
          <t>Stark, Joan S.</t>
        </is>
      </c>
      <c r="L1061" t="inlineStr">
        <is>
          <t>Lexington, Mass. : Lexington Books, c1977.</t>
        </is>
      </c>
      <c r="M1061" t="inlineStr">
        <is>
          <t>1977</t>
        </is>
      </c>
      <c r="O1061" t="inlineStr">
        <is>
          <t>eng</t>
        </is>
      </c>
      <c r="P1061" t="inlineStr">
        <is>
          <t>mau</t>
        </is>
      </c>
      <c r="R1061" t="inlineStr">
        <is>
          <t xml:space="preserve">LB </t>
        </is>
      </c>
      <c r="S1061" t="n">
        <v>11</v>
      </c>
      <c r="T1061" t="n">
        <v>11</v>
      </c>
      <c r="U1061" t="inlineStr">
        <is>
          <t>2010-03-04</t>
        </is>
      </c>
      <c r="V1061" t="inlineStr">
        <is>
          <t>2010-03-04</t>
        </is>
      </c>
      <c r="W1061" t="inlineStr">
        <is>
          <t>1997-05-16</t>
        </is>
      </c>
      <c r="X1061" t="inlineStr">
        <is>
          <t>1997-05-16</t>
        </is>
      </c>
      <c r="Y1061" t="n">
        <v>337</v>
      </c>
      <c r="Z1061" t="n">
        <v>300</v>
      </c>
      <c r="AA1061" t="n">
        <v>301</v>
      </c>
      <c r="AB1061" t="n">
        <v>2</v>
      </c>
      <c r="AC1061" t="n">
        <v>2</v>
      </c>
      <c r="AD1061" t="n">
        <v>8</v>
      </c>
      <c r="AE1061" t="n">
        <v>8</v>
      </c>
      <c r="AF1061" t="n">
        <v>1</v>
      </c>
      <c r="AG1061" t="n">
        <v>1</v>
      </c>
      <c r="AH1061" t="n">
        <v>2</v>
      </c>
      <c r="AI1061" t="n">
        <v>2</v>
      </c>
      <c r="AJ1061" t="n">
        <v>4</v>
      </c>
      <c r="AK1061" t="n">
        <v>4</v>
      </c>
      <c r="AL1061" t="n">
        <v>1</v>
      </c>
      <c r="AM1061" t="n">
        <v>1</v>
      </c>
      <c r="AN1061" t="n">
        <v>0</v>
      </c>
      <c r="AO1061" t="n">
        <v>0</v>
      </c>
      <c r="AP1061" t="inlineStr">
        <is>
          <t>No</t>
        </is>
      </c>
      <c r="AQ1061" t="inlineStr">
        <is>
          <t>No</t>
        </is>
      </c>
      <c r="AS1061">
        <f>HYPERLINK("https://creighton-primo.hosted.exlibrisgroup.com/primo-explore/search?tab=default_tab&amp;search_scope=EVERYTHING&amp;vid=01CRU&amp;lang=en_US&amp;offset=0&amp;query=any,contains,991004364759702656","Catalog Record")</f>
        <v/>
      </c>
      <c r="AT1061">
        <f>HYPERLINK("http://www.worldcat.org/oclc/3169022","WorldCat Record")</f>
        <v/>
      </c>
      <c r="AU1061" t="inlineStr">
        <is>
          <t>8168021:eng</t>
        </is>
      </c>
      <c r="AV1061" t="inlineStr">
        <is>
          <t>3169022</t>
        </is>
      </c>
      <c r="AW1061" t="inlineStr">
        <is>
          <t>991004364759702656</t>
        </is>
      </c>
      <c r="AX1061" t="inlineStr">
        <is>
          <t>991004364759702656</t>
        </is>
      </c>
      <c r="AY1061" t="inlineStr">
        <is>
          <t>2263106920002656</t>
        </is>
      </c>
      <c r="AZ1061" t="inlineStr">
        <is>
          <t>BOOK</t>
        </is>
      </c>
      <c r="BB1061" t="inlineStr">
        <is>
          <t>9780669016314</t>
        </is>
      </c>
      <c r="BC1061" t="inlineStr">
        <is>
          <t>32285002668563</t>
        </is>
      </c>
      <c r="BD1061" t="inlineStr">
        <is>
          <t>893894902</t>
        </is>
      </c>
    </row>
    <row r="1062">
      <c r="A1062" t="inlineStr">
        <is>
          <t>No</t>
        </is>
      </c>
      <c r="B1062" t="inlineStr">
        <is>
          <t>LB2341 .S774 1999</t>
        </is>
      </c>
      <c r="C1062" t="inlineStr">
        <is>
          <t>0                      LB 2341000S  774         1999</t>
        </is>
      </c>
      <c r="D1062" t="inlineStr">
        <is>
          <t>Due process and higher education : a systemic approach to fair decision making / Ed Stevens.</t>
        </is>
      </c>
      <c r="F1062" t="inlineStr">
        <is>
          <t>No</t>
        </is>
      </c>
      <c r="G1062" t="inlineStr">
        <is>
          <t>1</t>
        </is>
      </c>
      <c r="H1062" t="inlineStr">
        <is>
          <t>No</t>
        </is>
      </c>
      <c r="I1062" t="inlineStr">
        <is>
          <t>No</t>
        </is>
      </c>
      <c r="J1062" t="inlineStr">
        <is>
          <t>0</t>
        </is>
      </c>
      <c r="K1062" t="inlineStr">
        <is>
          <t>Stevens, Ed.</t>
        </is>
      </c>
      <c r="L1062" t="inlineStr">
        <is>
          <t>Washington, DC : George Washington University Graduate School of Education and Human Development, [1999]</t>
        </is>
      </c>
      <c r="M1062" t="inlineStr">
        <is>
          <t>1999</t>
        </is>
      </c>
      <c r="O1062" t="inlineStr">
        <is>
          <t>eng</t>
        </is>
      </c>
      <c r="P1062" t="inlineStr">
        <is>
          <t>dcu</t>
        </is>
      </c>
      <c r="Q1062" t="inlineStr">
        <is>
          <t>ASHE-ERIC higher education report ; v. 27, no. 2</t>
        </is>
      </c>
      <c r="R1062" t="inlineStr">
        <is>
          <t xml:space="preserve">LB </t>
        </is>
      </c>
      <c r="S1062" t="n">
        <v>2</v>
      </c>
      <c r="T1062" t="n">
        <v>2</v>
      </c>
      <c r="U1062" t="inlineStr">
        <is>
          <t>2003-11-25</t>
        </is>
      </c>
      <c r="V1062" t="inlineStr">
        <is>
          <t>2003-11-25</t>
        </is>
      </c>
      <c r="W1062" t="inlineStr">
        <is>
          <t>2003-11-25</t>
        </is>
      </c>
      <c r="X1062" t="inlineStr">
        <is>
          <t>2003-11-25</t>
        </is>
      </c>
      <c r="Y1062" t="n">
        <v>328</v>
      </c>
      <c r="Z1062" t="n">
        <v>316</v>
      </c>
      <c r="AA1062" t="n">
        <v>322</v>
      </c>
      <c r="AB1062" t="n">
        <v>4</v>
      </c>
      <c r="AC1062" t="n">
        <v>4</v>
      </c>
      <c r="AD1062" t="n">
        <v>22</v>
      </c>
      <c r="AE1062" t="n">
        <v>22</v>
      </c>
      <c r="AF1062" t="n">
        <v>9</v>
      </c>
      <c r="AG1062" t="n">
        <v>9</v>
      </c>
      <c r="AH1062" t="n">
        <v>6</v>
      </c>
      <c r="AI1062" t="n">
        <v>6</v>
      </c>
      <c r="AJ1062" t="n">
        <v>11</v>
      </c>
      <c r="AK1062" t="n">
        <v>11</v>
      </c>
      <c r="AL1062" t="n">
        <v>3</v>
      </c>
      <c r="AM1062" t="n">
        <v>3</v>
      </c>
      <c r="AN1062" t="n">
        <v>0</v>
      </c>
      <c r="AO1062" t="n">
        <v>0</v>
      </c>
      <c r="AP1062" t="inlineStr">
        <is>
          <t>No</t>
        </is>
      </c>
      <c r="AQ1062" t="inlineStr">
        <is>
          <t>Yes</t>
        </is>
      </c>
      <c r="AR1062">
        <f>HYPERLINK("http://catalog.hathitrust.org/Record/003474744","HathiTrust Record")</f>
        <v/>
      </c>
      <c r="AS1062">
        <f>HYPERLINK("https://creighton-primo.hosted.exlibrisgroup.com/primo-explore/search?tab=default_tab&amp;search_scope=EVERYTHING&amp;vid=01CRU&amp;lang=en_US&amp;offset=0&amp;query=any,contains,991004192689702656","Catalog Record")</f>
        <v/>
      </c>
      <c r="AT1062">
        <f>HYPERLINK("http://www.worldcat.org/oclc/46462584","WorldCat Record")</f>
        <v/>
      </c>
      <c r="AU1062" t="inlineStr">
        <is>
          <t>34776207:eng</t>
        </is>
      </c>
      <c r="AV1062" t="inlineStr">
        <is>
          <t>46462584</t>
        </is>
      </c>
      <c r="AW1062" t="inlineStr">
        <is>
          <t>991004192689702656</t>
        </is>
      </c>
      <c r="AX1062" t="inlineStr">
        <is>
          <t>991004192689702656</t>
        </is>
      </c>
      <c r="AY1062" t="inlineStr">
        <is>
          <t>2268717690002656</t>
        </is>
      </c>
      <c r="AZ1062" t="inlineStr">
        <is>
          <t>BOOK</t>
        </is>
      </c>
      <c r="BB1062" t="inlineStr">
        <is>
          <t>9781878380906</t>
        </is>
      </c>
      <c r="BC1062" t="inlineStr">
        <is>
          <t>32285004842653</t>
        </is>
      </c>
      <c r="BD1062" t="inlineStr">
        <is>
          <t>893888403</t>
        </is>
      </c>
    </row>
    <row r="1063">
      <c r="A1063" t="inlineStr">
        <is>
          <t>No</t>
        </is>
      </c>
      <c r="B1063" t="inlineStr">
        <is>
          <t>LB2342 .B76 2002</t>
        </is>
      </c>
      <c r="C1063" t="inlineStr">
        <is>
          <t>0                      LB 2342000B  76          2002</t>
        </is>
      </c>
      <c r="D1063" t="inlineStr">
        <is>
          <t>Cost containment in higher education : issues and recommendations / Walter A. Brown, Cayo Gamber.</t>
        </is>
      </c>
      <c r="F1063" t="inlineStr">
        <is>
          <t>No</t>
        </is>
      </c>
      <c r="G1063" t="inlineStr">
        <is>
          <t>1</t>
        </is>
      </c>
      <c r="H1063" t="inlineStr">
        <is>
          <t>No</t>
        </is>
      </c>
      <c r="I1063" t="inlineStr">
        <is>
          <t>No</t>
        </is>
      </c>
      <c r="J1063" t="inlineStr">
        <is>
          <t>0</t>
        </is>
      </c>
      <c r="K1063" t="inlineStr">
        <is>
          <t>Brown, Walter A.</t>
        </is>
      </c>
      <c r="L1063" t="inlineStr">
        <is>
          <t>San Francisco, Calif. : Jossey-Bass, in cooperation with ERIC Clearinghouse on Higher Education, the George Washington University, Association for the Study of Higher Education, Graduate School of Education and Human Development, the George Washington University, c2002.</t>
        </is>
      </c>
      <c r="M1063" t="inlineStr">
        <is>
          <t>2002</t>
        </is>
      </c>
      <c r="O1063" t="inlineStr">
        <is>
          <t>eng</t>
        </is>
      </c>
      <c r="P1063" t="inlineStr">
        <is>
          <t>cau</t>
        </is>
      </c>
      <c r="Q1063" t="inlineStr">
        <is>
          <t>ASHE-ERIC higher education report ; v. 28, no. 5</t>
        </is>
      </c>
      <c r="R1063" t="inlineStr">
        <is>
          <t xml:space="preserve">LB </t>
        </is>
      </c>
      <c r="S1063" t="n">
        <v>4</v>
      </c>
      <c r="T1063" t="n">
        <v>4</v>
      </c>
      <c r="U1063" t="inlineStr">
        <is>
          <t>2006-08-10</t>
        </is>
      </c>
      <c r="V1063" t="inlineStr">
        <is>
          <t>2006-08-10</t>
        </is>
      </c>
      <c r="W1063" t="inlineStr">
        <is>
          <t>2002-04-18</t>
        </is>
      </c>
      <c r="X1063" t="inlineStr">
        <is>
          <t>2002-04-18</t>
        </is>
      </c>
      <c r="Y1063" t="n">
        <v>317</v>
      </c>
      <c r="Z1063" t="n">
        <v>298</v>
      </c>
      <c r="AA1063" t="n">
        <v>355</v>
      </c>
      <c r="AB1063" t="n">
        <v>4</v>
      </c>
      <c r="AC1063" t="n">
        <v>4</v>
      </c>
      <c r="AD1063" t="n">
        <v>22</v>
      </c>
      <c r="AE1063" t="n">
        <v>24</v>
      </c>
      <c r="AF1063" t="n">
        <v>9</v>
      </c>
      <c r="AG1063" t="n">
        <v>9</v>
      </c>
      <c r="AH1063" t="n">
        <v>6</v>
      </c>
      <c r="AI1063" t="n">
        <v>8</v>
      </c>
      <c r="AJ1063" t="n">
        <v>10</v>
      </c>
      <c r="AK1063" t="n">
        <v>11</v>
      </c>
      <c r="AL1063" t="n">
        <v>3</v>
      </c>
      <c r="AM1063" t="n">
        <v>3</v>
      </c>
      <c r="AN1063" t="n">
        <v>0</v>
      </c>
      <c r="AO1063" t="n">
        <v>0</v>
      </c>
      <c r="AP1063" t="inlineStr">
        <is>
          <t>No</t>
        </is>
      </c>
      <c r="AQ1063" t="inlineStr">
        <is>
          <t>No</t>
        </is>
      </c>
      <c r="AS1063">
        <f>HYPERLINK("https://creighton-primo.hosted.exlibrisgroup.com/primo-explore/search?tab=default_tab&amp;search_scope=EVERYTHING&amp;vid=01CRU&amp;lang=en_US&amp;offset=0&amp;query=any,contains,991003793439702656","Catalog Record")</f>
        <v/>
      </c>
      <c r="AT1063">
        <f>HYPERLINK("http://www.worldcat.org/oclc/49244210","WorldCat Record")</f>
        <v/>
      </c>
      <c r="AU1063" t="inlineStr">
        <is>
          <t>6528616:eng</t>
        </is>
      </c>
      <c r="AV1063" t="inlineStr">
        <is>
          <t>49244210</t>
        </is>
      </c>
      <c r="AW1063" t="inlineStr">
        <is>
          <t>991003793439702656</t>
        </is>
      </c>
      <c r="AX1063" t="inlineStr">
        <is>
          <t>991003793439702656</t>
        </is>
      </c>
      <c r="AY1063" t="inlineStr">
        <is>
          <t>2255657790002656</t>
        </is>
      </c>
      <c r="AZ1063" t="inlineStr">
        <is>
          <t>BOOK</t>
        </is>
      </c>
      <c r="BB1063" t="inlineStr">
        <is>
          <t>9780787958381</t>
        </is>
      </c>
      <c r="BC1063" t="inlineStr">
        <is>
          <t>32285004481353</t>
        </is>
      </c>
      <c r="BD1063" t="inlineStr">
        <is>
          <t>893686981</t>
        </is>
      </c>
    </row>
    <row r="1064">
      <c r="A1064" t="inlineStr">
        <is>
          <t>No</t>
        </is>
      </c>
      <c r="B1064" t="inlineStr">
        <is>
          <t>LB2342 .C26 Suppl.</t>
        </is>
      </c>
      <c r="C1064" t="inlineStr">
        <is>
          <t>0                      LB 2342000C  26                                                      Suppl.</t>
        </is>
      </c>
      <c r="D1064" t="inlineStr">
        <is>
          <t>Tuition ; a supplemental statement to the report of the Carnegie Commission on Higher Education on "Who pays? Who benefits? Who should pay?"</t>
        </is>
      </c>
      <c r="E1064" t="inlineStr">
        <is>
          <t>Suppl.*</t>
        </is>
      </c>
      <c r="F1064" t="inlineStr">
        <is>
          <t>No</t>
        </is>
      </c>
      <c r="G1064" t="inlineStr">
        <is>
          <t>1</t>
        </is>
      </c>
      <c r="H1064" t="inlineStr">
        <is>
          <t>No</t>
        </is>
      </c>
      <c r="I1064" t="inlineStr">
        <is>
          <t>No</t>
        </is>
      </c>
      <c r="J1064" t="inlineStr">
        <is>
          <t>0</t>
        </is>
      </c>
      <c r="K1064" t="inlineStr">
        <is>
          <t>Carnegie Commission on Higher Education.</t>
        </is>
      </c>
      <c r="L1064" t="inlineStr">
        <is>
          <t>[Berkeley, Calif. : Carnegie Commission on Higher Education, 1974]</t>
        </is>
      </c>
      <c r="M1064" t="inlineStr">
        <is>
          <t>1974</t>
        </is>
      </c>
      <c r="O1064" t="inlineStr">
        <is>
          <t>eng</t>
        </is>
      </c>
      <c r="P1064" t="inlineStr">
        <is>
          <t>cau</t>
        </is>
      </c>
      <c r="R1064" t="inlineStr">
        <is>
          <t xml:space="preserve">LB </t>
        </is>
      </c>
      <c r="S1064" t="n">
        <v>3</v>
      </c>
      <c r="T1064" t="n">
        <v>3</v>
      </c>
      <c r="U1064" t="inlineStr">
        <is>
          <t>1999-12-05</t>
        </is>
      </c>
      <c r="V1064" t="inlineStr">
        <is>
          <t>1999-12-05</t>
        </is>
      </c>
      <c r="W1064" t="inlineStr">
        <is>
          <t>1993-06-09</t>
        </is>
      </c>
      <c r="X1064" t="inlineStr">
        <is>
          <t>1993-06-09</t>
        </is>
      </c>
      <c r="Y1064" t="n">
        <v>393</v>
      </c>
      <c r="Z1064" t="n">
        <v>359</v>
      </c>
      <c r="AA1064" t="n">
        <v>361</v>
      </c>
      <c r="AB1064" t="n">
        <v>1</v>
      </c>
      <c r="AC1064" t="n">
        <v>1</v>
      </c>
      <c r="AD1064" t="n">
        <v>15</v>
      </c>
      <c r="AE1064" t="n">
        <v>15</v>
      </c>
      <c r="AF1064" t="n">
        <v>9</v>
      </c>
      <c r="AG1064" t="n">
        <v>9</v>
      </c>
      <c r="AH1064" t="n">
        <v>3</v>
      </c>
      <c r="AI1064" t="n">
        <v>3</v>
      </c>
      <c r="AJ1064" t="n">
        <v>7</v>
      </c>
      <c r="AK1064" t="n">
        <v>7</v>
      </c>
      <c r="AL1064" t="n">
        <v>0</v>
      </c>
      <c r="AM1064" t="n">
        <v>0</v>
      </c>
      <c r="AN1064" t="n">
        <v>0</v>
      </c>
      <c r="AO1064" t="n">
        <v>0</v>
      </c>
      <c r="AP1064" t="inlineStr">
        <is>
          <t>No</t>
        </is>
      </c>
      <c r="AQ1064" t="inlineStr">
        <is>
          <t>Yes</t>
        </is>
      </c>
      <c r="AR1064">
        <f>HYPERLINK("http://catalog.hathitrust.org/Record/001068733","HathiTrust Record")</f>
        <v/>
      </c>
      <c r="AS1064">
        <f>HYPERLINK("https://creighton-primo.hosted.exlibrisgroup.com/primo-explore/search?tab=default_tab&amp;search_scope=EVERYTHING&amp;vid=01CRU&amp;lang=en_US&amp;offset=0&amp;query=any,contains,991003387399702656","Catalog Record")</f>
        <v/>
      </c>
      <c r="AT1064">
        <f>HYPERLINK("http://www.worldcat.org/oclc/923886","WorldCat Record")</f>
        <v/>
      </c>
      <c r="AU1064" t="inlineStr">
        <is>
          <t>1870739:eng</t>
        </is>
      </c>
      <c r="AV1064" t="inlineStr">
        <is>
          <t>923886</t>
        </is>
      </c>
      <c r="AW1064" t="inlineStr">
        <is>
          <t>991003387399702656</t>
        </is>
      </c>
      <c r="AX1064" t="inlineStr">
        <is>
          <t>991003387399702656</t>
        </is>
      </c>
      <c r="AY1064" t="inlineStr">
        <is>
          <t>2266380620002656</t>
        </is>
      </c>
      <c r="AZ1064" t="inlineStr">
        <is>
          <t>BOOK</t>
        </is>
      </c>
      <c r="BC1064" t="inlineStr">
        <is>
          <t>32285001696185</t>
        </is>
      </c>
      <c r="BD1064" t="inlineStr">
        <is>
          <t>893868375</t>
        </is>
      </c>
    </row>
    <row r="1065">
      <c r="A1065" t="inlineStr">
        <is>
          <t>No</t>
        </is>
      </c>
      <c r="B1065" t="inlineStr">
        <is>
          <t>LB2342 .C56 1996</t>
        </is>
      </c>
      <c r="C1065" t="inlineStr">
        <is>
          <t>0                      LB 2342000C  56          1996</t>
        </is>
      </c>
      <c r="D1065" t="inlineStr">
        <is>
          <t>Buying the best : cost escalation in elite higher education / Charles T. Clotfelter.</t>
        </is>
      </c>
      <c r="F1065" t="inlineStr">
        <is>
          <t>No</t>
        </is>
      </c>
      <c r="G1065" t="inlineStr">
        <is>
          <t>1</t>
        </is>
      </c>
      <c r="H1065" t="inlineStr">
        <is>
          <t>No</t>
        </is>
      </c>
      <c r="I1065" t="inlineStr">
        <is>
          <t>No</t>
        </is>
      </c>
      <c r="J1065" t="inlineStr">
        <is>
          <t>0</t>
        </is>
      </c>
      <c r="K1065" t="inlineStr">
        <is>
          <t>Clotfelter, Charles T.</t>
        </is>
      </c>
      <c r="L1065" t="inlineStr">
        <is>
          <t>Princeton, N.J. : Princeton University Press, c1996.</t>
        </is>
      </c>
      <c r="M1065" t="inlineStr">
        <is>
          <t>1996</t>
        </is>
      </c>
      <c r="O1065" t="inlineStr">
        <is>
          <t>eng</t>
        </is>
      </c>
      <c r="P1065" t="inlineStr">
        <is>
          <t>nju</t>
        </is>
      </c>
      <c r="Q1065" t="inlineStr">
        <is>
          <t>A National Bureau of Economic Research monograph</t>
        </is>
      </c>
      <c r="R1065" t="inlineStr">
        <is>
          <t xml:space="preserve">LB </t>
        </is>
      </c>
      <c r="S1065" t="n">
        <v>1</v>
      </c>
      <c r="T1065" t="n">
        <v>1</v>
      </c>
      <c r="U1065" t="inlineStr">
        <is>
          <t>2006-05-12</t>
        </is>
      </c>
      <c r="V1065" t="inlineStr">
        <is>
          <t>2006-05-12</t>
        </is>
      </c>
      <c r="W1065" t="inlineStr">
        <is>
          <t>1996-05-29</t>
        </is>
      </c>
      <c r="X1065" t="inlineStr">
        <is>
          <t>1996-05-29</t>
        </is>
      </c>
      <c r="Y1065" t="n">
        <v>375</v>
      </c>
      <c r="Z1065" t="n">
        <v>316</v>
      </c>
      <c r="AA1065" t="n">
        <v>561</v>
      </c>
      <c r="AB1065" t="n">
        <v>3</v>
      </c>
      <c r="AC1065" t="n">
        <v>5</v>
      </c>
      <c r="AD1065" t="n">
        <v>18</v>
      </c>
      <c r="AE1065" t="n">
        <v>28</v>
      </c>
      <c r="AF1065" t="n">
        <v>5</v>
      </c>
      <c r="AG1065" t="n">
        <v>12</v>
      </c>
      <c r="AH1065" t="n">
        <v>5</v>
      </c>
      <c r="AI1065" t="n">
        <v>8</v>
      </c>
      <c r="AJ1065" t="n">
        <v>10</v>
      </c>
      <c r="AK1065" t="n">
        <v>13</v>
      </c>
      <c r="AL1065" t="n">
        <v>2</v>
      </c>
      <c r="AM1065" t="n">
        <v>3</v>
      </c>
      <c r="AN1065" t="n">
        <v>0</v>
      </c>
      <c r="AO1065" t="n">
        <v>0</v>
      </c>
      <c r="AP1065" t="inlineStr">
        <is>
          <t>No</t>
        </is>
      </c>
      <c r="AQ1065" t="inlineStr">
        <is>
          <t>No</t>
        </is>
      </c>
      <c r="AS1065">
        <f>HYPERLINK("https://creighton-primo.hosted.exlibrisgroup.com/primo-explore/search?tab=default_tab&amp;search_scope=EVERYTHING&amp;vid=01CRU&amp;lang=en_US&amp;offset=0&amp;query=any,contains,991002569879702656","Catalog Record")</f>
        <v/>
      </c>
      <c r="AT1065">
        <f>HYPERLINK("http://www.worldcat.org/oclc/33404466","WorldCat Record")</f>
        <v/>
      </c>
      <c r="AU1065" t="inlineStr">
        <is>
          <t>837014725:eng</t>
        </is>
      </c>
      <c r="AV1065" t="inlineStr">
        <is>
          <t>33404466</t>
        </is>
      </c>
      <c r="AW1065" t="inlineStr">
        <is>
          <t>991002569879702656</t>
        </is>
      </c>
      <c r="AX1065" t="inlineStr">
        <is>
          <t>991002569879702656</t>
        </is>
      </c>
      <c r="AY1065" t="inlineStr">
        <is>
          <t>2267149940002656</t>
        </is>
      </c>
      <c r="AZ1065" t="inlineStr">
        <is>
          <t>BOOK</t>
        </is>
      </c>
      <c r="BB1065" t="inlineStr">
        <is>
          <t>9780691026428</t>
        </is>
      </c>
      <c r="BC1065" t="inlineStr">
        <is>
          <t>32285002179017</t>
        </is>
      </c>
      <c r="BD1065" t="inlineStr">
        <is>
          <t>893804755</t>
        </is>
      </c>
    </row>
    <row r="1066">
      <c r="A1066" t="inlineStr">
        <is>
          <t>No</t>
        </is>
      </c>
      <c r="B1066" t="inlineStr">
        <is>
          <t>LB2342 .D28 2000</t>
        </is>
      </c>
      <c r="C1066" t="inlineStr">
        <is>
          <t>0                      LB 2342000D  28          2000</t>
        </is>
      </c>
      <c r="D1066" t="inlineStr">
        <is>
          <t>College affordability : overlooked long-term trends and recent 50-state patterns / Jerry Sheehan Davis, USA Group Foundation.</t>
        </is>
      </c>
      <c r="F1066" t="inlineStr">
        <is>
          <t>No</t>
        </is>
      </c>
      <c r="G1066" t="inlineStr">
        <is>
          <t>1</t>
        </is>
      </c>
      <c r="H1066" t="inlineStr">
        <is>
          <t>No</t>
        </is>
      </c>
      <c r="I1066" t="inlineStr">
        <is>
          <t>No</t>
        </is>
      </c>
      <c r="J1066" t="inlineStr">
        <is>
          <t>0</t>
        </is>
      </c>
      <c r="K1066" t="inlineStr">
        <is>
          <t>Davis, Jerry S.</t>
        </is>
      </c>
      <c r="L1066" t="inlineStr">
        <is>
          <t>Indianapolis, IN : USA Group Foundation, 2000.</t>
        </is>
      </c>
      <c r="M1066" t="inlineStr">
        <is>
          <t>2000</t>
        </is>
      </c>
      <c r="O1066" t="inlineStr">
        <is>
          <t>eng</t>
        </is>
      </c>
      <c r="P1066" t="inlineStr">
        <is>
          <t>inu</t>
        </is>
      </c>
      <c r="Q1066" t="inlineStr">
        <is>
          <t>USAGroup Foundation new agenda series ; v. 3, no. 1</t>
        </is>
      </c>
      <c r="R1066" t="inlineStr">
        <is>
          <t xml:space="preserve">LB </t>
        </is>
      </c>
      <c r="S1066" t="n">
        <v>3</v>
      </c>
      <c r="T1066" t="n">
        <v>3</v>
      </c>
      <c r="U1066" t="inlineStr">
        <is>
          <t>2010-09-20</t>
        </is>
      </c>
      <c r="V1066" t="inlineStr">
        <is>
          <t>2010-09-20</t>
        </is>
      </c>
      <c r="W1066" t="inlineStr">
        <is>
          <t>2001-01-16</t>
        </is>
      </c>
      <c r="X1066" t="inlineStr">
        <is>
          <t>2001-01-16</t>
        </is>
      </c>
      <c r="Y1066" t="n">
        <v>203</v>
      </c>
      <c r="Z1066" t="n">
        <v>203</v>
      </c>
      <c r="AA1066" t="n">
        <v>206</v>
      </c>
      <c r="AB1066" t="n">
        <v>3</v>
      </c>
      <c r="AC1066" t="n">
        <v>3</v>
      </c>
      <c r="AD1066" t="n">
        <v>8</v>
      </c>
      <c r="AE1066" t="n">
        <v>8</v>
      </c>
      <c r="AF1066" t="n">
        <v>4</v>
      </c>
      <c r="AG1066" t="n">
        <v>4</v>
      </c>
      <c r="AH1066" t="n">
        <v>0</v>
      </c>
      <c r="AI1066" t="n">
        <v>0</v>
      </c>
      <c r="AJ1066" t="n">
        <v>3</v>
      </c>
      <c r="AK1066" t="n">
        <v>3</v>
      </c>
      <c r="AL1066" t="n">
        <v>2</v>
      </c>
      <c r="AM1066" t="n">
        <v>2</v>
      </c>
      <c r="AN1066" t="n">
        <v>0</v>
      </c>
      <c r="AO1066" t="n">
        <v>0</v>
      </c>
      <c r="AP1066" t="inlineStr">
        <is>
          <t>No</t>
        </is>
      </c>
      <c r="AQ1066" t="inlineStr">
        <is>
          <t>Yes</t>
        </is>
      </c>
      <c r="AR1066">
        <f>HYPERLINK("http://catalog.hathitrust.org/Record/102012962","HathiTrust Record")</f>
        <v/>
      </c>
      <c r="AS1066">
        <f>HYPERLINK("https://creighton-primo.hosted.exlibrisgroup.com/primo-explore/search?tab=default_tab&amp;search_scope=EVERYTHING&amp;vid=01CRU&amp;lang=en_US&amp;offset=0&amp;query=any,contains,991003462759702656","Catalog Record")</f>
        <v/>
      </c>
      <c r="AT1066">
        <f>HYPERLINK("http://www.worldcat.org/oclc/45468415","WorldCat Record")</f>
        <v/>
      </c>
      <c r="AU1066" t="inlineStr">
        <is>
          <t>4236218006:eng</t>
        </is>
      </c>
      <c r="AV1066" t="inlineStr">
        <is>
          <t>45468415</t>
        </is>
      </c>
      <c r="AW1066" t="inlineStr">
        <is>
          <t>991003462759702656</t>
        </is>
      </c>
      <c r="AX1066" t="inlineStr">
        <is>
          <t>991003462759702656</t>
        </is>
      </c>
      <c r="AY1066" t="inlineStr">
        <is>
          <t>2259229380002656</t>
        </is>
      </c>
      <c r="AZ1066" t="inlineStr">
        <is>
          <t>BOOK</t>
        </is>
      </c>
      <c r="BC1066" t="inlineStr">
        <is>
          <t>32285004284310</t>
        </is>
      </c>
      <c r="BD1066" t="inlineStr">
        <is>
          <t>893324087</t>
        </is>
      </c>
    </row>
    <row r="1067">
      <c r="A1067" t="inlineStr">
        <is>
          <t>No</t>
        </is>
      </c>
      <c r="B1067" t="inlineStr">
        <is>
          <t>LB2342 .D52 2004</t>
        </is>
      </c>
      <c r="C1067" t="inlineStr">
        <is>
          <t>0                      LB 2342000D  52          2004</t>
        </is>
      </c>
      <c r="D1067" t="inlineStr">
        <is>
          <t>Collision course : rising college costs threaten America's future and require shared solutions / by Robert C. Dickeson.</t>
        </is>
      </c>
      <c r="F1067" t="inlineStr">
        <is>
          <t>No</t>
        </is>
      </c>
      <c r="G1067" t="inlineStr">
        <is>
          <t>1</t>
        </is>
      </c>
      <c r="H1067" t="inlineStr">
        <is>
          <t>No</t>
        </is>
      </c>
      <c r="I1067" t="inlineStr">
        <is>
          <t>No</t>
        </is>
      </c>
      <c r="J1067" t="inlineStr">
        <is>
          <t>0</t>
        </is>
      </c>
      <c r="K1067" t="inlineStr">
        <is>
          <t>Dickeson, Robert C.</t>
        </is>
      </c>
      <c r="L1067" t="inlineStr">
        <is>
          <t>Indianapolis, IN : Lumina Foundation, c2004.</t>
        </is>
      </c>
      <c r="M1067" t="inlineStr">
        <is>
          <t>2004</t>
        </is>
      </c>
      <c r="O1067" t="inlineStr">
        <is>
          <t>eng</t>
        </is>
      </c>
      <c r="P1067" t="inlineStr">
        <is>
          <t>inu</t>
        </is>
      </c>
      <c r="Q1067" t="inlineStr">
        <is>
          <t>Lumina Foundation policy brief</t>
        </is>
      </c>
      <c r="R1067" t="inlineStr">
        <is>
          <t xml:space="preserve">LB </t>
        </is>
      </c>
      <c r="S1067" t="n">
        <v>4</v>
      </c>
      <c r="T1067" t="n">
        <v>4</v>
      </c>
      <c r="U1067" t="inlineStr">
        <is>
          <t>2010-09-20</t>
        </is>
      </c>
      <c r="V1067" t="inlineStr">
        <is>
          <t>2010-09-20</t>
        </is>
      </c>
      <c r="W1067" t="inlineStr">
        <is>
          <t>2004-09-22</t>
        </is>
      </c>
      <c r="X1067" t="inlineStr">
        <is>
          <t>2004-09-22</t>
        </is>
      </c>
      <c r="Y1067" t="n">
        <v>73</v>
      </c>
      <c r="Z1067" t="n">
        <v>73</v>
      </c>
      <c r="AA1067" t="n">
        <v>77</v>
      </c>
      <c r="AB1067" t="n">
        <v>3</v>
      </c>
      <c r="AC1067" t="n">
        <v>3</v>
      </c>
      <c r="AD1067" t="n">
        <v>3</v>
      </c>
      <c r="AE1067" t="n">
        <v>3</v>
      </c>
      <c r="AF1067" t="n">
        <v>0</v>
      </c>
      <c r="AG1067" t="n">
        <v>0</v>
      </c>
      <c r="AH1067" t="n">
        <v>0</v>
      </c>
      <c r="AI1067" t="n">
        <v>0</v>
      </c>
      <c r="AJ1067" t="n">
        <v>1</v>
      </c>
      <c r="AK1067" t="n">
        <v>1</v>
      </c>
      <c r="AL1067" t="n">
        <v>2</v>
      </c>
      <c r="AM1067" t="n">
        <v>2</v>
      </c>
      <c r="AN1067" t="n">
        <v>0</v>
      </c>
      <c r="AO1067" t="n">
        <v>0</v>
      </c>
      <c r="AP1067" t="inlineStr">
        <is>
          <t>No</t>
        </is>
      </c>
      <c r="AQ1067" t="inlineStr">
        <is>
          <t>Yes</t>
        </is>
      </c>
      <c r="AR1067">
        <f>HYPERLINK("http://catalog.hathitrust.org/Record/005112428","HathiTrust Record")</f>
        <v/>
      </c>
      <c r="AS1067">
        <f>HYPERLINK("https://creighton-primo.hosted.exlibrisgroup.com/primo-explore/search?tab=default_tab&amp;search_scope=EVERYTHING&amp;vid=01CRU&amp;lang=en_US&amp;offset=0&amp;query=any,contains,991004381529702656","Catalog Record")</f>
        <v/>
      </c>
      <c r="AT1067">
        <f>HYPERLINK("http://www.worldcat.org/oclc/56365541","WorldCat Record")</f>
        <v/>
      </c>
      <c r="AU1067" t="inlineStr">
        <is>
          <t>476705049:eng</t>
        </is>
      </c>
      <c r="AV1067" t="inlineStr">
        <is>
          <t>56365541</t>
        </is>
      </c>
      <c r="AW1067" t="inlineStr">
        <is>
          <t>991004381529702656</t>
        </is>
      </c>
      <c r="AX1067" t="inlineStr">
        <is>
          <t>991004381529702656</t>
        </is>
      </c>
      <c r="AY1067" t="inlineStr">
        <is>
          <t>2257722770002656</t>
        </is>
      </c>
      <c r="AZ1067" t="inlineStr">
        <is>
          <t>BOOK</t>
        </is>
      </c>
      <c r="BC1067" t="inlineStr">
        <is>
          <t>32285004988167</t>
        </is>
      </c>
      <c r="BD1067" t="inlineStr">
        <is>
          <t>893712523</t>
        </is>
      </c>
    </row>
    <row r="1068">
      <c r="A1068" t="inlineStr">
        <is>
          <t>No</t>
        </is>
      </c>
      <c r="B1068" t="inlineStr">
        <is>
          <t>LB2342 .F515 1990</t>
        </is>
      </c>
      <c r="C1068" t="inlineStr">
        <is>
          <t>0                      LB 2342000F  515         1990</t>
        </is>
      </c>
      <c r="D1068" t="inlineStr">
        <is>
          <t>Financing higher education in a global economy / Richard E. Anderson, Joel W. Meyerson ; sponsored by the National Center for Postsecondary Governance and Finance.</t>
        </is>
      </c>
      <c r="F1068" t="inlineStr">
        <is>
          <t>No</t>
        </is>
      </c>
      <c r="G1068" t="inlineStr">
        <is>
          <t>1</t>
        </is>
      </c>
      <c r="H1068" t="inlineStr">
        <is>
          <t>No</t>
        </is>
      </c>
      <c r="I1068" t="inlineStr">
        <is>
          <t>No</t>
        </is>
      </c>
      <c r="J1068" t="inlineStr">
        <is>
          <t>0</t>
        </is>
      </c>
      <c r="L1068" t="inlineStr">
        <is>
          <t>New York : American Council on Education, c1990.</t>
        </is>
      </c>
      <c r="M1068" t="inlineStr">
        <is>
          <t>1990</t>
        </is>
      </c>
      <c r="O1068" t="inlineStr">
        <is>
          <t>eng</t>
        </is>
      </c>
      <c r="P1068" t="inlineStr">
        <is>
          <t>nyu</t>
        </is>
      </c>
      <c r="R1068" t="inlineStr">
        <is>
          <t xml:space="preserve">LB </t>
        </is>
      </c>
      <c r="S1068" t="n">
        <v>2</v>
      </c>
      <c r="T1068" t="n">
        <v>2</v>
      </c>
      <c r="U1068" t="inlineStr">
        <is>
          <t>2000-08-23</t>
        </is>
      </c>
      <c r="V1068" t="inlineStr">
        <is>
          <t>2000-08-23</t>
        </is>
      </c>
      <c r="W1068" t="inlineStr">
        <is>
          <t>2000-08-22</t>
        </is>
      </c>
      <c r="X1068" t="inlineStr">
        <is>
          <t>2000-08-22</t>
        </is>
      </c>
      <c r="Y1068" t="n">
        <v>285</v>
      </c>
      <c r="Z1068" t="n">
        <v>248</v>
      </c>
      <c r="AA1068" t="n">
        <v>256</v>
      </c>
      <c r="AB1068" t="n">
        <v>3</v>
      </c>
      <c r="AC1068" t="n">
        <v>3</v>
      </c>
      <c r="AD1068" t="n">
        <v>12</v>
      </c>
      <c r="AE1068" t="n">
        <v>12</v>
      </c>
      <c r="AF1068" t="n">
        <v>4</v>
      </c>
      <c r="AG1068" t="n">
        <v>4</v>
      </c>
      <c r="AH1068" t="n">
        <v>2</v>
      </c>
      <c r="AI1068" t="n">
        <v>2</v>
      </c>
      <c r="AJ1068" t="n">
        <v>9</v>
      </c>
      <c r="AK1068" t="n">
        <v>9</v>
      </c>
      <c r="AL1068" t="n">
        <v>2</v>
      </c>
      <c r="AM1068" t="n">
        <v>2</v>
      </c>
      <c r="AN1068" t="n">
        <v>0</v>
      </c>
      <c r="AO1068" t="n">
        <v>0</v>
      </c>
      <c r="AP1068" t="inlineStr">
        <is>
          <t>No</t>
        </is>
      </c>
      <c r="AQ1068" t="inlineStr">
        <is>
          <t>Yes</t>
        </is>
      </c>
      <c r="AR1068">
        <f>HYPERLINK("http://catalog.hathitrust.org/Record/002204824","HathiTrust Record")</f>
        <v/>
      </c>
      <c r="AS1068">
        <f>HYPERLINK("https://creighton-primo.hosted.exlibrisgroup.com/primo-explore/search?tab=default_tab&amp;search_scope=EVERYTHING&amp;vid=01CRU&amp;lang=en_US&amp;offset=0&amp;query=any,contains,991003270709702656","Catalog Record")</f>
        <v/>
      </c>
      <c r="AT1068">
        <f>HYPERLINK("http://www.worldcat.org/oclc/20318908","WorldCat Record")</f>
        <v/>
      </c>
      <c r="AU1068" t="inlineStr">
        <is>
          <t>432680274:eng</t>
        </is>
      </c>
      <c r="AV1068" t="inlineStr">
        <is>
          <t>20318908</t>
        </is>
      </c>
      <c r="AW1068" t="inlineStr">
        <is>
          <t>991003270709702656</t>
        </is>
      </c>
      <c r="AX1068" t="inlineStr">
        <is>
          <t>991003270709702656</t>
        </is>
      </c>
      <c r="AY1068" t="inlineStr">
        <is>
          <t>2257913430002656</t>
        </is>
      </c>
      <c r="AZ1068" t="inlineStr">
        <is>
          <t>BOOK</t>
        </is>
      </c>
      <c r="BB1068" t="inlineStr">
        <is>
          <t>9780029009659</t>
        </is>
      </c>
      <c r="BC1068" t="inlineStr">
        <is>
          <t>32285003758223</t>
        </is>
      </c>
      <c r="BD1068" t="inlineStr">
        <is>
          <t>893518319</t>
        </is>
      </c>
    </row>
    <row r="1069">
      <c r="A1069" t="inlineStr">
        <is>
          <t>No</t>
        </is>
      </c>
      <c r="B1069" t="inlineStr">
        <is>
          <t>LB2342 .F55</t>
        </is>
      </c>
      <c r="C1069" t="inlineStr">
        <is>
          <t>0                      LB 2342000F  55</t>
        </is>
      </c>
      <c r="D1069" t="inlineStr">
        <is>
          <t>Scholars, dollars, and bureaucrats : Federal policy toward higher education / Chester E. Finn, Jr. --</t>
        </is>
      </c>
      <c r="F1069" t="inlineStr">
        <is>
          <t>No</t>
        </is>
      </c>
      <c r="G1069" t="inlineStr">
        <is>
          <t>1</t>
        </is>
      </c>
      <c r="H1069" t="inlineStr">
        <is>
          <t>No</t>
        </is>
      </c>
      <c r="I1069" t="inlineStr">
        <is>
          <t>No</t>
        </is>
      </c>
      <c r="J1069" t="inlineStr">
        <is>
          <t>0</t>
        </is>
      </c>
      <c r="K1069" t="inlineStr">
        <is>
          <t>Finn, Chester E., Jr., 1944-</t>
        </is>
      </c>
      <c r="L1069" t="inlineStr">
        <is>
          <t>Washington : Brookings Institution, c1978.</t>
        </is>
      </c>
      <c r="M1069" t="inlineStr">
        <is>
          <t>1978</t>
        </is>
      </c>
      <c r="O1069" t="inlineStr">
        <is>
          <t>eng</t>
        </is>
      </c>
      <c r="P1069" t="inlineStr">
        <is>
          <t>dcu</t>
        </is>
      </c>
      <c r="Q1069" t="inlineStr">
        <is>
          <t>Studies in higher education policy</t>
        </is>
      </c>
      <c r="R1069" t="inlineStr">
        <is>
          <t xml:space="preserve">LB </t>
        </is>
      </c>
      <c r="S1069" t="n">
        <v>3</v>
      </c>
      <c r="T1069" t="n">
        <v>3</v>
      </c>
      <c r="U1069" t="inlineStr">
        <is>
          <t>2003-11-06</t>
        </is>
      </c>
      <c r="V1069" t="inlineStr">
        <is>
          <t>2003-11-06</t>
        </is>
      </c>
      <c r="W1069" t="inlineStr">
        <is>
          <t>1993-06-09</t>
        </is>
      </c>
      <c r="X1069" t="inlineStr">
        <is>
          <t>1993-06-09</t>
        </is>
      </c>
      <c r="Y1069" t="n">
        <v>779</v>
      </c>
      <c r="Z1069" t="n">
        <v>695</v>
      </c>
      <c r="AA1069" t="n">
        <v>730</v>
      </c>
      <c r="AB1069" t="n">
        <v>3</v>
      </c>
      <c r="AC1069" t="n">
        <v>3</v>
      </c>
      <c r="AD1069" t="n">
        <v>35</v>
      </c>
      <c r="AE1069" t="n">
        <v>37</v>
      </c>
      <c r="AF1069" t="n">
        <v>13</v>
      </c>
      <c r="AG1069" t="n">
        <v>13</v>
      </c>
      <c r="AH1069" t="n">
        <v>8</v>
      </c>
      <c r="AI1069" t="n">
        <v>9</v>
      </c>
      <c r="AJ1069" t="n">
        <v>18</v>
      </c>
      <c r="AK1069" t="n">
        <v>19</v>
      </c>
      <c r="AL1069" t="n">
        <v>1</v>
      </c>
      <c r="AM1069" t="n">
        <v>1</v>
      </c>
      <c r="AN1069" t="n">
        <v>6</v>
      </c>
      <c r="AO1069" t="n">
        <v>7</v>
      </c>
      <c r="AP1069" t="inlineStr">
        <is>
          <t>No</t>
        </is>
      </c>
      <c r="AQ1069" t="inlineStr">
        <is>
          <t>Yes</t>
        </is>
      </c>
      <c r="AR1069">
        <f>HYPERLINK("http://catalog.hathitrust.org/Record/000271735","HathiTrust Record")</f>
        <v/>
      </c>
      <c r="AS1069">
        <f>HYPERLINK("https://creighton-primo.hosted.exlibrisgroup.com/primo-explore/search?tab=default_tab&amp;search_scope=EVERYTHING&amp;vid=01CRU&amp;lang=en_US&amp;offset=0&amp;query=any,contains,991004604899702656","Catalog Record")</f>
        <v/>
      </c>
      <c r="AT1069">
        <f>HYPERLINK("http://www.worldcat.org/oclc/4193937","WorldCat Record")</f>
        <v/>
      </c>
      <c r="AU1069" t="inlineStr">
        <is>
          <t>14609612:eng</t>
        </is>
      </c>
      <c r="AV1069" t="inlineStr">
        <is>
          <t>4193937</t>
        </is>
      </c>
      <c r="AW1069" t="inlineStr">
        <is>
          <t>991004604899702656</t>
        </is>
      </c>
      <c r="AX1069" t="inlineStr">
        <is>
          <t>991004604899702656</t>
        </is>
      </c>
      <c r="AY1069" t="inlineStr">
        <is>
          <t>2263999140002656</t>
        </is>
      </c>
      <c r="AZ1069" t="inlineStr">
        <is>
          <t>BOOK</t>
        </is>
      </c>
      <c r="BB1069" t="inlineStr">
        <is>
          <t>9780815728283</t>
        </is>
      </c>
      <c r="BC1069" t="inlineStr">
        <is>
          <t>32285001696219</t>
        </is>
      </c>
      <c r="BD1069" t="inlineStr">
        <is>
          <t>893788907</t>
        </is>
      </c>
    </row>
    <row r="1070">
      <c r="A1070" t="inlineStr">
        <is>
          <t>No</t>
        </is>
      </c>
      <c r="B1070" t="inlineStr">
        <is>
          <t>LB2342 .H385 1990</t>
        </is>
      </c>
      <c r="C1070" t="inlineStr">
        <is>
          <t>0                      LB 2342000H  385         1990</t>
        </is>
      </c>
      <c r="D1070" t="inlineStr">
        <is>
          <t>The tuition dilemma : assessing new ways to pay for college / Arthur M. Hauptman.</t>
        </is>
      </c>
      <c r="F1070" t="inlineStr">
        <is>
          <t>No</t>
        </is>
      </c>
      <c r="G1070" t="inlineStr">
        <is>
          <t>1</t>
        </is>
      </c>
      <c r="H1070" t="inlineStr">
        <is>
          <t>No</t>
        </is>
      </c>
      <c r="I1070" t="inlineStr">
        <is>
          <t>No</t>
        </is>
      </c>
      <c r="J1070" t="inlineStr">
        <is>
          <t>0</t>
        </is>
      </c>
      <c r="K1070" t="inlineStr">
        <is>
          <t>Hauptman, Arthur M.</t>
        </is>
      </c>
      <c r="L1070" t="inlineStr">
        <is>
          <t>Washington, D.C. : Brookings Institution, c1990.</t>
        </is>
      </c>
      <c r="M1070" t="inlineStr">
        <is>
          <t>1990</t>
        </is>
      </c>
      <c r="O1070" t="inlineStr">
        <is>
          <t>eng</t>
        </is>
      </c>
      <c r="P1070" t="inlineStr">
        <is>
          <t>dcu</t>
        </is>
      </c>
      <c r="R1070" t="inlineStr">
        <is>
          <t xml:space="preserve">LB </t>
        </is>
      </c>
      <c r="S1070" t="n">
        <v>8</v>
      </c>
      <c r="T1070" t="n">
        <v>8</v>
      </c>
      <c r="U1070" t="inlineStr">
        <is>
          <t>2010-09-20</t>
        </is>
      </c>
      <c r="V1070" t="inlineStr">
        <is>
          <t>2010-09-20</t>
        </is>
      </c>
      <c r="W1070" t="inlineStr">
        <is>
          <t>1990-04-07</t>
        </is>
      </c>
      <c r="X1070" t="inlineStr">
        <is>
          <t>1990-04-07</t>
        </is>
      </c>
      <c r="Y1070" t="n">
        <v>590</v>
      </c>
      <c r="Z1070" t="n">
        <v>543</v>
      </c>
      <c r="AA1070" t="n">
        <v>546</v>
      </c>
      <c r="AB1070" t="n">
        <v>4</v>
      </c>
      <c r="AC1070" t="n">
        <v>4</v>
      </c>
      <c r="AD1070" t="n">
        <v>24</v>
      </c>
      <c r="AE1070" t="n">
        <v>24</v>
      </c>
      <c r="AF1070" t="n">
        <v>8</v>
      </c>
      <c r="AG1070" t="n">
        <v>8</v>
      </c>
      <c r="AH1070" t="n">
        <v>6</v>
      </c>
      <c r="AI1070" t="n">
        <v>6</v>
      </c>
      <c r="AJ1070" t="n">
        <v>12</v>
      </c>
      <c r="AK1070" t="n">
        <v>12</v>
      </c>
      <c r="AL1070" t="n">
        <v>3</v>
      </c>
      <c r="AM1070" t="n">
        <v>3</v>
      </c>
      <c r="AN1070" t="n">
        <v>2</v>
      </c>
      <c r="AO1070" t="n">
        <v>2</v>
      </c>
      <c r="AP1070" t="inlineStr">
        <is>
          <t>No</t>
        </is>
      </c>
      <c r="AQ1070" t="inlineStr">
        <is>
          <t>Yes</t>
        </is>
      </c>
      <c r="AR1070">
        <f>HYPERLINK("http://catalog.hathitrust.org/Record/001943097","HathiTrust Record")</f>
        <v/>
      </c>
      <c r="AS1070">
        <f>HYPERLINK("https://creighton-primo.hosted.exlibrisgroup.com/primo-explore/search?tab=default_tab&amp;search_scope=EVERYTHING&amp;vid=01CRU&amp;lang=en_US&amp;offset=0&amp;query=any,contains,991001628189702656","Catalog Record")</f>
        <v/>
      </c>
      <c r="AT1070">
        <f>HYPERLINK("http://www.worldcat.org/oclc/20854148","WorldCat Record")</f>
        <v/>
      </c>
      <c r="AU1070" t="inlineStr">
        <is>
          <t>428300883:eng</t>
        </is>
      </c>
      <c r="AV1070" t="inlineStr">
        <is>
          <t>20854148</t>
        </is>
      </c>
      <c r="AW1070" t="inlineStr">
        <is>
          <t>991001628189702656</t>
        </is>
      </c>
      <c r="AX1070" t="inlineStr">
        <is>
          <t>991001628189702656</t>
        </is>
      </c>
      <c r="AY1070" t="inlineStr">
        <is>
          <t>2272139570002656</t>
        </is>
      </c>
      <c r="AZ1070" t="inlineStr">
        <is>
          <t>BOOK</t>
        </is>
      </c>
      <c r="BB1070" t="inlineStr">
        <is>
          <t>9780815735014</t>
        </is>
      </c>
      <c r="BC1070" t="inlineStr">
        <is>
          <t>32285000021955</t>
        </is>
      </c>
      <c r="BD1070" t="inlineStr">
        <is>
          <t>893791556</t>
        </is>
      </c>
    </row>
    <row r="1071">
      <c r="A1071" t="inlineStr">
        <is>
          <t>No</t>
        </is>
      </c>
      <c r="B1071" t="inlineStr">
        <is>
          <t>LB2342 .K35 1999</t>
        </is>
      </c>
      <c r="C1071" t="inlineStr">
        <is>
          <t>0                      LB 2342000K  35          1999</t>
        </is>
      </c>
      <c r="D1071" t="inlineStr">
        <is>
          <t>The price of admission : rethinking how Americans pay for college / Thomas J. Kane.</t>
        </is>
      </c>
      <c r="F1071" t="inlineStr">
        <is>
          <t>No</t>
        </is>
      </c>
      <c r="G1071" t="inlineStr">
        <is>
          <t>1</t>
        </is>
      </c>
      <c r="H1071" t="inlineStr">
        <is>
          <t>No</t>
        </is>
      </c>
      <c r="I1071" t="inlineStr">
        <is>
          <t>No</t>
        </is>
      </c>
      <c r="J1071" t="inlineStr">
        <is>
          <t>0</t>
        </is>
      </c>
      <c r="K1071" t="inlineStr">
        <is>
          <t>Kane, Thomas J.</t>
        </is>
      </c>
      <c r="L1071" t="inlineStr">
        <is>
          <t>Washington, D.C. : Brookings Institution Press, c1999.</t>
        </is>
      </c>
      <c r="M1071" t="inlineStr">
        <is>
          <t>1999</t>
        </is>
      </c>
      <c r="O1071" t="inlineStr">
        <is>
          <t>eng</t>
        </is>
      </c>
      <c r="P1071" t="inlineStr">
        <is>
          <t>dcu</t>
        </is>
      </c>
      <c r="R1071" t="inlineStr">
        <is>
          <t xml:space="preserve">LB </t>
        </is>
      </c>
      <c r="S1071" t="n">
        <v>3</v>
      </c>
      <c r="T1071" t="n">
        <v>3</v>
      </c>
      <c r="U1071" t="inlineStr">
        <is>
          <t>2010-09-20</t>
        </is>
      </c>
      <c r="V1071" t="inlineStr">
        <is>
          <t>2010-09-20</t>
        </is>
      </c>
      <c r="W1071" t="inlineStr">
        <is>
          <t>2000-02-23</t>
        </is>
      </c>
      <c r="X1071" t="inlineStr">
        <is>
          <t>2000-02-23</t>
        </is>
      </c>
      <c r="Y1071" t="n">
        <v>516</v>
      </c>
      <c r="Z1071" t="n">
        <v>477</v>
      </c>
      <c r="AA1071" t="n">
        <v>483</v>
      </c>
      <c r="AB1071" t="n">
        <v>4</v>
      </c>
      <c r="AC1071" t="n">
        <v>4</v>
      </c>
      <c r="AD1071" t="n">
        <v>24</v>
      </c>
      <c r="AE1071" t="n">
        <v>24</v>
      </c>
      <c r="AF1071" t="n">
        <v>7</v>
      </c>
      <c r="AG1071" t="n">
        <v>7</v>
      </c>
      <c r="AH1071" t="n">
        <v>6</v>
      </c>
      <c r="AI1071" t="n">
        <v>6</v>
      </c>
      <c r="AJ1071" t="n">
        <v>13</v>
      </c>
      <c r="AK1071" t="n">
        <v>13</v>
      </c>
      <c r="AL1071" t="n">
        <v>3</v>
      </c>
      <c r="AM1071" t="n">
        <v>3</v>
      </c>
      <c r="AN1071" t="n">
        <v>2</v>
      </c>
      <c r="AO1071" t="n">
        <v>2</v>
      </c>
      <c r="AP1071" t="inlineStr">
        <is>
          <t>No</t>
        </is>
      </c>
      <c r="AQ1071" t="inlineStr">
        <is>
          <t>No</t>
        </is>
      </c>
      <c r="AS1071">
        <f>HYPERLINK("https://creighton-primo.hosted.exlibrisgroup.com/primo-explore/search?tab=default_tab&amp;search_scope=EVERYTHING&amp;vid=01CRU&amp;lang=en_US&amp;offset=0&amp;query=any,contains,991003021409702656","Catalog Record")</f>
        <v/>
      </c>
      <c r="AT1071">
        <f>HYPERLINK("http://www.worldcat.org/oclc/41176591","WorldCat Record")</f>
        <v/>
      </c>
      <c r="AU1071" t="inlineStr">
        <is>
          <t>20670171:eng</t>
        </is>
      </c>
      <c r="AV1071" t="inlineStr">
        <is>
          <t>41176591</t>
        </is>
      </c>
      <c r="AW1071" t="inlineStr">
        <is>
          <t>991003021409702656</t>
        </is>
      </c>
      <c r="AX1071" t="inlineStr">
        <is>
          <t>991003021409702656</t>
        </is>
      </c>
      <c r="AY1071" t="inlineStr">
        <is>
          <t>2259301180002656</t>
        </is>
      </c>
      <c r="AZ1071" t="inlineStr">
        <is>
          <t>BOOK</t>
        </is>
      </c>
      <c r="BB1071" t="inlineStr">
        <is>
          <t>9780815750130</t>
        </is>
      </c>
      <c r="BC1071" t="inlineStr">
        <is>
          <t>32285003663274</t>
        </is>
      </c>
      <c r="BD1071" t="inlineStr">
        <is>
          <t>893530773</t>
        </is>
      </c>
    </row>
    <row r="1072">
      <c r="A1072" t="inlineStr">
        <is>
          <t>No</t>
        </is>
      </c>
      <c r="B1072" t="inlineStr">
        <is>
          <t>LB2342 .S55 2000</t>
        </is>
      </c>
      <c r="C1072" t="inlineStr">
        <is>
          <t>0                      LB 2342000S  55          2000</t>
        </is>
      </c>
      <c r="D1072" t="inlineStr">
        <is>
          <t>Market values in American higher education : the pitfalls and promises / Charles W. Smith.</t>
        </is>
      </c>
      <c r="F1072" t="inlineStr">
        <is>
          <t>No</t>
        </is>
      </c>
      <c r="G1072" t="inlineStr">
        <is>
          <t>1</t>
        </is>
      </c>
      <c r="H1072" t="inlineStr">
        <is>
          <t>No</t>
        </is>
      </c>
      <c r="I1072" t="inlineStr">
        <is>
          <t>No</t>
        </is>
      </c>
      <c r="J1072" t="inlineStr">
        <is>
          <t>0</t>
        </is>
      </c>
      <c r="K1072" t="inlineStr">
        <is>
          <t>Smith, Charles W., 1938-</t>
        </is>
      </c>
      <c r="L1072" t="inlineStr">
        <is>
          <t>Lanham, Md. : Rowman &amp; Littlefield Publishers, c2000.</t>
        </is>
      </c>
      <c r="M1072" t="inlineStr">
        <is>
          <t>2000</t>
        </is>
      </c>
      <c r="O1072" t="inlineStr">
        <is>
          <t>eng</t>
        </is>
      </c>
      <c r="P1072" t="inlineStr">
        <is>
          <t>mdu</t>
        </is>
      </c>
      <c r="R1072" t="inlineStr">
        <is>
          <t xml:space="preserve">LB </t>
        </is>
      </c>
      <c r="S1072" t="n">
        <v>2</v>
      </c>
      <c r="T1072" t="n">
        <v>2</v>
      </c>
      <c r="U1072" t="inlineStr">
        <is>
          <t>2010-09-20</t>
        </is>
      </c>
      <c r="V1072" t="inlineStr">
        <is>
          <t>2010-09-20</t>
        </is>
      </c>
      <c r="W1072" t="inlineStr">
        <is>
          <t>2005-04-11</t>
        </is>
      </c>
      <c r="X1072" t="inlineStr">
        <is>
          <t>2005-04-11</t>
        </is>
      </c>
      <c r="Y1072" t="n">
        <v>267</v>
      </c>
      <c r="Z1072" t="n">
        <v>236</v>
      </c>
      <c r="AA1072" t="n">
        <v>239</v>
      </c>
      <c r="AB1072" t="n">
        <v>3</v>
      </c>
      <c r="AC1072" t="n">
        <v>3</v>
      </c>
      <c r="AD1072" t="n">
        <v>10</v>
      </c>
      <c r="AE1072" t="n">
        <v>10</v>
      </c>
      <c r="AF1072" t="n">
        <v>0</v>
      </c>
      <c r="AG1072" t="n">
        <v>0</v>
      </c>
      <c r="AH1072" t="n">
        <v>3</v>
      </c>
      <c r="AI1072" t="n">
        <v>3</v>
      </c>
      <c r="AJ1072" t="n">
        <v>7</v>
      </c>
      <c r="AK1072" t="n">
        <v>7</v>
      </c>
      <c r="AL1072" t="n">
        <v>2</v>
      </c>
      <c r="AM1072" t="n">
        <v>2</v>
      </c>
      <c r="AN1072" t="n">
        <v>0</v>
      </c>
      <c r="AO1072" t="n">
        <v>0</v>
      </c>
      <c r="AP1072" t="inlineStr">
        <is>
          <t>No</t>
        </is>
      </c>
      <c r="AQ1072" t="inlineStr">
        <is>
          <t>Yes</t>
        </is>
      </c>
      <c r="AR1072">
        <f>HYPERLINK("http://catalog.hathitrust.org/Record/004098983","HathiTrust Record")</f>
        <v/>
      </c>
      <c r="AS1072">
        <f>HYPERLINK("https://creighton-primo.hosted.exlibrisgroup.com/primo-explore/search?tab=default_tab&amp;search_scope=EVERYTHING&amp;vid=01CRU&amp;lang=en_US&amp;offset=0&amp;query=any,contains,991004517179702656","Catalog Record")</f>
        <v/>
      </c>
      <c r="AT1072">
        <f>HYPERLINK("http://www.worldcat.org/oclc/43063287","WorldCat Record")</f>
        <v/>
      </c>
      <c r="AU1072" t="inlineStr">
        <is>
          <t>370858527:eng</t>
        </is>
      </c>
      <c r="AV1072" t="inlineStr">
        <is>
          <t>43063287</t>
        </is>
      </c>
      <c r="AW1072" t="inlineStr">
        <is>
          <t>991004517179702656</t>
        </is>
      </c>
      <c r="AX1072" t="inlineStr">
        <is>
          <t>991004517179702656</t>
        </is>
      </c>
      <c r="AY1072" t="inlineStr">
        <is>
          <t>2261226250002656</t>
        </is>
      </c>
      <c r="AZ1072" t="inlineStr">
        <is>
          <t>BOOK</t>
        </is>
      </c>
      <c r="BB1072" t="inlineStr">
        <is>
          <t>9780847695638</t>
        </is>
      </c>
      <c r="BC1072" t="inlineStr">
        <is>
          <t>32285005049654</t>
        </is>
      </c>
      <c r="BD1072" t="inlineStr">
        <is>
          <t>893719011</t>
        </is>
      </c>
    </row>
    <row r="1073">
      <c r="A1073" t="inlineStr">
        <is>
          <t>No</t>
        </is>
      </c>
      <c r="B1073" t="inlineStr">
        <is>
          <t>LB2342.8 .A5 1987</t>
        </is>
      </c>
      <c r="C1073" t="inlineStr">
        <is>
          <t>0                      LB 2342800A  5           1987</t>
        </is>
      </c>
      <c r="D1073" t="inlineStr">
        <is>
          <t>Higher education and the public trust : improving stature in colleges and universities / by Richard L. Alfred and Julie Weissman ; prepared by ERIC Clearinghouse on Higher Education, the George Washington University.</t>
        </is>
      </c>
      <c r="F1073" t="inlineStr">
        <is>
          <t>No</t>
        </is>
      </c>
      <c r="G1073" t="inlineStr">
        <is>
          <t>1</t>
        </is>
      </c>
      <c r="H1073" t="inlineStr">
        <is>
          <t>No</t>
        </is>
      </c>
      <c r="I1073" t="inlineStr">
        <is>
          <t>No</t>
        </is>
      </c>
      <c r="J1073" t="inlineStr">
        <is>
          <t>0</t>
        </is>
      </c>
      <c r="K1073" t="inlineStr">
        <is>
          <t>Alfred, Richard L.</t>
        </is>
      </c>
      <c r="L1073" t="inlineStr">
        <is>
          <t>College Station, Tex. : Association for the Study of Higher Education, 1987.</t>
        </is>
      </c>
      <c r="M1073" t="inlineStr">
        <is>
          <t>1987</t>
        </is>
      </c>
      <c r="O1073" t="inlineStr">
        <is>
          <t>eng</t>
        </is>
      </c>
      <c r="P1073" t="inlineStr">
        <is>
          <t>txu</t>
        </is>
      </c>
      <c r="Q1073" t="inlineStr">
        <is>
          <t>ASHE-ERIC higher education report, 0884-0040 ; no. 6, 1987</t>
        </is>
      </c>
      <c r="R1073" t="inlineStr">
        <is>
          <t xml:space="preserve">LB </t>
        </is>
      </c>
      <c r="S1073" t="n">
        <v>2</v>
      </c>
      <c r="T1073" t="n">
        <v>2</v>
      </c>
      <c r="U1073" t="inlineStr">
        <is>
          <t>1997-05-22</t>
        </is>
      </c>
      <c r="V1073" t="inlineStr">
        <is>
          <t>1997-05-22</t>
        </is>
      </c>
      <c r="W1073" t="inlineStr">
        <is>
          <t>1993-06-09</t>
        </is>
      </c>
      <c r="X1073" t="inlineStr">
        <is>
          <t>1993-06-09</t>
        </is>
      </c>
      <c r="Y1073" t="n">
        <v>354</v>
      </c>
      <c r="Z1073" t="n">
        <v>323</v>
      </c>
      <c r="AA1073" t="n">
        <v>332</v>
      </c>
      <c r="AB1073" t="n">
        <v>3</v>
      </c>
      <c r="AC1073" t="n">
        <v>3</v>
      </c>
      <c r="AD1073" t="n">
        <v>25</v>
      </c>
      <c r="AE1073" t="n">
        <v>25</v>
      </c>
      <c r="AF1073" t="n">
        <v>10</v>
      </c>
      <c r="AG1073" t="n">
        <v>10</v>
      </c>
      <c r="AH1073" t="n">
        <v>7</v>
      </c>
      <c r="AI1073" t="n">
        <v>7</v>
      </c>
      <c r="AJ1073" t="n">
        <v>13</v>
      </c>
      <c r="AK1073" t="n">
        <v>13</v>
      </c>
      <c r="AL1073" t="n">
        <v>2</v>
      </c>
      <c r="AM1073" t="n">
        <v>2</v>
      </c>
      <c r="AN1073" t="n">
        <v>1</v>
      </c>
      <c r="AO1073" t="n">
        <v>1</v>
      </c>
      <c r="AP1073" t="inlineStr">
        <is>
          <t>No</t>
        </is>
      </c>
      <c r="AQ1073" t="inlineStr">
        <is>
          <t>No</t>
        </is>
      </c>
      <c r="AS1073">
        <f>HYPERLINK("https://creighton-primo.hosted.exlibrisgroup.com/primo-explore/search?tab=default_tab&amp;search_scope=EVERYTHING&amp;vid=01CRU&amp;lang=en_US&amp;offset=0&amp;query=any,contains,991001356189702656","Catalog Record")</f>
        <v/>
      </c>
      <c r="AT1073">
        <f>HYPERLINK("http://www.worldcat.org/oclc/18482856","WorldCat Record")</f>
        <v/>
      </c>
      <c r="AU1073" t="inlineStr">
        <is>
          <t>917373906:eng</t>
        </is>
      </c>
      <c r="AV1073" t="inlineStr">
        <is>
          <t>18482856</t>
        </is>
      </c>
      <c r="AW1073" t="inlineStr">
        <is>
          <t>991001356189702656</t>
        </is>
      </c>
      <c r="AX1073" t="inlineStr">
        <is>
          <t>991001356189702656</t>
        </is>
      </c>
      <c r="AY1073" t="inlineStr">
        <is>
          <t>2271792870002656</t>
        </is>
      </c>
      <c r="AZ1073" t="inlineStr">
        <is>
          <t>BOOK</t>
        </is>
      </c>
      <c r="BB1073" t="inlineStr">
        <is>
          <t>9780913317419</t>
        </is>
      </c>
      <c r="BC1073" t="inlineStr">
        <is>
          <t>32285001696300</t>
        </is>
      </c>
      <c r="BD1073" t="inlineStr">
        <is>
          <t>893497020</t>
        </is>
      </c>
    </row>
    <row r="1074">
      <c r="A1074" t="inlineStr">
        <is>
          <t>No</t>
        </is>
      </c>
      <c r="B1074" t="inlineStr">
        <is>
          <t>LB2342.8 .W45 1997</t>
        </is>
      </c>
      <c r="C1074" t="inlineStr">
        <is>
          <t>0                      LB 2342800W  45          1997</t>
        </is>
      </c>
      <c r="D1074" t="inlineStr">
        <is>
          <t>Reaching out : how academic leaders can communicate more effectively with their constituencies / by Clay Schoenfeld, Linda Weimer with Jean Lang.</t>
        </is>
      </c>
      <c r="F1074" t="inlineStr">
        <is>
          <t>No</t>
        </is>
      </c>
      <c r="G1074" t="inlineStr">
        <is>
          <t>1</t>
        </is>
      </c>
      <c r="H1074" t="inlineStr">
        <is>
          <t>No</t>
        </is>
      </c>
      <c r="I1074" t="inlineStr">
        <is>
          <t>No</t>
        </is>
      </c>
      <c r="J1074" t="inlineStr">
        <is>
          <t>0</t>
        </is>
      </c>
      <c r="K1074" t="inlineStr">
        <is>
          <t>Schoenfeld, Clay, 1918-1996.</t>
        </is>
      </c>
      <c r="L1074" t="inlineStr">
        <is>
          <t>Madison, Wis. : Atwood Pub., c1997.</t>
        </is>
      </c>
      <c r="M1074" t="inlineStr">
        <is>
          <t>1997</t>
        </is>
      </c>
      <c r="O1074" t="inlineStr">
        <is>
          <t>eng</t>
        </is>
      </c>
      <c r="P1074" t="inlineStr">
        <is>
          <t>wiu</t>
        </is>
      </c>
      <c r="R1074" t="inlineStr">
        <is>
          <t xml:space="preserve">LB </t>
        </is>
      </c>
      <c r="S1074" t="n">
        <v>1</v>
      </c>
      <c r="T1074" t="n">
        <v>1</v>
      </c>
      <c r="U1074" t="inlineStr">
        <is>
          <t>2003-11-24</t>
        </is>
      </c>
      <c r="V1074" t="inlineStr">
        <is>
          <t>2003-11-24</t>
        </is>
      </c>
      <c r="W1074" t="inlineStr">
        <is>
          <t>2003-11-24</t>
        </is>
      </c>
      <c r="X1074" t="inlineStr">
        <is>
          <t>2003-11-24</t>
        </is>
      </c>
      <c r="Y1074" t="n">
        <v>112</v>
      </c>
      <c r="Z1074" t="n">
        <v>101</v>
      </c>
      <c r="AA1074" t="n">
        <v>111</v>
      </c>
      <c r="AB1074" t="n">
        <v>1</v>
      </c>
      <c r="AC1074" t="n">
        <v>1</v>
      </c>
      <c r="AD1074" t="n">
        <v>1</v>
      </c>
      <c r="AE1074" t="n">
        <v>1</v>
      </c>
      <c r="AF1074" t="n">
        <v>0</v>
      </c>
      <c r="AG1074" t="n">
        <v>0</v>
      </c>
      <c r="AH1074" t="n">
        <v>0</v>
      </c>
      <c r="AI1074" t="n">
        <v>0</v>
      </c>
      <c r="AJ1074" t="n">
        <v>1</v>
      </c>
      <c r="AK1074" t="n">
        <v>1</v>
      </c>
      <c r="AL1074" t="n">
        <v>0</v>
      </c>
      <c r="AM1074" t="n">
        <v>0</v>
      </c>
      <c r="AN1074" t="n">
        <v>0</v>
      </c>
      <c r="AO1074" t="n">
        <v>0</v>
      </c>
      <c r="AP1074" t="inlineStr">
        <is>
          <t>No</t>
        </is>
      </c>
      <c r="AQ1074" t="inlineStr">
        <is>
          <t>No</t>
        </is>
      </c>
      <c r="AS1074">
        <f>HYPERLINK("https://creighton-primo.hosted.exlibrisgroup.com/primo-explore/search?tab=default_tab&amp;search_scope=EVERYTHING&amp;vid=01CRU&amp;lang=en_US&amp;offset=0&amp;query=any,contains,991004188029702656","Catalog Record")</f>
        <v/>
      </c>
      <c r="AT1074">
        <f>HYPERLINK("http://www.worldcat.org/oclc/36457963","WorldCat Record")</f>
        <v/>
      </c>
      <c r="AU1074" t="inlineStr">
        <is>
          <t>477244407:eng</t>
        </is>
      </c>
      <c r="AV1074" t="inlineStr">
        <is>
          <t>36457963</t>
        </is>
      </c>
      <c r="AW1074" t="inlineStr">
        <is>
          <t>991004188029702656</t>
        </is>
      </c>
      <c r="AX1074" t="inlineStr">
        <is>
          <t>991004188029702656</t>
        </is>
      </c>
      <c r="AY1074" t="inlineStr">
        <is>
          <t>2270375610002656</t>
        </is>
      </c>
      <c r="AZ1074" t="inlineStr">
        <is>
          <t>BOOK</t>
        </is>
      </c>
      <c r="BB1074" t="inlineStr">
        <is>
          <t>9780912150383</t>
        </is>
      </c>
      <c r="BC1074" t="inlineStr">
        <is>
          <t>32285004841150</t>
        </is>
      </c>
      <c r="BD1074" t="inlineStr">
        <is>
          <t>893417342</t>
        </is>
      </c>
    </row>
    <row r="1075">
      <c r="A1075" t="inlineStr">
        <is>
          <t>No</t>
        </is>
      </c>
      <c r="B1075" t="inlineStr">
        <is>
          <t>LB2342.9 .I46 2001</t>
        </is>
      </c>
      <c r="C1075" t="inlineStr">
        <is>
          <t>0                      LB 2342900I  46          2001</t>
        </is>
      </c>
      <c r="D1075" t="inlineStr">
        <is>
          <t>The implications of student spirituality for student affairs practice / Margaret A. Jablonski, editor.</t>
        </is>
      </c>
      <c r="F1075" t="inlineStr">
        <is>
          <t>No</t>
        </is>
      </c>
      <c r="G1075" t="inlineStr">
        <is>
          <t>1</t>
        </is>
      </c>
      <c r="H1075" t="inlineStr">
        <is>
          <t>No</t>
        </is>
      </c>
      <c r="I1075" t="inlineStr">
        <is>
          <t>No</t>
        </is>
      </c>
      <c r="J1075" t="inlineStr">
        <is>
          <t>0</t>
        </is>
      </c>
      <c r="L1075" t="inlineStr">
        <is>
          <t>San Francisco : Jossey-Bass, c2001.</t>
        </is>
      </c>
      <c r="M1075" t="inlineStr">
        <is>
          <t>2001</t>
        </is>
      </c>
      <c r="O1075" t="inlineStr">
        <is>
          <t>eng</t>
        </is>
      </c>
      <c r="P1075" t="inlineStr">
        <is>
          <t>cau</t>
        </is>
      </c>
      <c r="Q1075" t="inlineStr">
        <is>
          <t>New directions for student services, 0164-7970 ; no. 95</t>
        </is>
      </c>
      <c r="R1075" t="inlineStr">
        <is>
          <t xml:space="preserve">LB </t>
        </is>
      </c>
      <c r="S1075" t="n">
        <v>1</v>
      </c>
      <c r="T1075" t="n">
        <v>1</v>
      </c>
      <c r="U1075" t="inlineStr">
        <is>
          <t>2005-04-13</t>
        </is>
      </c>
      <c r="V1075" t="inlineStr">
        <is>
          <t>2005-04-13</t>
        </is>
      </c>
      <c r="W1075" t="inlineStr">
        <is>
          <t>2005-04-13</t>
        </is>
      </c>
      <c r="X1075" t="inlineStr">
        <is>
          <t>2005-04-13</t>
        </is>
      </c>
      <c r="Y1075" t="n">
        <v>263</v>
      </c>
      <c r="Z1075" t="n">
        <v>246</v>
      </c>
      <c r="AA1075" t="n">
        <v>248</v>
      </c>
      <c r="AB1075" t="n">
        <v>4</v>
      </c>
      <c r="AC1075" t="n">
        <v>4</v>
      </c>
      <c r="AD1075" t="n">
        <v>11</v>
      </c>
      <c r="AE1075" t="n">
        <v>11</v>
      </c>
      <c r="AF1075" t="n">
        <v>3</v>
      </c>
      <c r="AG1075" t="n">
        <v>3</v>
      </c>
      <c r="AH1075" t="n">
        <v>2</v>
      </c>
      <c r="AI1075" t="n">
        <v>2</v>
      </c>
      <c r="AJ1075" t="n">
        <v>5</v>
      </c>
      <c r="AK1075" t="n">
        <v>5</v>
      </c>
      <c r="AL1075" t="n">
        <v>3</v>
      </c>
      <c r="AM1075" t="n">
        <v>3</v>
      </c>
      <c r="AN1075" t="n">
        <v>0</v>
      </c>
      <c r="AO1075" t="n">
        <v>0</v>
      </c>
      <c r="AP1075" t="inlineStr">
        <is>
          <t>No</t>
        </is>
      </c>
      <c r="AQ1075" t="inlineStr">
        <is>
          <t>No</t>
        </is>
      </c>
      <c r="AS1075">
        <f>HYPERLINK("https://creighton-primo.hosted.exlibrisgroup.com/primo-explore/search?tab=default_tab&amp;search_scope=EVERYTHING&amp;vid=01CRU&amp;lang=en_US&amp;offset=0&amp;query=any,contains,991004517469702656","Catalog Record")</f>
        <v/>
      </c>
      <c r="AT1075">
        <f>HYPERLINK("http://www.worldcat.org/oclc/48039705","WorldCat Record")</f>
        <v/>
      </c>
      <c r="AU1075" t="inlineStr">
        <is>
          <t>356051882:eng</t>
        </is>
      </c>
      <c r="AV1075" t="inlineStr">
        <is>
          <t>48039705</t>
        </is>
      </c>
      <c r="AW1075" t="inlineStr">
        <is>
          <t>991004517469702656</t>
        </is>
      </c>
      <c r="AX1075" t="inlineStr">
        <is>
          <t>991004517469702656</t>
        </is>
      </c>
      <c r="AY1075" t="inlineStr">
        <is>
          <t>2254912460002656</t>
        </is>
      </c>
      <c r="AZ1075" t="inlineStr">
        <is>
          <t>BOOK</t>
        </is>
      </c>
      <c r="BB1075" t="inlineStr">
        <is>
          <t>9780787957872</t>
        </is>
      </c>
      <c r="BC1075" t="inlineStr">
        <is>
          <t>32285005030944</t>
        </is>
      </c>
      <c r="BD1075" t="inlineStr">
        <is>
          <t>893417719</t>
        </is>
      </c>
    </row>
    <row r="1076">
      <c r="A1076" t="inlineStr">
        <is>
          <t>No</t>
        </is>
      </c>
      <c r="B1076" t="inlineStr">
        <is>
          <t>LB2343 .G43 1982</t>
        </is>
      </c>
      <c r="C1076" t="inlineStr">
        <is>
          <t>0                      LB 2343000G  43          1982</t>
        </is>
      </c>
      <c r="D1076" t="inlineStr">
        <is>
          <t>Peer counseling and self-help groups on campus / by Norman S. Giddan and Michael J. Austin.</t>
        </is>
      </c>
      <c r="F1076" t="inlineStr">
        <is>
          <t>No</t>
        </is>
      </c>
      <c r="G1076" t="inlineStr">
        <is>
          <t>1</t>
        </is>
      </c>
      <c r="H1076" t="inlineStr">
        <is>
          <t>No</t>
        </is>
      </c>
      <c r="I1076" t="inlineStr">
        <is>
          <t>No</t>
        </is>
      </c>
      <c r="J1076" t="inlineStr">
        <is>
          <t>0</t>
        </is>
      </c>
      <c r="K1076" t="inlineStr">
        <is>
          <t>Giddan, Norman S.</t>
        </is>
      </c>
      <c r="L1076" t="inlineStr">
        <is>
          <t>Springfield, Ill. : Thomas, c1982.</t>
        </is>
      </c>
      <c r="M1076" t="inlineStr">
        <is>
          <t>1982</t>
        </is>
      </c>
      <c r="O1076" t="inlineStr">
        <is>
          <t>eng</t>
        </is>
      </c>
      <c r="P1076" t="inlineStr">
        <is>
          <t>ilu</t>
        </is>
      </c>
      <c r="R1076" t="inlineStr">
        <is>
          <t xml:space="preserve">LB </t>
        </is>
      </c>
      <c r="S1076" t="n">
        <v>4</v>
      </c>
      <c r="T1076" t="n">
        <v>4</v>
      </c>
      <c r="U1076" t="inlineStr">
        <is>
          <t>1999-03-25</t>
        </is>
      </c>
      <c r="V1076" t="inlineStr">
        <is>
          <t>1999-03-25</t>
        </is>
      </c>
      <c r="W1076" t="inlineStr">
        <is>
          <t>1993-06-09</t>
        </is>
      </c>
      <c r="X1076" t="inlineStr">
        <is>
          <t>1993-06-09</t>
        </is>
      </c>
      <c r="Y1076" t="n">
        <v>238</v>
      </c>
      <c r="Z1076" t="n">
        <v>208</v>
      </c>
      <c r="AA1076" t="n">
        <v>215</v>
      </c>
      <c r="AB1076" t="n">
        <v>1</v>
      </c>
      <c r="AC1076" t="n">
        <v>1</v>
      </c>
      <c r="AD1076" t="n">
        <v>6</v>
      </c>
      <c r="AE1076" t="n">
        <v>6</v>
      </c>
      <c r="AF1076" t="n">
        <v>2</v>
      </c>
      <c r="AG1076" t="n">
        <v>2</v>
      </c>
      <c r="AH1076" t="n">
        <v>3</v>
      </c>
      <c r="AI1076" t="n">
        <v>3</v>
      </c>
      <c r="AJ1076" t="n">
        <v>2</v>
      </c>
      <c r="AK1076" t="n">
        <v>2</v>
      </c>
      <c r="AL1076" t="n">
        <v>0</v>
      </c>
      <c r="AM1076" t="n">
        <v>0</v>
      </c>
      <c r="AN1076" t="n">
        <v>0</v>
      </c>
      <c r="AO1076" t="n">
        <v>0</v>
      </c>
      <c r="AP1076" t="inlineStr">
        <is>
          <t>No</t>
        </is>
      </c>
      <c r="AQ1076" t="inlineStr">
        <is>
          <t>Yes</t>
        </is>
      </c>
      <c r="AR1076">
        <f>HYPERLINK("http://catalog.hathitrust.org/Record/000273847","HathiTrust Record")</f>
        <v/>
      </c>
      <c r="AS1076">
        <f>HYPERLINK("https://creighton-primo.hosted.exlibrisgroup.com/primo-explore/search?tab=default_tab&amp;search_scope=EVERYTHING&amp;vid=01CRU&amp;lang=en_US&amp;offset=0&amp;query=any,contains,991005244439702656","Catalog Record")</f>
        <v/>
      </c>
      <c r="AT1076">
        <f>HYPERLINK("http://www.worldcat.org/oclc/8451444","WorldCat Record")</f>
        <v/>
      </c>
      <c r="AU1076" t="inlineStr">
        <is>
          <t>472625:eng</t>
        </is>
      </c>
      <c r="AV1076" t="inlineStr">
        <is>
          <t>8451444</t>
        </is>
      </c>
      <c r="AW1076" t="inlineStr">
        <is>
          <t>991005244439702656</t>
        </is>
      </c>
      <c r="AX1076" t="inlineStr">
        <is>
          <t>991005244439702656</t>
        </is>
      </c>
      <c r="AY1076" t="inlineStr">
        <is>
          <t>2265984090002656</t>
        </is>
      </c>
      <c r="AZ1076" t="inlineStr">
        <is>
          <t>BOOK</t>
        </is>
      </c>
      <c r="BB1076" t="inlineStr">
        <is>
          <t>9780398047245</t>
        </is>
      </c>
      <c r="BC1076" t="inlineStr">
        <is>
          <t>32285001696326</t>
        </is>
      </c>
      <c r="BD1076" t="inlineStr">
        <is>
          <t>893320311</t>
        </is>
      </c>
    </row>
    <row r="1077">
      <c r="A1077" t="inlineStr">
        <is>
          <t>No</t>
        </is>
      </c>
      <c r="B1077" t="inlineStr">
        <is>
          <t>LB2343 .K33</t>
        </is>
      </c>
      <c r="C1077" t="inlineStr">
        <is>
          <t>0                      LB 2343000K  33</t>
        </is>
      </c>
      <c r="D1077" t="inlineStr">
        <is>
          <t>Services for students. Joseph Katz, issue editor.</t>
        </is>
      </c>
      <c r="F1077" t="inlineStr">
        <is>
          <t>No</t>
        </is>
      </c>
      <c r="G1077" t="inlineStr">
        <is>
          <t>1</t>
        </is>
      </c>
      <c r="H1077" t="inlineStr">
        <is>
          <t>No</t>
        </is>
      </c>
      <c r="I1077" t="inlineStr">
        <is>
          <t>No</t>
        </is>
      </c>
      <c r="J1077" t="inlineStr">
        <is>
          <t>0</t>
        </is>
      </c>
      <c r="K1077" t="inlineStr">
        <is>
          <t>Katz, Joseph, 1920-1988.</t>
        </is>
      </c>
      <c r="L1077" t="inlineStr">
        <is>
          <t>San Francisco, Jossey-Bass [1973]</t>
        </is>
      </c>
      <c r="M1077" t="inlineStr">
        <is>
          <t>1973</t>
        </is>
      </c>
      <c r="O1077" t="inlineStr">
        <is>
          <t>eng</t>
        </is>
      </c>
      <c r="P1077" t="inlineStr">
        <is>
          <t>cau</t>
        </is>
      </c>
      <c r="Q1077" t="inlineStr">
        <is>
          <t>New directions for higher education ; v. 1, no. 3</t>
        </is>
      </c>
      <c r="R1077" t="inlineStr">
        <is>
          <t xml:space="preserve">LB </t>
        </is>
      </c>
      <c r="S1077" t="n">
        <v>2</v>
      </c>
      <c r="T1077" t="n">
        <v>2</v>
      </c>
      <c r="U1077" t="inlineStr">
        <is>
          <t>2008-10-14</t>
        </is>
      </c>
      <c r="V1077" t="inlineStr">
        <is>
          <t>2008-10-14</t>
        </is>
      </c>
      <c r="W1077" t="inlineStr">
        <is>
          <t>1997-05-16</t>
        </is>
      </c>
      <c r="X1077" t="inlineStr">
        <is>
          <t>1997-05-16</t>
        </is>
      </c>
      <c r="Y1077" t="n">
        <v>235</v>
      </c>
      <c r="Z1077" t="n">
        <v>206</v>
      </c>
      <c r="AA1077" t="n">
        <v>206</v>
      </c>
      <c r="AB1077" t="n">
        <v>2</v>
      </c>
      <c r="AC1077" t="n">
        <v>2</v>
      </c>
      <c r="AD1077" t="n">
        <v>10</v>
      </c>
      <c r="AE1077" t="n">
        <v>10</v>
      </c>
      <c r="AF1077" t="n">
        <v>4</v>
      </c>
      <c r="AG1077" t="n">
        <v>4</v>
      </c>
      <c r="AH1077" t="n">
        <v>3</v>
      </c>
      <c r="AI1077" t="n">
        <v>3</v>
      </c>
      <c r="AJ1077" t="n">
        <v>5</v>
      </c>
      <c r="AK1077" t="n">
        <v>5</v>
      </c>
      <c r="AL1077" t="n">
        <v>1</v>
      </c>
      <c r="AM1077" t="n">
        <v>1</v>
      </c>
      <c r="AN1077" t="n">
        <v>0</v>
      </c>
      <c r="AO1077" t="n">
        <v>0</v>
      </c>
      <c r="AP1077" t="inlineStr">
        <is>
          <t>No</t>
        </is>
      </c>
      <c r="AQ1077" t="inlineStr">
        <is>
          <t>No</t>
        </is>
      </c>
      <c r="AS1077">
        <f>HYPERLINK("https://creighton-primo.hosted.exlibrisgroup.com/primo-explore/search?tab=default_tab&amp;search_scope=EVERYTHING&amp;vid=01CRU&amp;lang=en_US&amp;offset=0&amp;query=any,contains,991003480559702656","Catalog Record")</f>
        <v/>
      </c>
      <c r="AT1077">
        <f>HYPERLINK("http://www.worldcat.org/oclc/1027614","WorldCat Record")</f>
        <v/>
      </c>
      <c r="AU1077" t="inlineStr">
        <is>
          <t>898135809:eng</t>
        </is>
      </c>
      <c r="AV1077" t="inlineStr">
        <is>
          <t>1027614</t>
        </is>
      </c>
      <c r="AW1077" t="inlineStr">
        <is>
          <t>991003480559702656</t>
        </is>
      </c>
      <c r="AX1077" t="inlineStr">
        <is>
          <t>991003480559702656</t>
        </is>
      </c>
      <c r="AY1077" t="inlineStr">
        <is>
          <t>2255779790002656</t>
        </is>
      </c>
      <c r="AZ1077" t="inlineStr">
        <is>
          <t>BOOK</t>
        </is>
      </c>
      <c r="BC1077" t="inlineStr">
        <is>
          <t>32285002668803</t>
        </is>
      </c>
      <c r="BD1077" t="inlineStr">
        <is>
          <t>893246390</t>
        </is>
      </c>
    </row>
    <row r="1078">
      <c r="A1078" t="inlineStr">
        <is>
          <t>No</t>
        </is>
      </c>
      <c r="B1078" t="inlineStr">
        <is>
          <t>LB2351 .C28 1979</t>
        </is>
      </c>
      <c r="C1078" t="inlineStr">
        <is>
          <t>0                      LB 2351000C  28          1979</t>
        </is>
      </c>
      <c r="D1078" t="inlineStr">
        <is>
          <t>Fair practices in higher education : rights and responsibilities of students and their colleges in a period of intensified competition for enrollments : a report of the Carnegie Council on Policy Studies in Higher Education.</t>
        </is>
      </c>
      <c r="F1078" t="inlineStr">
        <is>
          <t>No</t>
        </is>
      </c>
      <c r="G1078" t="inlineStr">
        <is>
          <t>1</t>
        </is>
      </c>
      <c r="H1078" t="inlineStr">
        <is>
          <t>No</t>
        </is>
      </c>
      <c r="I1078" t="inlineStr">
        <is>
          <t>No</t>
        </is>
      </c>
      <c r="J1078" t="inlineStr">
        <is>
          <t>0</t>
        </is>
      </c>
      <c r="K1078" t="inlineStr">
        <is>
          <t>Carnegie Council on Policy Studies in Higher Education.</t>
        </is>
      </c>
      <c r="L1078" t="inlineStr">
        <is>
          <t>San Francisco : Jossey-Bass Publishers, 1979.</t>
        </is>
      </c>
      <c r="M1078" t="inlineStr">
        <is>
          <t>1979</t>
        </is>
      </c>
      <c r="N1078" t="inlineStr">
        <is>
          <t>1st ed.</t>
        </is>
      </c>
      <c r="O1078" t="inlineStr">
        <is>
          <t>eng</t>
        </is>
      </c>
      <c r="P1078" t="inlineStr">
        <is>
          <t>cau</t>
        </is>
      </c>
      <c r="Q1078" t="inlineStr">
        <is>
          <t>The Carnegie Council series</t>
        </is>
      </c>
      <c r="R1078" t="inlineStr">
        <is>
          <t xml:space="preserve">LB </t>
        </is>
      </c>
      <c r="S1078" t="n">
        <v>3</v>
      </c>
      <c r="T1078" t="n">
        <v>3</v>
      </c>
      <c r="U1078" t="inlineStr">
        <is>
          <t>2008-04-19</t>
        </is>
      </c>
      <c r="V1078" t="inlineStr">
        <is>
          <t>2008-04-19</t>
        </is>
      </c>
      <c r="W1078" t="inlineStr">
        <is>
          <t>1992-08-04</t>
        </is>
      </c>
      <c r="X1078" t="inlineStr">
        <is>
          <t>1992-08-04</t>
        </is>
      </c>
      <c r="Y1078" t="n">
        <v>794</v>
      </c>
      <c r="Z1078" t="n">
        <v>727</v>
      </c>
      <c r="AA1078" t="n">
        <v>734</v>
      </c>
      <c r="AB1078" t="n">
        <v>3</v>
      </c>
      <c r="AC1078" t="n">
        <v>3</v>
      </c>
      <c r="AD1078" t="n">
        <v>37</v>
      </c>
      <c r="AE1078" t="n">
        <v>37</v>
      </c>
      <c r="AF1078" t="n">
        <v>12</v>
      </c>
      <c r="AG1078" t="n">
        <v>12</v>
      </c>
      <c r="AH1078" t="n">
        <v>8</v>
      </c>
      <c r="AI1078" t="n">
        <v>8</v>
      </c>
      <c r="AJ1078" t="n">
        <v>15</v>
      </c>
      <c r="AK1078" t="n">
        <v>15</v>
      </c>
      <c r="AL1078" t="n">
        <v>2</v>
      </c>
      <c r="AM1078" t="n">
        <v>2</v>
      </c>
      <c r="AN1078" t="n">
        <v>9</v>
      </c>
      <c r="AO1078" t="n">
        <v>9</v>
      </c>
      <c r="AP1078" t="inlineStr">
        <is>
          <t>No</t>
        </is>
      </c>
      <c r="AQ1078" t="inlineStr">
        <is>
          <t>Yes</t>
        </is>
      </c>
      <c r="AR1078">
        <f>HYPERLINK("http://catalog.hathitrust.org/Record/000300485","HathiTrust Record")</f>
        <v/>
      </c>
      <c r="AS1078">
        <f>HYPERLINK("https://creighton-primo.hosted.exlibrisgroup.com/primo-explore/search?tab=default_tab&amp;search_scope=EVERYTHING&amp;vid=01CRU&amp;lang=en_US&amp;offset=0&amp;query=any,contains,991004746729702656","Catalog Record")</f>
        <v/>
      </c>
      <c r="AT1078">
        <f>HYPERLINK("http://www.worldcat.org/oclc/4913090","WorldCat Record")</f>
        <v/>
      </c>
      <c r="AU1078" t="inlineStr">
        <is>
          <t>15154590:eng</t>
        </is>
      </c>
      <c r="AV1078" t="inlineStr">
        <is>
          <t>4913090</t>
        </is>
      </c>
      <c r="AW1078" t="inlineStr">
        <is>
          <t>991004746729702656</t>
        </is>
      </c>
      <c r="AX1078" t="inlineStr">
        <is>
          <t>991004746729702656</t>
        </is>
      </c>
      <c r="AY1078" t="inlineStr">
        <is>
          <t>2271370160002656</t>
        </is>
      </c>
      <c r="AZ1078" t="inlineStr">
        <is>
          <t>BOOK</t>
        </is>
      </c>
      <c r="BB1078" t="inlineStr">
        <is>
          <t>9780875894157</t>
        </is>
      </c>
      <c r="BC1078" t="inlineStr">
        <is>
          <t>32285001251650</t>
        </is>
      </c>
      <c r="BD1078" t="inlineStr">
        <is>
          <t>893895426</t>
        </is>
      </c>
    </row>
    <row r="1079">
      <c r="A1079" t="inlineStr">
        <is>
          <t>No</t>
        </is>
      </c>
      <c r="B1079" t="inlineStr">
        <is>
          <t>LB2351 .P4</t>
        </is>
      </c>
      <c r="C1079" t="inlineStr">
        <is>
          <t>0                      LB 2351000P  4</t>
        </is>
      </c>
      <c r="D1079" t="inlineStr">
        <is>
          <t>The international baccalaureate; an experiment in international education [by] A. D. C. Peterson.</t>
        </is>
      </c>
      <c r="F1079" t="inlineStr">
        <is>
          <t>No</t>
        </is>
      </c>
      <c r="G1079" t="inlineStr">
        <is>
          <t>1</t>
        </is>
      </c>
      <c r="H1079" t="inlineStr">
        <is>
          <t>No</t>
        </is>
      </c>
      <c r="I1079" t="inlineStr">
        <is>
          <t>No</t>
        </is>
      </c>
      <c r="J1079" t="inlineStr">
        <is>
          <t>0</t>
        </is>
      </c>
      <c r="K1079" t="inlineStr">
        <is>
          <t>Peterson, A. D. C. (Alexander Duncan Campbell), 1908-1988.</t>
        </is>
      </c>
      <c r="L1079" t="inlineStr">
        <is>
          <t>London, G. G. Harrap [1972]</t>
        </is>
      </c>
      <c r="M1079" t="inlineStr">
        <is>
          <t>1972</t>
        </is>
      </c>
      <c r="O1079" t="inlineStr">
        <is>
          <t>eng</t>
        </is>
      </c>
      <c r="P1079" t="inlineStr">
        <is>
          <t>enk</t>
        </is>
      </c>
      <c r="R1079" t="inlineStr">
        <is>
          <t xml:space="preserve">LB </t>
        </is>
      </c>
      <c r="S1079" t="n">
        <v>2</v>
      </c>
      <c r="T1079" t="n">
        <v>2</v>
      </c>
      <c r="U1079" t="inlineStr">
        <is>
          <t>2001-09-26</t>
        </is>
      </c>
      <c r="V1079" t="inlineStr">
        <is>
          <t>2001-09-26</t>
        </is>
      </c>
      <c r="W1079" t="inlineStr">
        <is>
          <t>1997-05-16</t>
        </is>
      </c>
      <c r="X1079" t="inlineStr">
        <is>
          <t>1997-05-16</t>
        </is>
      </c>
      <c r="Y1079" t="n">
        <v>327</v>
      </c>
      <c r="Z1079" t="n">
        <v>206</v>
      </c>
      <c r="AA1079" t="n">
        <v>208</v>
      </c>
      <c r="AB1079" t="n">
        <v>1</v>
      </c>
      <c r="AC1079" t="n">
        <v>1</v>
      </c>
      <c r="AD1079" t="n">
        <v>5</v>
      </c>
      <c r="AE1079" t="n">
        <v>5</v>
      </c>
      <c r="AF1079" t="n">
        <v>1</v>
      </c>
      <c r="AG1079" t="n">
        <v>1</v>
      </c>
      <c r="AH1079" t="n">
        <v>2</v>
      </c>
      <c r="AI1079" t="n">
        <v>2</v>
      </c>
      <c r="AJ1079" t="n">
        <v>3</v>
      </c>
      <c r="AK1079" t="n">
        <v>3</v>
      </c>
      <c r="AL1079" t="n">
        <v>0</v>
      </c>
      <c r="AM1079" t="n">
        <v>0</v>
      </c>
      <c r="AN1079" t="n">
        <v>1</v>
      </c>
      <c r="AO1079" t="n">
        <v>1</v>
      </c>
      <c r="AP1079" t="inlineStr">
        <is>
          <t>No</t>
        </is>
      </c>
      <c r="AQ1079" t="inlineStr">
        <is>
          <t>Yes</t>
        </is>
      </c>
      <c r="AR1079">
        <f>HYPERLINK("http://catalog.hathitrust.org/Record/001068881","HathiTrust Record")</f>
        <v/>
      </c>
      <c r="AS1079">
        <f>HYPERLINK("https://creighton-primo.hosted.exlibrisgroup.com/primo-explore/search?tab=default_tab&amp;search_scope=EVERYTHING&amp;vid=01CRU&amp;lang=en_US&amp;offset=0&amp;query=any,contains,991002966879702656","Catalog Record")</f>
        <v/>
      </c>
      <c r="AT1079">
        <f>HYPERLINK("http://www.worldcat.org/oclc/546461","WorldCat Record")</f>
        <v/>
      </c>
      <c r="AU1079" t="inlineStr">
        <is>
          <t>1579169:eng</t>
        </is>
      </c>
      <c r="AV1079" t="inlineStr">
        <is>
          <t>546461</t>
        </is>
      </c>
      <c r="AW1079" t="inlineStr">
        <is>
          <t>991002966879702656</t>
        </is>
      </c>
      <c r="AX1079" t="inlineStr">
        <is>
          <t>991002966879702656</t>
        </is>
      </c>
      <c r="AY1079" t="inlineStr">
        <is>
          <t>2264963620002656</t>
        </is>
      </c>
      <c r="AZ1079" t="inlineStr">
        <is>
          <t>BOOK</t>
        </is>
      </c>
      <c r="BB1079" t="inlineStr">
        <is>
          <t>9780245505218</t>
        </is>
      </c>
      <c r="BC1079" t="inlineStr">
        <is>
          <t>32285002669074</t>
        </is>
      </c>
      <c r="BD1079" t="inlineStr">
        <is>
          <t>893704742</t>
        </is>
      </c>
    </row>
    <row r="1080">
      <c r="A1080" t="inlineStr">
        <is>
          <t>No</t>
        </is>
      </c>
      <c r="B1080" t="inlineStr">
        <is>
          <t>LB2353.46 .L339 1987</t>
        </is>
      </c>
      <c r="C1080" t="inlineStr">
        <is>
          <t>0                      LB 2353460L  339         1987</t>
        </is>
      </c>
      <c r="D1080" t="inlineStr">
        <is>
          <t>Relationships between ACT test scores and high school courses / Joan Laing, Harold B. Engen, James Maxey.</t>
        </is>
      </c>
      <c r="F1080" t="inlineStr">
        <is>
          <t>No</t>
        </is>
      </c>
      <c r="G1080" t="inlineStr">
        <is>
          <t>1</t>
        </is>
      </c>
      <c r="H1080" t="inlineStr">
        <is>
          <t>No</t>
        </is>
      </c>
      <c r="I1080" t="inlineStr">
        <is>
          <t>No</t>
        </is>
      </c>
      <c r="J1080" t="inlineStr">
        <is>
          <t>0</t>
        </is>
      </c>
      <c r="K1080" t="inlineStr">
        <is>
          <t>Laing, Joan.</t>
        </is>
      </c>
      <c r="L1080" t="inlineStr">
        <is>
          <t>Iowa City, Iowa : American College Testing Program, c1987.</t>
        </is>
      </c>
      <c r="M1080" t="inlineStr">
        <is>
          <t>1987</t>
        </is>
      </c>
      <c r="O1080" t="inlineStr">
        <is>
          <t>eng</t>
        </is>
      </c>
      <c r="P1080" t="inlineStr">
        <is>
          <t>iau</t>
        </is>
      </c>
      <c r="Q1080" t="inlineStr">
        <is>
          <t>ACT research report series ; 87-3.</t>
        </is>
      </c>
      <c r="R1080" t="inlineStr">
        <is>
          <t xml:space="preserve">LB </t>
        </is>
      </c>
      <c r="S1080" t="n">
        <v>9</v>
      </c>
      <c r="T1080" t="n">
        <v>9</v>
      </c>
      <c r="U1080" t="inlineStr">
        <is>
          <t>2008-05-29</t>
        </is>
      </c>
      <c r="V1080" t="inlineStr">
        <is>
          <t>2008-05-29</t>
        </is>
      </c>
      <c r="W1080" t="inlineStr">
        <is>
          <t>1990-05-04</t>
        </is>
      </c>
      <c r="X1080" t="inlineStr">
        <is>
          <t>1990-05-04</t>
        </is>
      </c>
      <c r="Y1080" t="n">
        <v>26</v>
      </c>
      <c r="Z1080" t="n">
        <v>24</v>
      </c>
      <c r="AA1080" t="n">
        <v>27</v>
      </c>
      <c r="AB1080" t="n">
        <v>1</v>
      </c>
      <c r="AC1080" t="n">
        <v>1</v>
      </c>
      <c r="AD1080" t="n">
        <v>0</v>
      </c>
      <c r="AE1080" t="n">
        <v>0</v>
      </c>
      <c r="AF1080" t="n">
        <v>0</v>
      </c>
      <c r="AG1080" t="n">
        <v>0</v>
      </c>
      <c r="AH1080" t="n">
        <v>0</v>
      </c>
      <c r="AI1080" t="n">
        <v>0</v>
      </c>
      <c r="AJ1080" t="n">
        <v>0</v>
      </c>
      <c r="AK1080" t="n">
        <v>0</v>
      </c>
      <c r="AL1080" t="n">
        <v>0</v>
      </c>
      <c r="AM1080" t="n">
        <v>0</v>
      </c>
      <c r="AN1080" t="n">
        <v>0</v>
      </c>
      <c r="AO1080" t="n">
        <v>0</v>
      </c>
      <c r="AP1080" t="inlineStr">
        <is>
          <t>No</t>
        </is>
      </c>
      <c r="AQ1080" t="inlineStr">
        <is>
          <t>No</t>
        </is>
      </c>
      <c r="AS1080">
        <f>HYPERLINK("https://creighton-primo.hosted.exlibrisgroup.com/primo-explore/search?tab=default_tab&amp;search_scope=EVERYTHING&amp;vid=01CRU&amp;lang=en_US&amp;offset=0&amp;query=any,contains,991001552119702656","Catalog Record")</f>
        <v/>
      </c>
      <c r="AT1080">
        <f>HYPERLINK("http://www.worldcat.org/oclc/20225338","WorldCat Record")</f>
        <v/>
      </c>
      <c r="AU1080" t="inlineStr">
        <is>
          <t>22249523:eng</t>
        </is>
      </c>
      <c r="AV1080" t="inlineStr">
        <is>
          <t>20225338</t>
        </is>
      </c>
      <c r="AW1080" t="inlineStr">
        <is>
          <t>991001552119702656</t>
        </is>
      </c>
      <c r="AX1080" t="inlineStr">
        <is>
          <t>991001552119702656</t>
        </is>
      </c>
      <c r="AY1080" t="inlineStr">
        <is>
          <t>2258697000002656</t>
        </is>
      </c>
      <c r="AZ1080" t="inlineStr">
        <is>
          <t>BOOK</t>
        </is>
      </c>
      <c r="BC1080" t="inlineStr">
        <is>
          <t>32285000118363</t>
        </is>
      </c>
      <c r="BD1080" t="inlineStr">
        <is>
          <t>893432921</t>
        </is>
      </c>
    </row>
    <row r="1081">
      <c r="A1081" t="inlineStr">
        <is>
          <t>No</t>
        </is>
      </c>
      <c r="B1081" t="inlineStr">
        <is>
          <t>LB2361.5 .C39 1996</t>
        </is>
      </c>
      <c r="C1081" t="inlineStr">
        <is>
          <t>0                      LB 2361500C  39          1996</t>
        </is>
      </c>
      <c r="D1081" t="inlineStr">
        <is>
          <t>The great canon controversy : the battle of the books in higher education / William Casement.</t>
        </is>
      </c>
      <c r="F1081" t="inlineStr">
        <is>
          <t>No</t>
        </is>
      </c>
      <c r="G1081" t="inlineStr">
        <is>
          <t>1</t>
        </is>
      </c>
      <c r="H1081" t="inlineStr">
        <is>
          <t>No</t>
        </is>
      </c>
      <c r="I1081" t="inlineStr">
        <is>
          <t>No</t>
        </is>
      </c>
      <c r="J1081" t="inlineStr">
        <is>
          <t>0</t>
        </is>
      </c>
      <c r="K1081" t="inlineStr">
        <is>
          <t>Casement, William, 1947-</t>
        </is>
      </c>
      <c r="L1081" t="inlineStr">
        <is>
          <t>New Brunswick, USA ; London : Transaction Pub., 1996.</t>
        </is>
      </c>
      <c r="M1081" t="inlineStr">
        <is>
          <t>1996</t>
        </is>
      </c>
      <c r="O1081" t="inlineStr">
        <is>
          <t>eng</t>
        </is>
      </c>
      <c r="P1081" t="inlineStr">
        <is>
          <t>nkc</t>
        </is>
      </c>
      <c r="R1081" t="inlineStr">
        <is>
          <t xml:space="preserve">LB </t>
        </is>
      </c>
      <c r="S1081" t="n">
        <v>1</v>
      </c>
      <c r="T1081" t="n">
        <v>1</v>
      </c>
      <c r="U1081" t="inlineStr">
        <is>
          <t>2002-03-02</t>
        </is>
      </c>
      <c r="V1081" t="inlineStr">
        <is>
          <t>2002-03-02</t>
        </is>
      </c>
      <c r="W1081" t="inlineStr">
        <is>
          <t>1996-10-22</t>
        </is>
      </c>
      <c r="X1081" t="inlineStr">
        <is>
          <t>1996-10-22</t>
        </is>
      </c>
      <c r="Y1081" t="n">
        <v>340</v>
      </c>
      <c r="Z1081" t="n">
        <v>311</v>
      </c>
      <c r="AA1081" t="n">
        <v>368</v>
      </c>
      <c r="AB1081" t="n">
        <v>3</v>
      </c>
      <c r="AC1081" t="n">
        <v>3</v>
      </c>
      <c r="AD1081" t="n">
        <v>15</v>
      </c>
      <c r="AE1081" t="n">
        <v>18</v>
      </c>
      <c r="AF1081" t="n">
        <v>3</v>
      </c>
      <c r="AG1081" t="n">
        <v>5</v>
      </c>
      <c r="AH1081" t="n">
        <v>5</v>
      </c>
      <c r="AI1081" t="n">
        <v>5</v>
      </c>
      <c r="AJ1081" t="n">
        <v>9</v>
      </c>
      <c r="AK1081" t="n">
        <v>11</v>
      </c>
      <c r="AL1081" t="n">
        <v>2</v>
      </c>
      <c r="AM1081" t="n">
        <v>2</v>
      </c>
      <c r="AN1081" t="n">
        <v>0</v>
      </c>
      <c r="AO1081" t="n">
        <v>0</v>
      </c>
      <c r="AP1081" t="inlineStr">
        <is>
          <t>No</t>
        </is>
      </c>
      <c r="AQ1081" t="inlineStr">
        <is>
          <t>No</t>
        </is>
      </c>
      <c r="AS1081">
        <f>HYPERLINK("https://creighton-primo.hosted.exlibrisgroup.com/primo-explore/search?tab=default_tab&amp;search_scope=EVERYTHING&amp;vid=01CRU&amp;lang=en_US&amp;offset=0&amp;query=any,contains,991002677589702656","Catalog Record")</f>
        <v/>
      </c>
      <c r="AT1081">
        <f>HYPERLINK("http://www.worldcat.org/oclc/32199417","WorldCat Record")</f>
        <v/>
      </c>
      <c r="AU1081" t="inlineStr">
        <is>
          <t>799931460:eng</t>
        </is>
      </c>
      <c r="AV1081" t="inlineStr">
        <is>
          <t>32199417</t>
        </is>
      </c>
      <c r="AW1081" t="inlineStr">
        <is>
          <t>991002677589702656</t>
        </is>
      </c>
      <c r="AX1081" t="inlineStr">
        <is>
          <t>991002677589702656</t>
        </is>
      </c>
      <c r="AY1081" t="inlineStr">
        <is>
          <t>2265881950002656</t>
        </is>
      </c>
      <c r="AZ1081" t="inlineStr">
        <is>
          <t>BOOK</t>
        </is>
      </c>
      <c r="BB1081" t="inlineStr">
        <is>
          <t>9781560002765</t>
        </is>
      </c>
      <c r="BC1081" t="inlineStr">
        <is>
          <t>32285002367596</t>
        </is>
      </c>
      <c r="BD1081" t="inlineStr">
        <is>
          <t>893251507</t>
        </is>
      </c>
    </row>
    <row r="1082">
      <c r="A1082" t="inlineStr">
        <is>
          <t>No</t>
        </is>
      </c>
      <c r="B1082" t="inlineStr">
        <is>
          <t>LB2361.5 .C65 2003</t>
        </is>
      </c>
      <c r="C1082" t="inlineStr">
        <is>
          <t>0                      LB 2361500C  65          2003</t>
        </is>
      </c>
      <c r="D1082" t="inlineStr">
        <is>
          <t>Understanding university success : a report from Standards for Success : a project of the Association of American Universities and the Pew Charitable Trusts / David T. Conley.</t>
        </is>
      </c>
      <c r="F1082" t="inlineStr">
        <is>
          <t>No</t>
        </is>
      </c>
      <c r="G1082" t="inlineStr">
        <is>
          <t>1</t>
        </is>
      </c>
      <c r="H1082" t="inlineStr">
        <is>
          <t>No</t>
        </is>
      </c>
      <c r="I1082" t="inlineStr">
        <is>
          <t>No</t>
        </is>
      </c>
      <c r="J1082" t="inlineStr">
        <is>
          <t>0</t>
        </is>
      </c>
      <c r="K1082" t="inlineStr">
        <is>
          <t>Conley, David T., 1948-</t>
        </is>
      </c>
      <c r="L1082" t="inlineStr">
        <is>
          <t>Eugene, OR : Center for Educational Policy Research, c2003.</t>
        </is>
      </c>
      <c r="M1082" t="inlineStr">
        <is>
          <t>2003</t>
        </is>
      </c>
      <c r="O1082" t="inlineStr">
        <is>
          <t>eng</t>
        </is>
      </c>
      <c r="P1082" t="inlineStr">
        <is>
          <t>oru</t>
        </is>
      </c>
      <c r="R1082" t="inlineStr">
        <is>
          <t xml:space="preserve">LB </t>
        </is>
      </c>
      <c r="S1082" t="n">
        <v>2</v>
      </c>
      <c r="T1082" t="n">
        <v>2</v>
      </c>
      <c r="U1082" t="inlineStr">
        <is>
          <t>2004-03-24</t>
        </is>
      </c>
      <c r="V1082" t="inlineStr">
        <is>
          <t>2004-03-24</t>
        </is>
      </c>
      <c r="W1082" t="inlineStr">
        <is>
          <t>2004-03-11</t>
        </is>
      </c>
      <c r="X1082" t="inlineStr">
        <is>
          <t>2004-03-11</t>
        </is>
      </c>
      <c r="Y1082" t="n">
        <v>44</v>
      </c>
      <c r="Z1082" t="n">
        <v>41</v>
      </c>
      <c r="AA1082" t="n">
        <v>49</v>
      </c>
      <c r="AB1082" t="n">
        <v>1</v>
      </c>
      <c r="AC1082" t="n">
        <v>1</v>
      </c>
      <c r="AD1082" t="n">
        <v>1</v>
      </c>
      <c r="AE1082" t="n">
        <v>1</v>
      </c>
      <c r="AF1082" t="n">
        <v>1</v>
      </c>
      <c r="AG1082" t="n">
        <v>1</v>
      </c>
      <c r="AH1082" t="n">
        <v>0</v>
      </c>
      <c r="AI1082" t="n">
        <v>0</v>
      </c>
      <c r="AJ1082" t="n">
        <v>0</v>
      </c>
      <c r="AK1082" t="n">
        <v>0</v>
      </c>
      <c r="AL1082" t="n">
        <v>0</v>
      </c>
      <c r="AM1082" t="n">
        <v>0</v>
      </c>
      <c r="AN1082" t="n">
        <v>0</v>
      </c>
      <c r="AO1082" t="n">
        <v>0</v>
      </c>
      <c r="AP1082" t="inlineStr">
        <is>
          <t>No</t>
        </is>
      </c>
      <c r="AQ1082" t="inlineStr">
        <is>
          <t>Yes</t>
        </is>
      </c>
      <c r="AR1082">
        <f>HYPERLINK("http://catalog.hathitrust.org/Record/004317285","HathiTrust Record")</f>
        <v/>
      </c>
      <c r="AS1082">
        <f>HYPERLINK("https://creighton-primo.hosted.exlibrisgroup.com/primo-explore/search?tab=default_tab&amp;search_scope=EVERYTHING&amp;vid=01CRU&amp;lang=en_US&amp;offset=0&amp;query=any,contains,991004258679702656","Catalog Record")</f>
        <v/>
      </c>
      <c r="AT1082">
        <f>HYPERLINK("http://www.worldcat.org/oclc/52131511","WorldCat Record")</f>
        <v/>
      </c>
      <c r="AU1082" t="inlineStr">
        <is>
          <t>9656233:eng</t>
        </is>
      </c>
      <c r="AV1082" t="inlineStr">
        <is>
          <t>52131511</t>
        </is>
      </c>
      <c r="AW1082" t="inlineStr">
        <is>
          <t>991004258679702656</t>
        </is>
      </c>
      <c r="AX1082" t="inlineStr">
        <is>
          <t>991004258679702656</t>
        </is>
      </c>
      <c r="AY1082" t="inlineStr">
        <is>
          <t>2258289960002656</t>
        </is>
      </c>
      <c r="AZ1082" t="inlineStr">
        <is>
          <t>BOOK</t>
        </is>
      </c>
      <c r="BB1082" t="inlineStr">
        <is>
          <t>9780972953801</t>
        </is>
      </c>
      <c r="BC1082" t="inlineStr">
        <is>
          <t>32285004916788</t>
        </is>
      </c>
      <c r="BD1082" t="inlineStr">
        <is>
          <t>893618453</t>
        </is>
      </c>
    </row>
    <row r="1083">
      <c r="A1083" t="inlineStr">
        <is>
          <t>No</t>
        </is>
      </c>
      <c r="B1083" t="inlineStr">
        <is>
          <t>LB2361.5 .I5 1982</t>
        </is>
      </c>
      <c r="C1083" t="inlineStr">
        <is>
          <t>0                      LB 2361500I  5           1982</t>
        </is>
      </c>
      <c r="D1083" t="inlineStr">
        <is>
          <t>In opposition to core curriculum : alternative models for undergraduate education / edited by James W. Hall with Barbara L. Kevles.</t>
        </is>
      </c>
      <c r="F1083" t="inlineStr">
        <is>
          <t>No</t>
        </is>
      </c>
      <c r="G1083" t="inlineStr">
        <is>
          <t>1</t>
        </is>
      </c>
      <c r="H1083" t="inlineStr">
        <is>
          <t>No</t>
        </is>
      </c>
      <c r="I1083" t="inlineStr">
        <is>
          <t>No</t>
        </is>
      </c>
      <c r="J1083" t="inlineStr">
        <is>
          <t>0</t>
        </is>
      </c>
      <c r="L1083" t="inlineStr">
        <is>
          <t>Westport, Conn. : Greenwood, 1982.</t>
        </is>
      </c>
      <c r="M1083" t="inlineStr">
        <is>
          <t>1982</t>
        </is>
      </c>
      <c r="O1083" t="inlineStr">
        <is>
          <t>eng</t>
        </is>
      </c>
      <c r="P1083" t="inlineStr">
        <is>
          <t>ctu</t>
        </is>
      </c>
      <c r="Q1083" t="inlineStr">
        <is>
          <t>Contributions to the study of education, 0196-707X ; no. 4</t>
        </is>
      </c>
      <c r="R1083" t="inlineStr">
        <is>
          <t xml:space="preserve">LB </t>
        </is>
      </c>
      <c r="S1083" t="n">
        <v>2</v>
      </c>
      <c r="T1083" t="n">
        <v>2</v>
      </c>
      <c r="U1083" t="inlineStr">
        <is>
          <t>2003-02-10</t>
        </is>
      </c>
      <c r="V1083" t="inlineStr">
        <is>
          <t>2003-02-10</t>
        </is>
      </c>
      <c r="W1083" t="inlineStr">
        <is>
          <t>1992-08-04</t>
        </is>
      </c>
      <c r="X1083" t="inlineStr">
        <is>
          <t>1992-08-04</t>
        </is>
      </c>
      <c r="Y1083" t="n">
        <v>545</v>
      </c>
      <c r="Z1083" t="n">
        <v>491</v>
      </c>
      <c r="AA1083" t="n">
        <v>501</v>
      </c>
      <c r="AB1083" t="n">
        <v>3</v>
      </c>
      <c r="AC1083" t="n">
        <v>3</v>
      </c>
      <c r="AD1083" t="n">
        <v>25</v>
      </c>
      <c r="AE1083" t="n">
        <v>25</v>
      </c>
      <c r="AF1083" t="n">
        <v>11</v>
      </c>
      <c r="AG1083" t="n">
        <v>11</v>
      </c>
      <c r="AH1083" t="n">
        <v>2</v>
      </c>
      <c r="AI1083" t="n">
        <v>2</v>
      </c>
      <c r="AJ1083" t="n">
        <v>16</v>
      </c>
      <c r="AK1083" t="n">
        <v>16</v>
      </c>
      <c r="AL1083" t="n">
        <v>2</v>
      </c>
      <c r="AM1083" t="n">
        <v>2</v>
      </c>
      <c r="AN1083" t="n">
        <v>0</v>
      </c>
      <c r="AO1083" t="n">
        <v>0</v>
      </c>
      <c r="AP1083" t="inlineStr">
        <is>
          <t>No</t>
        </is>
      </c>
      <c r="AQ1083" t="inlineStr">
        <is>
          <t>No</t>
        </is>
      </c>
      <c r="AS1083">
        <f>HYPERLINK("https://creighton-primo.hosted.exlibrisgroup.com/primo-explore/search?tab=default_tab&amp;search_scope=EVERYTHING&amp;vid=01CRU&amp;lang=en_US&amp;offset=0&amp;query=any,contains,991005128799702656","Catalog Record")</f>
        <v/>
      </c>
      <c r="AT1083">
        <f>HYPERLINK("http://www.worldcat.org/oclc/7555584","WorldCat Record")</f>
        <v/>
      </c>
      <c r="AU1083" t="inlineStr">
        <is>
          <t>380007679:eng</t>
        </is>
      </c>
      <c r="AV1083" t="inlineStr">
        <is>
          <t>7555584</t>
        </is>
      </c>
      <c r="AW1083" t="inlineStr">
        <is>
          <t>991005128799702656</t>
        </is>
      </c>
      <c r="AX1083" t="inlineStr">
        <is>
          <t>991005128799702656</t>
        </is>
      </c>
      <c r="AY1083" t="inlineStr">
        <is>
          <t>2266296680002656</t>
        </is>
      </c>
      <c r="AZ1083" t="inlineStr">
        <is>
          <t>BOOK</t>
        </is>
      </c>
      <c r="BB1083" t="inlineStr">
        <is>
          <t>9780313229022</t>
        </is>
      </c>
      <c r="BC1083" t="inlineStr">
        <is>
          <t>32285001251783</t>
        </is>
      </c>
      <c r="BD1083" t="inlineStr">
        <is>
          <t>893895929</t>
        </is>
      </c>
    </row>
    <row r="1084">
      <c r="A1084" t="inlineStr">
        <is>
          <t>No</t>
        </is>
      </c>
      <c r="B1084" t="inlineStr">
        <is>
          <t>LB2361.5 .L4</t>
        </is>
      </c>
      <c r="C1084" t="inlineStr">
        <is>
          <t>0                      LB 2361500L  4</t>
        </is>
      </c>
      <c r="D1084" t="inlineStr">
        <is>
          <t>Handbook on undergraduate curriculum / Arthur Levine. --</t>
        </is>
      </c>
      <c r="F1084" t="inlineStr">
        <is>
          <t>No</t>
        </is>
      </c>
      <c r="G1084" t="inlineStr">
        <is>
          <t>1</t>
        </is>
      </c>
      <c r="H1084" t="inlineStr">
        <is>
          <t>No</t>
        </is>
      </c>
      <c r="I1084" t="inlineStr">
        <is>
          <t>No</t>
        </is>
      </c>
      <c r="J1084" t="inlineStr">
        <is>
          <t>0</t>
        </is>
      </c>
      <c r="K1084" t="inlineStr">
        <is>
          <t>Levine, Arthur.</t>
        </is>
      </c>
      <c r="L1084" t="inlineStr">
        <is>
          <t>San Francisco : Jossey-Bass Publishers, 1978.</t>
        </is>
      </c>
      <c r="M1084" t="inlineStr">
        <is>
          <t>1978</t>
        </is>
      </c>
      <c r="N1084" t="inlineStr">
        <is>
          <t>1st ed. --</t>
        </is>
      </c>
      <c r="O1084" t="inlineStr">
        <is>
          <t>eng</t>
        </is>
      </c>
      <c r="P1084" t="inlineStr">
        <is>
          <t>cau</t>
        </is>
      </c>
      <c r="Q1084" t="inlineStr">
        <is>
          <t>The Carnegie Council series</t>
        </is>
      </c>
      <c r="R1084" t="inlineStr">
        <is>
          <t xml:space="preserve">LB </t>
        </is>
      </c>
      <c r="S1084" t="n">
        <v>2</v>
      </c>
      <c r="T1084" t="n">
        <v>2</v>
      </c>
      <c r="U1084" t="inlineStr">
        <is>
          <t>2005-03-27</t>
        </is>
      </c>
      <c r="V1084" t="inlineStr">
        <is>
          <t>2005-03-27</t>
        </is>
      </c>
      <c r="W1084" t="inlineStr">
        <is>
          <t>1992-08-06</t>
        </is>
      </c>
      <c r="X1084" t="inlineStr">
        <is>
          <t>1992-08-06</t>
        </is>
      </c>
      <c r="Y1084" t="n">
        <v>934</v>
      </c>
      <c r="Z1084" t="n">
        <v>827</v>
      </c>
      <c r="AA1084" t="n">
        <v>831</v>
      </c>
      <c r="AB1084" t="n">
        <v>7</v>
      </c>
      <c r="AC1084" t="n">
        <v>7</v>
      </c>
      <c r="AD1084" t="n">
        <v>36</v>
      </c>
      <c r="AE1084" t="n">
        <v>36</v>
      </c>
      <c r="AF1084" t="n">
        <v>16</v>
      </c>
      <c r="AG1084" t="n">
        <v>16</v>
      </c>
      <c r="AH1084" t="n">
        <v>7</v>
      </c>
      <c r="AI1084" t="n">
        <v>7</v>
      </c>
      <c r="AJ1084" t="n">
        <v>18</v>
      </c>
      <c r="AK1084" t="n">
        <v>18</v>
      </c>
      <c r="AL1084" t="n">
        <v>6</v>
      </c>
      <c r="AM1084" t="n">
        <v>6</v>
      </c>
      <c r="AN1084" t="n">
        <v>0</v>
      </c>
      <c r="AO1084" t="n">
        <v>0</v>
      </c>
      <c r="AP1084" t="inlineStr">
        <is>
          <t>No</t>
        </is>
      </c>
      <c r="AQ1084" t="inlineStr">
        <is>
          <t>Yes</t>
        </is>
      </c>
      <c r="AR1084">
        <f>HYPERLINK("http://catalog.hathitrust.org/Record/000176128","HathiTrust Record")</f>
        <v/>
      </c>
      <c r="AS1084">
        <f>HYPERLINK("https://creighton-primo.hosted.exlibrisgroup.com/primo-explore/search?tab=default_tab&amp;search_scope=EVERYTHING&amp;vid=01CRU&amp;lang=en_US&amp;offset=0&amp;query=any,contains,991004560749702656","Catalog Record")</f>
        <v/>
      </c>
      <c r="AT1084">
        <f>HYPERLINK("http://www.worldcat.org/oclc/3998615","WorldCat Record")</f>
        <v/>
      </c>
      <c r="AU1084" t="inlineStr">
        <is>
          <t>532651:eng</t>
        </is>
      </c>
      <c r="AV1084" t="inlineStr">
        <is>
          <t>3998615</t>
        </is>
      </c>
      <c r="AW1084" t="inlineStr">
        <is>
          <t>991004560749702656</t>
        </is>
      </c>
      <c r="AX1084" t="inlineStr">
        <is>
          <t>991004560749702656</t>
        </is>
      </c>
      <c r="AY1084" t="inlineStr">
        <is>
          <t>2272726070002656</t>
        </is>
      </c>
      <c r="AZ1084" t="inlineStr">
        <is>
          <t>BOOK</t>
        </is>
      </c>
      <c r="BB1084" t="inlineStr">
        <is>
          <t>9780875893761</t>
        </is>
      </c>
      <c r="BC1084" t="inlineStr">
        <is>
          <t>32285001251809</t>
        </is>
      </c>
      <c r="BD1084" t="inlineStr">
        <is>
          <t>893719084</t>
        </is>
      </c>
    </row>
    <row r="1085">
      <c r="A1085" t="inlineStr">
        <is>
          <t>No</t>
        </is>
      </c>
      <c r="B1085" t="inlineStr">
        <is>
          <t>LB2361.5 .P75 1991 v. 2</t>
        </is>
      </c>
      <c r="C1085" t="inlineStr">
        <is>
          <t>0                      LB 2361500P  75          1991                                        v. 2</t>
        </is>
      </c>
      <c r="D1085" t="inlineStr">
        <is>
          <t>Reports from the fields / Project on Liberal Learning, Study-in-Depth, and the Arts and Sciences Major.</t>
        </is>
      </c>
      <c r="E1085" t="inlineStr">
        <is>
          <t>V. 2</t>
        </is>
      </c>
      <c r="F1085" t="inlineStr">
        <is>
          <t>No</t>
        </is>
      </c>
      <c r="G1085" t="inlineStr">
        <is>
          <t>1</t>
        </is>
      </c>
      <c r="H1085" t="inlineStr">
        <is>
          <t>No</t>
        </is>
      </c>
      <c r="I1085" t="inlineStr">
        <is>
          <t>No</t>
        </is>
      </c>
      <c r="J1085" t="inlineStr">
        <is>
          <t>0</t>
        </is>
      </c>
      <c r="K1085" t="inlineStr">
        <is>
          <t>Project on Liberal Learning, Study-in-Depth, and the Arts and Sciences Major.</t>
        </is>
      </c>
      <c r="L1085" t="inlineStr">
        <is>
          <t>Washington, D.C. : Association of American Colleges, 1991, c1990.</t>
        </is>
      </c>
      <c r="M1085" t="inlineStr">
        <is>
          <t>1991</t>
        </is>
      </c>
      <c r="O1085" t="inlineStr">
        <is>
          <t>eng</t>
        </is>
      </c>
      <c r="P1085" t="inlineStr">
        <is>
          <t>dcu</t>
        </is>
      </c>
      <c r="Q1085" t="inlineStr">
        <is>
          <t>Liberal learning and the arts and sciences major ; vol. 2</t>
        </is>
      </c>
      <c r="R1085" t="inlineStr">
        <is>
          <t xml:space="preserve">LB </t>
        </is>
      </c>
      <c r="S1085" t="n">
        <v>1</v>
      </c>
      <c r="T1085" t="n">
        <v>1</v>
      </c>
      <c r="U1085" t="inlineStr">
        <is>
          <t>2003-11-25</t>
        </is>
      </c>
      <c r="V1085" t="inlineStr">
        <is>
          <t>2003-11-25</t>
        </is>
      </c>
      <c r="W1085" t="inlineStr">
        <is>
          <t>2003-11-25</t>
        </is>
      </c>
      <c r="X1085" t="inlineStr">
        <is>
          <t>2003-11-25</t>
        </is>
      </c>
      <c r="Y1085" t="n">
        <v>14</v>
      </c>
      <c r="Z1085" t="n">
        <v>14</v>
      </c>
      <c r="AA1085" t="n">
        <v>14</v>
      </c>
      <c r="AB1085" t="n">
        <v>1</v>
      </c>
      <c r="AC1085" t="n">
        <v>1</v>
      </c>
      <c r="AD1085" t="n">
        <v>2</v>
      </c>
      <c r="AE1085" t="n">
        <v>2</v>
      </c>
      <c r="AF1085" t="n">
        <v>2</v>
      </c>
      <c r="AG1085" t="n">
        <v>2</v>
      </c>
      <c r="AH1085" t="n">
        <v>0</v>
      </c>
      <c r="AI1085" t="n">
        <v>0</v>
      </c>
      <c r="AJ1085" t="n">
        <v>0</v>
      </c>
      <c r="AK1085" t="n">
        <v>0</v>
      </c>
      <c r="AL1085" t="n">
        <v>0</v>
      </c>
      <c r="AM1085" t="n">
        <v>0</v>
      </c>
      <c r="AN1085" t="n">
        <v>0</v>
      </c>
      <c r="AO1085" t="n">
        <v>0</v>
      </c>
      <c r="AP1085" t="inlineStr">
        <is>
          <t>No</t>
        </is>
      </c>
      <c r="AQ1085" t="inlineStr">
        <is>
          <t>No</t>
        </is>
      </c>
      <c r="AS1085">
        <f>HYPERLINK("https://creighton-primo.hosted.exlibrisgroup.com/primo-explore/search?tab=default_tab&amp;search_scope=EVERYTHING&amp;vid=01CRU&amp;lang=en_US&amp;offset=0&amp;query=any,contains,991004190949702656","Catalog Record")</f>
        <v/>
      </c>
      <c r="AT1085">
        <f>HYPERLINK("http://www.worldcat.org/oclc/32624083","WorldCat Record")</f>
        <v/>
      </c>
      <c r="AU1085" t="inlineStr">
        <is>
          <t>36682906:eng</t>
        </is>
      </c>
      <c r="AV1085" t="inlineStr">
        <is>
          <t>32624083</t>
        </is>
      </c>
      <c r="AW1085" t="inlineStr">
        <is>
          <t>991004190949702656</t>
        </is>
      </c>
      <c r="AX1085" t="inlineStr">
        <is>
          <t>991004190949702656</t>
        </is>
      </c>
      <c r="AY1085" t="inlineStr">
        <is>
          <t>2270621030002656</t>
        </is>
      </c>
      <c r="AZ1085" t="inlineStr">
        <is>
          <t>BOOK</t>
        </is>
      </c>
      <c r="BB1085" t="inlineStr">
        <is>
          <t>9780911696509</t>
        </is>
      </c>
      <c r="BC1085" t="inlineStr">
        <is>
          <t>32285004841291</t>
        </is>
      </c>
      <c r="BD1085" t="inlineStr">
        <is>
          <t>893593387</t>
        </is>
      </c>
    </row>
    <row r="1086">
      <c r="A1086" t="inlineStr">
        <is>
          <t>No</t>
        </is>
      </c>
      <c r="B1086" t="inlineStr">
        <is>
          <t>LB2361.5 .P75 1991 v. 3</t>
        </is>
      </c>
      <c r="C1086" t="inlineStr">
        <is>
          <t>0                      LB 2361500P  75          1991                                        v. 3</t>
        </is>
      </c>
      <c r="D1086" t="inlineStr">
        <is>
          <t>Program review and educational quality in the major : a faculty handbook / Project on Liberal Learning, Study-in-Depth, and the Arts and Sciences Major.</t>
        </is>
      </c>
      <c r="E1086" t="inlineStr">
        <is>
          <t>V. 3</t>
        </is>
      </c>
      <c r="F1086" t="inlineStr">
        <is>
          <t>No</t>
        </is>
      </c>
      <c r="G1086" t="inlineStr">
        <is>
          <t>1</t>
        </is>
      </c>
      <c r="H1086" t="inlineStr">
        <is>
          <t>No</t>
        </is>
      </c>
      <c r="I1086" t="inlineStr">
        <is>
          <t>No</t>
        </is>
      </c>
      <c r="J1086" t="inlineStr">
        <is>
          <t>0</t>
        </is>
      </c>
      <c r="K1086" t="inlineStr">
        <is>
          <t>Project on Liberal Learning, Study-in-Depth, and the Arts and Sciences Major.</t>
        </is>
      </c>
      <c r="L1086" t="inlineStr">
        <is>
          <t>Washington, D.C. : Association of American Colleges, 1992.</t>
        </is>
      </c>
      <c r="M1086" t="inlineStr">
        <is>
          <t>1992</t>
        </is>
      </c>
      <c r="O1086" t="inlineStr">
        <is>
          <t>eng</t>
        </is>
      </c>
      <c r="P1086" t="inlineStr">
        <is>
          <t>dcu</t>
        </is>
      </c>
      <c r="Q1086" t="inlineStr">
        <is>
          <t>Liberal learning and the arts and sciences major ; vol. 3</t>
        </is>
      </c>
      <c r="R1086" t="inlineStr">
        <is>
          <t xml:space="preserve">LB </t>
        </is>
      </c>
      <c r="S1086" t="n">
        <v>1</v>
      </c>
      <c r="T1086" t="n">
        <v>1</v>
      </c>
      <c r="U1086" t="inlineStr">
        <is>
          <t>2003-11-25</t>
        </is>
      </c>
      <c r="V1086" t="inlineStr">
        <is>
          <t>2003-11-25</t>
        </is>
      </c>
      <c r="W1086" t="inlineStr">
        <is>
          <t>2003-11-25</t>
        </is>
      </c>
      <c r="X1086" t="inlineStr">
        <is>
          <t>2003-11-25</t>
        </is>
      </c>
      <c r="Y1086" t="n">
        <v>73</v>
      </c>
      <c r="Z1086" t="n">
        <v>68</v>
      </c>
      <c r="AA1086" t="n">
        <v>68</v>
      </c>
      <c r="AB1086" t="n">
        <v>1</v>
      </c>
      <c r="AC1086" t="n">
        <v>1</v>
      </c>
      <c r="AD1086" t="n">
        <v>2</v>
      </c>
      <c r="AE1086" t="n">
        <v>2</v>
      </c>
      <c r="AF1086" t="n">
        <v>1</v>
      </c>
      <c r="AG1086" t="n">
        <v>1</v>
      </c>
      <c r="AH1086" t="n">
        <v>2</v>
      </c>
      <c r="AI1086" t="n">
        <v>2</v>
      </c>
      <c r="AJ1086" t="n">
        <v>1</v>
      </c>
      <c r="AK1086" t="n">
        <v>1</v>
      </c>
      <c r="AL1086" t="n">
        <v>0</v>
      </c>
      <c r="AM1086" t="n">
        <v>0</v>
      </c>
      <c r="AN1086" t="n">
        <v>0</v>
      </c>
      <c r="AO1086" t="n">
        <v>0</v>
      </c>
      <c r="AP1086" t="inlineStr">
        <is>
          <t>No</t>
        </is>
      </c>
      <c r="AQ1086" t="inlineStr">
        <is>
          <t>No</t>
        </is>
      </c>
      <c r="AS1086">
        <f>HYPERLINK("https://creighton-primo.hosted.exlibrisgroup.com/primo-explore/search?tab=default_tab&amp;search_scope=EVERYTHING&amp;vid=01CRU&amp;lang=en_US&amp;offset=0&amp;query=any,contains,991004191629702656","Catalog Record")</f>
        <v/>
      </c>
      <c r="AT1086">
        <f>HYPERLINK("http://www.worldcat.org/oclc/25613203","WorldCat Record")</f>
        <v/>
      </c>
      <c r="AU1086" t="inlineStr">
        <is>
          <t>8908165678:eng</t>
        </is>
      </c>
      <c r="AV1086" t="inlineStr">
        <is>
          <t>25613203</t>
        </is>
      </c>
      <c r="AW1086" t="inlineStr">
        <is>
          <t>991004191629702656</t>
        </is>
      </c>
      <c r="AX1086" t="inlineStr">
        <is>
          <t>991004191629702656</t>
        </is>
      </c>
      <c r="AY1086" t="inlineStr">
        <is>
          <t>2264255510002656</t>
        </is>
      </c>
      <c r="AZ1086" t="inlineStr">
        <is>
          <t>BOOK</t>
        </is>
      </c>
      <c r="BB1086" t="inlineStr">
        <is>
          <t>9780911696530</t>
        </is>
      </c>
      <c r="BC1086" t="inlineStr">
        <is>
          <t>32285004841135</t>
        </is>
      </c>
      <c r="BD1086" t="inlineStr">
        <is>
          <t>893800703</t>
        </is>
      </c>
    </row>
    <row r="1087">
      <c r="A1087" t="inlineStr">
        <is>
          <t>No</t>
        </is>
      </c>
      <c r="B1087" t="inlineStr">
        <is>
          <t>LB2361.5 .R43 1998</t>
        </is>
      </c>
      <c r="C1087" t="inlineStr">
        <is>
          <t>0                      LB 2361500R  43          1998</t>
        </is>
      </c>
      <c r="D1087" t="inlineStr">
        <is>
          <t>Reforming the higher education curriculum : internationalizing the campus / edited by Josef A. Mestenhauser and Brenda J. Ellingboe.</t>
        </is>
      </c>
      <c r="F1087" t="inlineStr">
        <is>
          <t>No</t>
        </is>
      </c>
      <c r="G1087" t="inlineStr">
        <is>
          <t>1</t>
        </is>
      </c>
      <c r="H1087" t="inlineStr">
        <is>
          <t>No</t>
        </is>
      </c>
      <c r="I1087" t="inlineStr">
        <is>
          <t>No</t>
        </is>
      </c>
      <c r="J1087" t="inlineStr">
        <is>
          <t>0</t>
        </is>
      </c>
      <c r="L1087" t="inlineStr">
        <is>
          <t>Phoenix, Ariz. : Oryx Press, 1998.</t>
        </is>
      </c>
      <c r="M1087" t="inlineStr">
        <is>
          <t>1998</t>
        </is>
      </c>
      <c r="O1087" t="inlineStr">
        <is>
          <t>eng</t>
        </is>
      </c>
      <c r="P1087" t="inlineStr">
        <is>
          <t>azu</t>
        </is>
      </c>
      <c r="Q1087" t="inlineStr">
        <is>
          <t>American Council on Education/Oryx Press series on higher education</t>
        </is>
      </c>
      <c r="R1087" t="inlineStr">
        <is>
          <t xml:space="preserve">LB </t>
        </is>
      </c>
      <c r="S1087" t="n">
        <v>2</v>
      </c>
      <c r="T1087" t="n">
        <v>2</v>
      </c>
      <c r="U1087" t="inlineStr">
        <is>
          <t>2008-04-19</t>
        </is>
      </c>
      <c r="V1087" t="inlineStr">
        <is>
          <t>2008-04-19</t>
        </is>
      </c>
      <c r="W1087" t="inlineStr">
        <is>
          <t>1998-11-02</t>
        </is>
      </c>
      <c r="X1087" t="inlineStr">
        <is>
          <t>1998-11-02</t>
        </is>
      </c>
      <c r="Y1087" t="n">
        <v>565</v>
      </c>
      <c r="Z1087" t="n">
        <v>497</v>
      </c>
      <c r="AA1087" t="n">
        <v>505</v>
      </c>
      <c r="AB1087" t="n">
        <v>3</v>
      </c>
      <c r="AC1087" t="n">
        <v>3</v>
      </c>
      <c r="AD1087" t="n">
        <v>23</v>
      </c>
      <c r="AE1087" t="n">
        <v>23</v>
      </c>
      <c r="AF1087" t="n">
        <v>7</v>
      </c>
      <c r="AG1087" t="n">
        <v>7</v>
      </c>
      <c r="AH1087" t="n">
        <v>5</v>
      </c>
      <c r="AI1087" t="n">
        <v>5</v>
      </c>
      <c r="AJ1087" t="n">
        <v>16</v>
      </c>
      <c r="AK1087" t="n">
        <v>16</v>
      </c>
      <c r="AL1087" t="n">
        <v>2</v>
      </c>
      <c r="AM1087" t="n">
        <v>2</v>
      </c>
      <c r="AN1087" t="n">
        <v>0</v>
      </c>
      <c r="AO1087" t="n">
        <v>0</v>
      </c>
      <c r="AP1087" t="inlineStr">
        <is>
          <t>No</t>
        </is>
      </c>
      <c r="AQ1087" t="inlineStr">
        <is>
          <t>Yes</t>
        </is>
      </c>
      <c r="AR1087">
        <f>HYPERLINK("http://catalog.hathitrust.org/Record/003971673","HathiTrust Record")</f>
        <v/>
      </c>
      <c r="AS1087">
        <f>HYPERLINK("https://creighton-primo.hosted.exlibrisgroup.com/primo-explore/search?tab=default_tab&amp;search_scope=EVERYTHING&amp;vid=01CRU&amp;lang=en_US&amp;offset=0&amp;query=any,contains,991002935279702656","Catalog Record")</f>
        <v/>
      </c>
      <c r="AT1087">
        <f>HYPERLINK("http://www.worldcat.org/oclc/39045162","WorldCat Record")</f>
        <v/>
      </c>
      <c r="AU1087" t="inlineStr">
        <is>
          <t>475002641:eng</t>
        </is>
      </c>
      <c r="AV1087" t="inlineStr">
        <is>
          <t>39045162</t>
        </is>
      </c>
      <c r="AW1087" t="inlineStr">
        <is>
          <t>991002935279702656</t>
        </is>
      </c>
      <c r="AX1087" t="inlineStr">
        <is>
          <t>991002935279702656</t>
        </is>
      </c>
      <c r="AY1087" t="inlineStr">
        <is>
          <t>2269454090002656</t>
        </is>
      </c>
      <c r="AZ1087" t="inlineStr">
        <is>
          <t>BOOK</t>
        </is>
      </c>
      <c r="BB1087" t="inlineStr">
        <is>
          <t>9781573561730</t>
        </is>
      </c>
      <c r="BC1087" t="inlineStr">
        <is>
          <t>32285003479085</t>
        </is>
      </c>
      <c r="BD1087" t="inlineStr">
        <is>
          <t>893786767</t>
        </is>
      </c>
    </row>
    <row r="1088">
      <c r="A1088" t="inlineStr">
        <is>
          <t>No</t>
        </is>
      </c>
      <c r="B1088" t="inlineStr">
        <is>
          <t>LB2361.5 .R437 2001</t>
        </is>
      </c>
      <c r="C1088" t="inlineStr">
        <is>
          <t>0                      LB 2361500R  437         2001</t>
        </is>
      </c>
      <c r="D1088" t="inlineStr">
        <is>
          <t>Reinventing ourselves : interdisciplinary education, collaborative learning, and experimentation in higher education / Barbara Leigh Smith, John McCann, editors.</t>
        </is>
      </c>
      <c r="F1088" t="inlineStr">
        <is>
          <t>No</t>
        </is>
      </c>
      <c r="G1088" t="inlineStr">
        <is>
          <t>1</t>
        </is>
      </c>
      <c r="H1088" t="inlineStr">
        <is>
          <t>No</t>
        </is>
      </c>
      <c r="I1088" t="inlineStr">
        <is>
          <t>No</t>
        </is>
      </c>
      <c r="J1088" t="inlineStr">
        <is>
          <t>0</t>
        </is>
      </c>
      <c r="L1088" t="inlineStr">
        <is>
          <t>Bolton, Mass. : Anker Pub. Co., c2001.</t>
        </is>
      </c>
      <c r="M1088" t="inlineStr">
        <is>
          <t>2001</t>
        </is>
      </c>
      <c r="O1088" t="inlineStr">
        <is>
          <t>eng</t>
        </is>
      </c>
      <c r="P1088" t="inlineStr">
        <is>
          <t>mau</t>
        </is>
      </c>
      <c r="R1088" t="inlineStr">
        <is>
          <t xml:space="preserve">LB </t>
        </is>
      </c>
      <c r="S1088" t="n">
        <v>2</v>
      </c>
      <c r="T1088" t="n">
        <v>2</v>
      </c>
      <c r="U1088" t="inlineStr">
        <is>
          <t>2004-11-19</t>
        </is>
      </c>
      <c r="V1088" t="inlineStr">
        <is>
          <t>2004-11-19</t>
        </is>
      </c>
      <c r="W1088" t="inlineStr">
        <is>
          <t>2003-11-25</t>
        </is>
      </c>
      <c r="X1088" t="inlineStr">
        <is>
          <t>2003-11-25</t>
        </is>
      </c>
      <c r="Y1088" t="n">
        <v>328</v>
      </c>
      <c r="Z1088" t="n">
        <v>282</v>
      </c>
      <c r="AA1088" t="n">
        <v>286</v>
      </c>
      <c r="AB1088" t="n">
        <v>4</v>
      </c>
      <c r="AC1088" t="n">
        <v>4</v>
      </c>
      <c r="AD1088" t="n">
        <v>16</v>
      </c>
      <c r="AE1088" t="n">
        <v>16</v>
      </c>
      <c r="AF1088" t="n">
        <v>7</v>
      </c>
      <c r="AG1088" t="n">
        <v>7</v>
      </c>
      <c r="AH1088" t="n">
        <v>5</v>
      </c>
      <c r="AI1088" t="n">
        <v>5</v>
      </c>
      <c r="AJ1088" t="n">
        <v>4</v>
      </c>
      <c r="AK1088" t="n">
        <v>4</v>
      </c>
      <c r="AL1088" t="n">
        <v>3</v>
      </c>
      <c r="AM1088" t="n">
        <v>3</v>
      </c>
      <c r="AN1088" t="n">
        <v>0</v>
      </c>
      <c r="AO1088" t="n">
        <v>0</v>
      </c>
      <c r="AP1088" t="inlineStr">
        <is>
          <t>No</t>
        </is>
      </c>
      <c r="AQ1088" t="inlineStr">
        <is>
          <t>Yes</t>
        </is>
      </c>
      <c r="AR1088">
        <f>HYPERLINK("http://catalog.hathitrust.org/Record/004116111","HathiTrust Record")</f>
        <v/>
      </c>
      <c r="AS1088">
        <f>HYPERLINK("https://creighton-primo.hosted.exlibrisgroup.com/primo-explore/search?tab=default_tab&amp;search_scope=EVERYTHING&amp;vid=01CRU&amp;lang=en_US&amp;offset=0&amp;query=any,contains,991004191259702656","Catalog Record")</f>
        <v/>
      </c>
      <c r="AT1088">
        <f>HYPERLINK("http://www.worldcat.org/oclc/46239533","WorldCat Record")</f>
        <v/>
      </c>
      <c r="AU1088" t="inlineStr">
        <is>
          <t>475832201:eng</t>
        </is>
      </c>
      <c r="AV1088" t="inlineStr">
        <is>
          <t>46239533</t>
        </is>
      </c>
      <c r="AW1088" t="inlineStr">
        <is>
          <t>991004191259702656</t>
        </is>
      </c>
      <c r="AX1088" t="inlineStr">
        <is>
          <t>991004191259702656</t>
        </is>
      </c>
      <c r="AY1088" t="inlineStr">
        <is>
          <t>2256835510002656</t>
        </is>
      </c>
      <c r="AZ1088" t="inlineStr">
        <is>
          <t>BOOK</t>
        </is>
      </c>
      <c r="BB1088" t="inlineStr">
        <is>
          <t>9781882982356</t>
        </is>
      </c>
      <c r="BC1088" t="inlineStr">
        <is>
          <t>32285004841796</t>
        </is>
      </c>
      <c r="BD1088" t="inlineStr">
        <is>
          <t>893436001</t>
        </is>
      </c>
    </row>
    <row r="1089">
      <c r="A1089" t="inlineStr">
        <is>
          <t>No</t>
        </is>
      </c>
      <c r="B1089" t="inlineStr">
        <is>
          <t>LB2361.5 .R8</t>
        </is>
      </c>
      <c r="C1089" t="inlineStr">
        <is>
          <t>0                      LB 2361500R  8</t>
        </is>
      </c>
      <c r="D1089" t="inlineStr">
        <is>
          <t>Curriculum : a history of the American undergraduate course of study since 1636 / Frederick Rudolph ; [prepared for the Carnegie Council on Policy Studies in Higher Education].</t>
        </is>
      </c>
      <c r="F1089" t="inlineStr">
        <is>
          <t>No</t>
        </is>
      </c>
      <c r="G1089" t="inlineStr">
        <is>
          <t>1</t>
        </is>
      </c>
      <c r="H1089" t="inlineStr">
        <is>
          <t>No</t>
        </is>
      </c>
      <c r="I1089" t="inlineStr">
        <is>
          <t>No</t>
        </is>
      </c>
      <c r="J1089" t="inlineStr">
        <is>
          <t>0</t>
        </is>
      </c>
      <c r="K1089" t="inlineStr">
        <is>
          <t>Rudolph, Frederick.</t>
        </is>
      </c>
      <c r="L1089" t="inlineStr">
        <is>
          <t>San Francisco : Jossey-Bass Publishers, 1977.</t>
        </is>
      </c>
      <c r="M1089" t="inlineStr">
        <is>
          <t>1977</t>
        </is>
      </c>
      <c r="N1089" t="inlineStr">
        <is>
          <t>1st ed.</t>
        </is>
      </c>
      <c r="O1089" t="inlineStr">
        <is>
          <t>eng</t>
        </is>
      </c>
      <c r="P1089" t="inlineStr">
        <is>
          <t>cau</t>
        </is>
      </c>
      <c r="Q1089" t="inlineStr">
        <is>
          <t>The Carnegie Council series</t>
        </is>
      </c>
      <c r="R1089" t="inlineStr">
        <is>
          <t xml:space="preserve">LB </t>
        </is>
      </c>
      <c r="S1089" t="n">
        <v>1</v>
      </c>
      <c r="T1089" t="n">
        <v>1</v>
      </c>
      <c r="U1089" t="inlineStr">
        <is>
          <t>2001-04-19</t>
        </is>
      </c>
      <c r="V1089" t="inlineStr">
        <is>
          <t>2001-04-19</t>
        </is>
      </c>
      <c r="W1089" t="inlineStr">
        <is>
          <t>1997-05-16</t>
        </is>
      </c>
      <c r="X1089" t="inlineStr">
        <is>
          <t>1997-05-16</t>
        </is>
      </c>
      <c r="Y1089" t="n">
        <v>1056</v>
      </c>
      <c r="Z1089" t="n">
        <v>952</v>
      </c>
      <c r="AA1089" t="n">
        <v>1021</v>
      </c>
      <c r="AB1089" t="n">
        <v>6</v>
      </c>
      <c r="AC1089" t="n">
        <v>6</v>
      </c>
      <c r="AD1089" t="n">
        <v>39</v>
      </c>
      <c r="AE1089" t="n">
        <v>42</v>
      </c>
      <c r="AF1089" t="n">
        <v>17</v>
      </c>
      <c r="AG1089" t="n">
        <v>19</v>
      </c>
      <c r="AH1089" t="n">
        <v>5</v>
      </c>
      <c r="AI1089" t="n">
        <v>6</v>
      </c>
      <c r="AJ1089" t="n">
        <v>19</v>
      </c>
      <c r="AK1089" t="n">
        <v>20</v>
      </c>
      <c r="AL1089" t="n">
        <v>5</v>
      </c>
      <c r="AM1089" t="n">
        <v>5</v>
      </c>
      <c r="AN1089" t="n">
        <v>1</v>
      </c>
      <c r="AO1089" t="n">
        <v>1</v>
      </c>
      <c r="AP1089" t="inlineStr">
        <is>
          <t>No</t>
        </is>
      </c>
      <c r="AQ1089" t="inlineStr">
        <is>
          <t>Yes</t>
        </is>
      </c>
      <c r="AR1089">
        <f>HYPERLINK("http://catalog.hathitrust.org/Record/000088073","HathiTrust Record")</f>
        <v/>
      </c>
      <c r="AS1089">
        <f>HYPERLINK("https://creighton-primo.hosted.exlibrisgroup.com/primo-explore/search?tab=default_tab&amp;search_scope=EVERYTHING&amp;vid=01CRU&amp;lang=en_US&amp;offset=0&amp;query=any,contains,991004450619702656","Catalog Record")</f>
        <v/>
      </c>
      <c r="AT1089">
        <f>HYPERLINK("http://www.worldcat.org/oclc/3508656","WorldCat Record")</f>
        <v/>
      </c>
      <c r="AU1089" t="inlineStr">
        <is>
          <t>797245467:eng</t>
        </is>
      </c>
      <c r="AV1089" t="inlineStr">
        <is>
          <t>3508656</t>
        </is>
      </c>
      <c r="AW1089" t="inlineStr">
        <is>
          <t>991004450619702656</t>
        </is>
      </c>
      <c r="AX1089" t="inlineStr">
        <is>
          <t>991004450619702656</t>
        </is>
      </c>
      <c r="AY1089" t="inlineStr">
        <is>
          <t>2256782920002656</t>
        </is>
      </c>
      <c r="AZ1089" t="inlineStr">
        <is>
          <t>BOOK</t>
        </is>
      </c>
      <c r="BB1089" t="inlineStr">
        <is>
          <t>9780875893587</t>
        </is>
      </c>
      <c r="BC1089" t="inlineStr">
        <is>
          <t>32285002669207</t>
        </is>
      </c>
      <c r="BD1089" t="inlineStr">
        <is>
          <t>893343844</t>
        </is>
      </c>
    </row>
    <row r="1090">
      <c r="A1090" t="inlineStr">
        <is>
          <t>No</t>
        </is>
      </c>
      <c r="B1090" t="inlineStr">
        <is>
          <t>LB2366 .B85 2002</t>
        </is>
      </c>
      <c r="C1090" t="inlineStr">
        <is>
          <t>0                      LB 2366000B  85          2002</t>
        </is>
      </c>
      <c r="D1090" t="inlineStr">
        <is>
          <t>Building a scholarship of assessment / [edited by] Trudy W. Banta and associates.</t>
        </is>
      </c>
      <c r="F1090" t="inlineStr">
        <is>
          <t>No</t>
        </is>
      </c>
      <c r="G1090" t="inlineStr">
        <is>
          <t>1</t>
        </is>
      </c>
      <c r="H1090" t="inlineStr">
        <is>
          <t>No</t>
        </is>
      </c>
      <c r="I1090" t="inlineStr">
        <is>
          <t>No</t>
        </is>
      </c>
      <c r="J1090" t="inlineStr">
        <is>
          <t>0</t>
        </is>
      </c>
      <c r="L1090" t="inlineStr">
        <is>
          <t>San Francisco : Jossey-Bass, c2002.</t>
        </is>
      </c>
      <c r="M1090" t="inlineStr">
        <is>
          <t>2002</t>
        </is>
      </c>
      <c r="N1090" t="inlineStr">
        <is>
          <t>1st ed.</t>
        </is>
      </c>
      <c r="O1090" t="inlineStr">
        <is>
          <t>eng</t>
        </is>
      </c>
      <c r="P1090" t="inlineStr">
        <is>
          <t>cau</t>
        </is>
      </c>
      <c r="R1090" t="inlineStr">
        <is>
          <t xml:space="preserve">LB </t>
        </is>
      </c>
      <c r="S1090" t="n">
        <v>1</v>
      </c>
      <c r="T1090" t="n">
        <v>1</v>
      </c>
      <c r="U1090" t="inlineStr">
        <is>
          <t>2003-11-24</t>
        </is>
      </c>
      <c r="V1090" t="inlineStr">
        <is>
          <t>2003-11-24</t>
        </is>
      </c>
      <c r="W1090" t="inlineStr">
        <is>
          <t>2003-11-24</t>
        </is>
      </c>
      <c r="X1090" t="inlineStr">
        <is>
          <t>2003-11-24</t>
        </is>
      </c>
      <c r="Y1090" t="n">
        <v>606</v>
      </c>
      <c r="Z1090" t="n">
        <v>522</v>
      </c>
      <c r="AA1090" t="n">
        <v>1001</v>
      </c>
      <c r="AB1090" t="n">
        <v>5</v>
      </c>
      <c r="AC1090" t="n">
        <v>30</v>
      </c>
      <c r="AD1090" t="n">
        <v>20</v>
      </c>
      <c r="AE1090" t="n">
        <v>40</v>
      </c>
      <c r="AF1090" t="n">
        <v>8</v>
      </c>
      <c r="AG1090" t="n">
        <v>12</v>
      </c>
      <c r="AH1090" t="n">
        <v>5</v>
      </c>
      <c r="AI1090" t="n">
        <v>9</v>
      </c>
      <c r="AJ1090" t="n">
        <v>9</v>
      </c>
      <c r="AK1090" t="n">
        <v>14</v>
      </c>
      <c r="AL1090" t="n">
        <v>4</v>
      </c>
      <c r="AM1090" t="n">
        <v>15</v>
      </c>
      <c r="AN1090" t="n">
        <v>0</v>
      </c>
      <c r="AO1090" t="n">
        <v>0</v>
      </c>
      <c r="AP1090" t="inlineStr">
        <is>
          <t>No</t>
        </is>
      </c>
      <c r="AQ1090" t="inlineStr">
        <is>
          <t>No</t>
        </is>
      </c>
      <c r="AS1090">
        <f>HYPERLINK("https://creighton-primo.hosted.exlibrisgroup.com/primo-explore/search?tab=default_tab&amp;search_scope=EVERYTHING&amp;vid=01CRU&amp;lang=en_US&amp;offset=0&amp;query=any,contains,991004188429702656","Catalog Record")</f>
        <v/>
      </c>
      <c r="AT1090">
        <f>HYPERLINK("http://www.worldcat.org/oclc/48613165","WorldCat Record")</f>
        <v/>
      </c>
      <c r="AU1090" t="inlineStr">
        <is>
          <t>766904903:eng</t>
        </is>
      </c>
      <c r="AV1090" t="inlineStr">
        <is>
          <t>48613165</t>
        </is>
      </c>
      <c r="AW1090" t="inlineStr">
        <is>
          <t>991004188429702656</t>
        </is>
      </c>
      <c r="AX1090" t="inlineStr">
        <is>
          <t>991004188429702656</t>
        </is>
      </c>
      <c r="AY1090" t="inlineStr">
        <is>
          <t>2257140930002656</t>
        </is>
      </c>
      <c r="AZ1090" t="inlineStr">
        <is>
          <t>BOOK</t>
        </is>
      </c>
      <c r="BB1090" t="inlineStr">
        <is>
          <t>9780787959456</t>
        </is>
      </c>
      <c r="BC1090" t="inlineStr">
        <is>
          <t>32285004840897</t>
        </is>
      </c>
      <c r="BD1090" t="inlineStr">
        <is>
          <t>893337417</t>
        </is>
      </c>
    </row>
    <row r="1091">
      <c r="A1091" t="inlineStr">
        <is>
          <t>No</t>
        </is>
      </c>
      <c r="B1091" t="inlineStr">
        <is>
          <t>LB2366.2 .S88 1987</t>
        </is>
      </c>
      <c r="C1091" t="inlineStr">
        <is>
          <t>0                      LB 2366200S  88          1987</t>
        </is>
      </c>
      <c r="D1091" t="inlineStr">
        <is>
          <t>Student outcomes assessment : what institutions stand to gain / Diane F. Halpern, editor.</t>
        </is>
      </c>
      <c r="F1091" t="inlineStr">
        <is>
          <t>No</t>
        </is>
      </c>
      <c r="G1091" t="inlineStr">
        <is>
          <t>1</t>
        </is>
      </c>
      <c r="H1091" t="inlineStr">
        <is>
          <t>No</t>
        </is>
      </c>
      <c r="I1091" t="inlineStr">
        <is>
          <t>No</t>
        </is>
      </c>
      <c r="J1091" t="inlineStr">
        <is>
          <t>0</t>
        </is>
      </c>
      <c r="L1091" t="inlineStr">
        <is>
          <t>San Francisco ; London : Jossey-Bass, 1987.</t>
        </is>
      </c>
      <c r="M1091" t="inlineStr">
        <is>
          <t>1987</t>
        </is>
      </c>
      <c r="O1091" t="inlineStr">
        <is>
          <t>eng</t>
        </is>
      </c>
      <c r="P1091" t="inlineStr">
        <is>
          <t>cau</t>
        </is>
      </c>
      <c r="Q1091" t="inlineStr">
        <is>
          <t>New directions for higher education, 0271-560 ; no. 59</t>
        </is>
      </c>
      <c r="R1091" t="inlineStr">
        <is>
          <t xml:space="preserve">LB </t>
        </is>
      </c>
      <c r="S1091" t="n">
        <v>10</v>
      </c>
      <c r="T1091" t="n">
        <v>10</v>
      </c>
      <c r="U1091" t="inlineStr">
        <is>
          <t>2009-04-27</t>
        </is>
      </c>
      <c r="V1091" t="inlineStr">
        <is>
          <t>2009-04-27</t>
        </is>
      </c>
      <c r="W1091" t="inlineStr">
        <is>
          <t>1991-02-12</t>
        </is>
      </c>
      <c r="X1091" t="inlineStr">
        <is>
          <t>1991-02-12</t>
        </is>
      </c>
      <c r="Y1091" t="n">
        <v>445</v>
      </c>
      <c r="Z1091" t="n">
        <v>409</v>
      </c>
      <c r="AA1091" t="n">
        <v>414</v>
      </c>
      <c r="AB1091" t="n">
        <v>4</v>
      </c>
      <c r="AC1091" t="n">
        <v>4</v>
      </c>
      <c r="AD1091" t="n">
        <v>22</v>
      </c>
      <c r="AE1091" t="n">
        <v>22</v>
      </c>
      <c r="AF1091" t="n">
        <v>8</v>
      </c>
      <c r="AG1091" t="n">
        <v>8</v>
      </c>
      <c r="AH1091" t="n">
        <v>4</v>
      </c>
      <c r="AI1091" t="n">
        <v>4</v>
      </c>
      <c r="AJ1091" t="n">
        <v>11</v>
      </c>
      <c r="AK1091" t="n">
        <v>11</v>
      </c>
      <c r="AL1091" t="n">
        <v>3</v>
      </c>
      <c r="AM1091" t="n">
        <v>3</v>
      </c>
      <c r="AN1091" t="n">
        <v>0</v>
      </c>
      <c r="AO1091" t="n">
        <v>0</v>
      </c>
      <c r="AP1091" t="inlineStr">
        <is>
          <t>No</t>
        </is>
      </c>
      <c r="AQ1091" t="inlineStr">
        <is>
          <t>No</t>
        </is>
      </c>
      <c r="AS1091">
        <f>HYPERLINK("https://creighton-primo.hosted.exlibrisgroup.com/primo-explore/search?tab=default_tab&amp;search_scope=EVERYTHING&amp;vid=01CRU&amp;lang=en_US&amp;offset=0&amp;query=any,contains,991001095659702656","Catalog Record")</f>
        <v/>
      </c>
      <c r="AT1091">
        <f>HYPERLINK("http://www.worldcat.org/oclc/16244885","WorldCat Record")</f>
        <v/>
      </c>
      <c r="AU1091" t="inlineStr">
        <is>
          <t>12621086:eng</t>
        </is>
      </c>
      <c r="AV1091" t="inlineStr">
        <is>
          <t>16244885</t>
        </is>
      </c>
      <c r="AW1091" t="inlineStr">
        <is>
          <t>991001095659702656</t>
        </is>
      </c>
      <c r="AX1091" t="inlineStr">
        <is>
          <t>991001095659702656</t>
        </is>
      </c>
      <c r="AY1091" t="inlineStr">
        <is>
          <t>2264189260002656</t>
        </is>
      </c>
      <c r="AZ1091" t="inlineStr">
        <is>
          <t>BOOK</t>
        </is>
      </c>
      <c r="BB1091" t="inlineStr">
        <is>
          <t>9781555429492</t>
        </is>
      </c>
      <c r="BC1091" t="inlineStr">
        <is>
          <t>32285000464312</t>
        </is>
      </c>
      <c r="BD1091" t="inlineStr">
        <is>
          <t>893791165</t>
        </is>
      </c>
    </row>
    <row r="1092">
      <c r="A1092" t="inlineStr">
        <is>
          <t>No</t>
        </is>
      </c>
      <c r="B1092" t="inlineStr">
        <is>
          <t>LB2367 .A38</t>
        </is>
      </c>
      <c r="C1092" t="inlineStr">
        <is>
          <t>0                      LB 2367000A  38</t>
        </is>
      </c>
      <c r="D1092" t="inlineStr">
        <is>
          <t>Tips on testing : strategies for test-taking / Robert L. Alford.</t>
        </is>
      </c>
      <c r="F1092" t="inlineStr">
        <is>
          <t>No</t>
        </is>
      </c>
      <c r="G1092" t="inlineStr">
        <is>
          <t>1</t>
        </is>
      </c>
      <c r="H1092" t="inlineStr">
        <is>
          <t>No</t>
        </is>
      </c>
      <c r="I1092" t="inlineStr">
        <is>
          <t>No</t>
        </is>
      </c>
      <c r="J1092" t="inlineStr">
        <is>
          <t>0</t>
        </is>
      </c>
      <c r="K1092" t="inlineStr">
        <is>
          <t>Alford, Robert L.</t>
        </is>
      </c>
      <c r="L1092" t="inlineStr">
        <is>
          <t>Washington : University Press of America, c1979.</t>
        </is>
      </c>
      <c r="M1092" t="inlineStr">
        <is>
          <t>1979</t>
        </is>
      </c>
      <c r="O1092" t="inlineStr">
        <is>
          <t>eng</t>
        </is>
      </c>
      <c r="P1092" t="inlineStr">
        <is>
          <t>dcu</t>
        </is>
      </c>
      <c r="R1092" t="inlineStr">
        <is>
          <t xml:space="preserve">LB </t>
        </is>
      </c>
      <c r="S1092" t="n">
        <v>10</v>
      </c>
      <c r="T1092" t="n">
        <v>10</v>
      </c>
      <c r="U1092" t="inlineStr">
        <is>
          <t>1997-03-21</t>
        </is>
      </c>
      <c r="V1092" t="inlineStr">
        <is>
          <t>1997-03-21</t>
        </is>
      </c>
      <c r="W1092" t="inlineStr">
        <is>
          <t>1992-08-06</t>
        </is>
      </c>
      <c r="X1092" t="inlineStr">
        <is>
          <t>1992-08-06</t>
        </is>
      </c>
      <c r="Y1092" t="n">
        <v>144</v>
      </c>
      <c r="Z1092" t="n">
        <v>135</v>
      </c>
      <c r="AA1092" t="n">
        <v>137</v>
      </c>
      <c r="AB1092" t="n">
        <v>2</v>
      </c>
      <c r="AC1092" t="n">
        <v>2</v>
      </c>
      <c r="AD1092" t="n">
        <v>4</v>
      </c>
      <c r="AE1092" t="n">
        <v>4</v>
      </c>
      <c r="AF1092" t="n">
        <v>3</v>
      </c>
      <c r="AG1092" t="n">
        <v>3</v>
      </c>
      <c r="AH1092" t="n">
        <v>0</v>
      </c>
      <c r="AI1092" t="n">
        <v>0</v>
      </c>
      <c r="AJ1092" t="n">
        <v>1</v>
      </c>
      <c r="AK1092" t="n">
        <v>1</v>
      </c>
      <c r="AL1092" t="n">
        <v>1</v>
      </c>
      <c r="AM1092" t="n">
        <v>1</v>
      </c>
      <c r="AN1092" t="n">
        <v>0</v>
      </c>
      <c r="AO1092" t="n">
        <v>0</v>
      </c>
      <c r="AP1092" t="inlineStr">
        <is>
          <t>No</t>
        </is>
      </c>
      <c r="AQ1092" t="inlineStr">
        <is>
          <t>Yes</t>
        </is>
      </c>
      <c r="AR1092">
        <f>HYPERLINK("http://catalog.hathitrust.org/Record/101976335","HathiTrust Record")</f>
        <v/>
      </c>
      <c r="AS1092">
        <f>HYPERLINK("https://creighton-primo.hosted.exlibrisgroup.com/primo-explore/search?tab=default_tab&amp;search_scope=EVERYTHING&amp;vid=01CRU&amp;lang=en_US&amp;offset=0&amp;query=any,contains,991004899639702656","Catalog Record")</f>
        <v/>
      </c>
      <c r="AT1092">
        <f>HYPERLINK("http://www.worldcat.org/oclc/5921770","WorldCat Record")</f>
        <v/>
      </c>
      <c r="AU1092" t="inlineStr">
        <is>
          <t>4225277142:eng</t>
        </is>
      </c>
      <c r="AV1092" t="inlineStr">
        <is>
          <t>5921770</t>
        </is>
      </c>
      <c r="AW1092" t="inlineStr">
        <is>
          <t>991004899639702656</t>
        </is>
      </c>
      <c r="AX1092" t="inlineStr">
        <is>
          <t>991004899639702656</t>
        </is>
      </c>
      <c r="AY1092" t="inlineStr">
        <is>
          <t>2263776660002656</t>
        </is>
      </c>
      <c r="AZ1092" t="inlineStr">
        <is>
          <t>BOOK</t>
        </is>
      </c>
      <c r="BB1092" t="inlineStr">
        <is>
          <t>9780819107701</t>
        </is>
      </c>
      <c r="BC1092" t="inlineStr">
        <is>
          <t>32285001251866</t>
        </is>
      </c>
      <c r="BD1092" t="inlineStr">
        <is>
          <t>893424319</t>
        </is>
      </c>
    </row>
    <row r="1093">
      <c r="A1093" t="inlineStr">
        <is>
          <t>No</t>
        </is>
      </c>
      <c r="B1093" t="inlineStr">
        <is>
          <t>LB2367.25 .O78 1997</t>
        </is>
      </c>
      <c r="C1093" t="inlineStr">
        <is>
          <t>0                      LB 2367250O  78          1997</t>
        </is>
      </c>
      <c r="D1093" t="inlineStr">
        <is>
          <t>A national review of scholastic achievement in general education : how are we doing and why should we care? / by Steven J. Osterlind ; prepared by ERIC/HE, ERIC Clearinghouse on Higher Education, the George Washington University in cooperation with AHSE, Association for the Study of Higher Education.</t>
        </is>
      </c>
      <c r="F1093" t="inlineStr">
        <is>
          <t>No</t>
        </is>
      </c>
      <c r="G1093" t="inlineStr">
        <is>
          <t>1</t>
        </is>
      </c>
      <c r="H1093" t="inlineStr">
        <is>
          <t>No</t>
        </is>
      </c>
      <c r="I1093" t="inlineStr">
        <is>
          <t>No</t>
        </is>
      </c>
      <c r="J1093" t="inlineStr">
        <is>
          <t>0</t>
        </is>
      </c>
      <c r="K1093" t="inlineStr">
        <is>
          <t>Osterlind, Steven J.</t>
        </is>
      </c>
      <c r="L1093" t="inlineStr">
        <is>
          <t>Washington, DC : Graduate School of Education and Human Development, George Washington University, [1997]</t>
        </is>
      </c>
      <c r="M1093" t="inlineStr">
        <is>
          <t>1997</t>
        </is>
      </c>
      <c r="O1093" t="inlineStr">
        <is>
          <t>eng</t>
        </is>
      </c>
      <c r="P1093" t="inlineStr">
        <is>
          <t>dcu</t>
        </is>
      </c>
      <c r="Q1093" t="inlineStr">
        <is>
          <t>ASHE-ERIC higher education report ; v. 25, no. 8</t>
        </is>
      </c>
      <c r="R1093" t="inlineStr">
        <is>
          <t xml:space="preserve">LB </t>
        </is>
      </c>
      <c r="S1093" t="n">
        <v>2</v>
      </c>
      <c r="T1093" t="n">
        <v>2</v>
      </c>
      <c r="U1093" t="inlineStr">
        <is>
          <t>2003-11-25</t>
        </is>
      </c>
      <c r="V1093" t="inlineStr">
        <is>
          <t>2003-11-25</t>
        </is>
      </c>
      <c r="W1093" t="inlineStr">
        <is>
          <t>2003-11-25</t>
        </is>
      </c>
      <c r="X1093" t="inlineStr">
        <is>
          <t>2003-11-25</t>
        </is>
      </c>
      <c r="Y1093" t="n">
        <v>321</v>
      </c>
      <c r="Z1093" t="n">
        <v>303</v>
      </c>
      <c r="AA1093" t="n">
        <v>311</v>
      </c>
      <c r="AB1093" t="n">
        <v>3</v>
      </c>
      <c r="AC1093" t="n">
        <v>3</v>
      </c>
      <c r="AD1093" t="n">
        <v>21</v>
      </c>
      <c r="AE1093" t="n">
        <v>21</v>
      </c>
      <c r="AF1093" t="n">
        <v>9</v>
      </c>
      <c r="AG1093" t="n">
        <v>9</v>
      </c>
      <c r="AH1093" t="n">
        <v>6</v>
      </c>
      <c r="AI1093" t="n">
        <v>6</v>
      </c>
      <c r="AJ1093" t="n">
        <v>9</v>
      </c>
      <c r="AK1093" t="n">
        <v>9</v>
      </c>
      <c r="AL1093" t="n">
        <v>2</v>
      </c>
      <c r="AM1093" t="n">
        <v>2</v>
      </c>
      <c r="AN1093" t="n">
        <v>2</v>
      </c>
      <c r="AO1093" t="n">
        <v>2</v>
      </c>
      <c r="AP1093" t="inlineStr">
        <is>
          <t>No</t>
        </is>
      </c>
      <c r="AQ1093" t="inlineStr">
        <is>
          <t>Yes</t>
        </is>
      </c>
      <c r="AR1093">
        <f>HYPERLINK("http://catalog.hathitrust.org/Record/004988036","HathiTrust Record")</f>
        <v/>
      </c>
      <c r="AS1093">
        <f>HYPERLINK("https://creighton-primo.hosted.exlibrisgroup.com/primo-explore/search?tab=default_tab&amp;search_scope=EVERYTHING&amp;vid=01CRU&amp;lang=en_US&amp;offset=0&amp;query=any,contains,991004192819702656","Catalog Record")</f>
        <v/>
      </c>
      <c r="AT1093">
        <f>HYPERLINK("http://www.worldcat.org/oclc/39256758","WorldCat Record")</f>
        <v/>
      </c>
      <c r="AU1093" t="inlineStr">
        <is>
          <t>158137193:eng</t>
        </is>
      </c>
      <c r="AV1093" t="inlineStr">
        <is>
          <t>39256758</t>
        </is>
      </c>
      <c r="AW1093" t="inlineStr">
        <is>
          <t>991004192819702656</t>
        </is>
      </c>
      <c r="AX1093" t="inlineStr">
        <is>
          <t>991004192819702656</t>
        </is>
      </c>
      <c r="AY1093" t="inlineStr">
        <is>
          <t>2258395550002656</t>
        </is>
      </c>
      <c r="AZ1093" t="inlineStr">
        <is>
          <t>BOOK</t>
        </is>
      </c>
      <c r="BB1093" t="inlineStr">
        <is>
          <t>9781878380807</t>
        </is>
      </c>
      <c r="BC1093" t="inlineStr">
        <is>
          <t>32285004842695</t>
        </is>
      </c>
      <c r="BD1093" t="inlineStr">
        <is>
          <t>893337420</t>
        </is>
      </c>
    </row>
    <row r="1094">
      <c r="A1094" t="inlineStr">
        <is>
          <t>No</t>
        </is>
      </c>
      <c r="B1094" t="inlineStr">
        <is>
          <t>LB2368 .W35 1998</t>
        </is>
      </c>
      <c r="C1094" t="inlineStr">
        <is>
          <t>0                      LB 2368000W  35          1998</t>
        </is>
      </c>
      <c r="D1094" t="inlineStr">
        <is>
          <t>Effective grading : a tool for learning and assessment / Barbara E. Walvoord, Virginia Johnson Anderson ; foreword by Thomas A. Angelo.</t>
        </is>
      </c>
      <c r="F1094" t="inlineStr">
        <is>
          <t>No</t>
        </is>
      </c>
      <c r="G1094" t="inlineStr">
        <is>
          <t>1</t>
        </is>
      </c>
      <c r="H1094" t="inlineStr">
        <is>
          <t>No</t>
        </is>
      </c>
      <c r="I1094" t="inlineStr">
        <is>
          <t>No</t>
        </is>
      </c>
      <c r="J1094" t="inlineStr">
        <is>
          <t>0</t>
        </is>
      </c>
      <c r="K1094" t="inlineStr">
        <is>
          <t>Walvoord, Barbara E. Fassler, 1941-</t>
        </is>
      </c>
      <c r="L1094" t="inlineStr">
        <is>
          <t>San Francisco, Calif. : Jossey-Bass Publishers, c1998.</t>
        </is>
      </c>
      <c r="M1094" t="inlineStr">
        <is>
          <t>1998</t>
        </is>
      </c>
      <c r="N1094" t="inlineStr">
        <is>
          <t>1st ed.</t>
        </is>
      </c>
      <c r="O1094" t="inlineStr">
        <is>
          <t>eng</t>
        </is>
      </c>
      <c r="P1094" t="inlineStr">
        <is>
          <t>cau</t>
        </is>
      </c>
      <c r="Q1094" t="inlineStr">
        <is>
          <t>The Jossey-Bass higher and adult education series</t>
        </is>
      </c>
      <c r="R1094" t="inlineStr">
        <is>
          <t xml:space="preserve">LB </t>
        </is>
      </c>
      <c r="S1094" t="n">
        <v>1</v>
      </c>
      <c r="T1094" t="n">
        <v>1</v>
      </c>
      <c r="U1094" t="inlineStr">
        <is>
          <t>2004-10-21</t>
        </is>
      </c>
      <c r="V1094" t="inlineStr">
        <is>
          <t>2004-10-21</t>
        </is>
      </c>
      <c r="W1094" t="inlineStr">
        <is>
          <t>2004-10-21</t>
        </is>
      </c>
      <c r="X1094" t="inlineStr">
        <is>
          <t>2004-10-21</t>
        </is>
      </c>
      <c r="Y1094" t="n">
        <v>1097</v>
      </c>
      <c r="Z1094" t="n">
        <v>963</v>
      </c>
      <c r="AA1094" t="n">
        <v>1328</v>
      </c>
      <c r="AB1094" t="n">
        <v>9</v>
      </c>
      <c r="AC1094" t="n">
        <v>11</v>
      </c>
      <c r="AD1094" t="n">
        <v>40</v>
      </c>
      <c r="AE1094" t="n">
        <v>47</v>
      </c>
      <c r="AF1094" t="n">
        <v>15</v>
      </c>
      <c r="AG1094" t="n">
        <v>17</v>
      </c>
      <c r="AH1094" t="n">
        <v>8</v>
      </c>
      <c r="AI1094" t="n">
        <v>9</v>
      </c>
      <c r="AJ1094" t="n">
        <v>19</v>
      </c>
      <c r="AK1094" t="n">
        <v>21</v>
      </c>
      <c r="AL1094" t="n">
        <v>8</v>
      </c>
      <c r="AM1094" t="n">
        <v>10</v>
      </c>
      <c r="AN1094" t="n">
        <v>0</v>
      </c>
      <c r="AO1094" t="n">
        <v>1</v>
      </c>
      <c r="AP1094" t="inlineStr">
        <is>
          <t>No</t>
        </is>
      </c>
      <c r="AQ1094" t="inlineStr">
        <is>
          <t>Yes</t>
        </is>
      </c>
      <c r="AR1094">
        <f>HYPERLINK("http://catalog.hathitrust.org/Record/003967848","HathiTrust Record")</f>
        <v/>
      </c>
      <c r="AS1094">
        <f>HYPERLINK("https://creighton-primo.hosted.exlibrisgroup.com/primo-explore/search?tab=default_tab&amp;search_scope=EVERYTHING&amp;vid=01CRU&amp;lang=en_US&amp;offset=0&amp;query=any,contains,991004399179702656","Catalog Record")</f>
        <v/>
      </c>
      <c r="AT1094">
        <f>HYPERLINK("http://www.worldcat.org/oclc/37792533","WorldCat Record")</f>
        <v/>
      </c>
      <c r="AU1094" t="inlineStr">
        <is>
          <t>793758380:eng</t>
        </is>
      </c>
      <c r="AV1094" t="inlineStr">
        <is>
          <t>37792533</t>
        </is>
      </c>
      <c r="AW1094" t="inlineStr">
        <is>
          <t>991004399179702656</t>
        </is>
      </c>
      <c r="AX1094" t="inlineStr">
        <is>
          <t>991004399179702656</t>
        </is>
      </c>
      <c r="AY1094" t="inlineStr">
        <is>
          <t>2267763330002656</t>
        </is>
      </c>
      <c r="AZ1094" t="inlineStr">
        <is>
          <t>BOOK</t>
        </is>
      </c>
      <c r="BB1094" t="inlineStr">
        <is>
          <t>9780787940300</t>
        </is>
      </c>
      <c r="BC1094" t="inlineStr">
        <is>
          <t>32285005005755</t>
        </is>
      </c>
      <c r="BD1094" t="inlineStr">
        <is>
          <t>893417574</t>
        </is>
      </c>
    </row>
    <row r="1095">
      <c r="A1095" t="inlineStr">
        <is>
          <t>No</t>
        </is>
      </c>
      <c r="B1095" t="inlineStr">
        <is>
          <t>LB2376 .S77 1970</t>
        </is>
      </c>
      <c r="C1095" t="inlineStr">
        <is>
          <t>0                      LB 2376000S  77          1970</t>
        </is>
      </c>
      <c r="D1095" t="inlineStr">
        <is>
          <t>Students as links between cultures; a cross cultural survey based on Unesco studies. Edited by Ingrid Eide.</t>
        </is>
      </c>
      <c r="F1095" t="inlineStr">
        <is>
          <t>No</t>
        </is>
      </c>
      <c r="G1095" t="inlineStr">
        <is>
          <t>1</t>
        </is>
      </c>
      <c r="H1095" t="inlineStr">
        <is>
          <t>No</t>
        </is>
      </c>
      <c r="I1095" t="inlineStr">
        <is>
          <t>No</t>
        </is>
      </c>
      <c r="J1095" t="inlineStr">
        <is>
          <t>0</t>
        </is>
      </c>
      <c r="L1095" t="inlineStr">
        <is>
          <t>Oslo, Universitetsforlaget [c1970]</t>
        </is>
      </c>
      <c r="M1095" t="inlineStr">
        <is>
          <t>1970</t>
        </is>
      </c>
      <c r="O1095" t="inlineStr">
        <is>
          <t>eng</t>
        </is>
      </c>
      <c r="P1095" t="inlineStr">
        <is>
          <t xml:space="preserve">no </t>
        </is>
      </c>
      <c r="R1095" t="inlineStr">
        <is>
          <t xml:space="preserve">LB </t>
        </is>
      </c>
      <c r="S1095" t="n">
        <v>1</v>
      </c>
      <c r="T1095" t="n">
        <v>1</v>
      </c>
      <c r="U1095" t="inlineStr">
        <is>
          <t>2001-10-29</t>
        </is>
      </c>
      <c r="V1095" t="inlineStr">
        <is>
          <t>2001-10-29</t>
        </is>
      </c>
      <c r="W1095" t="inlineStr">
        <is>
          <t>1997-05-16</t>
        </is>
      </c>
      <c r="X1095" t="inlineStr">
        <is>
          <t>1997-05-16</t>
        </is>
      </c>
      <c r="Y1095" t="n">
        <v>360</v>
      </c>
      <c r="Z1095" t="n">
        <v>265</v>
      </c>
      <c r="AA1095" t="n">
        <v>272</v>
      </c>
      <c r="AB1095" t="n">
        <v>2</v>
      </c>
      <c r="AC1095" t="n">
        <v>2</v>
      </c>
      <c r="AD1095" t="n">
        <v>9</v>
      </c>
      <c r="AE1095" t="n">
        <v>9</v>
      </c>
      <c r="AF1095" t="n">
        <v>4</v>
      </c>
      <c r="AG1095" t="n">
        <v>4</v>
      </c>
      <c r="AH1095" t="n">
        <v>3</v>
      </c>
      <c r="AI1095" t="n">
        <v>3</v>
      </c>
      <c r="AJ1095" t="n">
        <v>5</v>
      </c>
      <c r="AK1095" t="n">
        <v>5</v>
      </c>
      <c r="AL1095" t="n">
        <v>1</v>
      </c>
      <c r="AM1095" t="n">
        <v>1</v>
      </c>
      <c r="AN1095" t="n">
        <v>0</v>
      </c>
      <c r="AO1095" t="n">
        <v>0</v>
      </c>
      <c r="AP1095" t="inlineStr">
        <is>
          <t>No</t>
        </is>
      </c>
      <c r="AQ1095" t="inlineStr">
        <is>
          <t>Yes</t>
        </is>
      </c>
      <c r="AR1095">
        <f>HYPERLINK("http://catalog.hathitrust.org/Record/001069061","HathiTrust Record")</f>
        <v/>
      </c>
      <c r="AS1095">
        <f>HYPERLINK("https://creighton-primo.hosted.exlibrisgroup.com/primo-explore/search?tab=default_tab&amp;search_scope=EVERYTHING&amp;vid=01CRU&amp;lang=en_US&amp;offset=0&amp;query=any,contains,991000890089702656","Catalog Record")</f>
        <v/>
      </c>
      <c r="AT1095">
        <f>HYPERLINK("http://www.worldcat.org/oclc/153563","WorldCat Record")</f>
        <v/>
      </c>
      <c r="AU1095" t="inlineStr">
        <is>
          <t>887962167:eng</t>
        </is>
      </c>
      <c r="AV1095" t="inlineStr">
        <is>
          <t>153563</t>
        </is>
      </c>
      <c r="AW1095" t="inlineStr">
        <is>
          <t>991000890089702656</t>
        </is>
      </c>
      <c r="AX1095" t="inlineStr">
        <is>
          <t>991000890089702656</t>
        </is>
      </c>
      <c r="AY1095" t="inlineStr">
        <is>
          <t>2269552600002656</t>
        </is>
      </c>
      <c r="AZ1095" t="inlineStr">
        <is>
          <t>BOOK</t>
        </is>
      </c>
      <c r="BC1095" t="inlineStr">
        <is>
          <t>32285002669405</t>
        </is>
      </c>
      <c r="BD1095" t="inlineStr">
        <is>
          <t>893690122</t>
        </is>
      </c>
    </row>
    <row r="1096">
      <c r="A1096" t="inlineStr">
        <is>
          <t>No</t>
        </is>
      </c>
      <c r="B1096" t="inlineStr">
        <is>
          <t>LB2376.4 .G368 1995</t>
        </is>
      </c>
      <c r="C1096" t="inlineStr">
        <is>
          <t>0                      LB 2376400G  368         1995</t>
        </is>
      </c>
      <c r="D1096" t="inlineStr">
        <is>
          <t>Intercultural friendship : a qualitative study / Elisabeth Gareis.</t>
        </is>
      </c>
      <c r="F1096" t="inlineStr">
        <is>
          <t>No</t>
        </is>
      </c>
      <c r="G1096" t="inlineStr">
        <is>
          <t>1</t>
        </is>
      </c>
      <c r="H1096" t="inlineStr">
        <is>
          <t>No</t>
        </is>
      </c>
      <c r="I1096" t="inlineStr">
        <is>
          <t>No</t>
        </is>
      </c>
      <c r="J1096" t="inlineStr">
        <is>
          <t>0</t>
        </is>
      </c>
      <c r="K1096" t="inlineStr">
        <is>
          <t>Gareis, Elisabeth.</t>
        </is>
      </c>
      <c r="L1096" t="inlineStr">
        <is>
          <t>Lanham, Md. : University Press of America, c1995.</t>
        </is>
      </c>
      <c r="M1096" t="inlineStr">
        <is>
          <t>1995</t>
        </is>
      </c>
      <c r="O1096" t="inlineStr">
        <is>
          <t>eng</t>
        </is>
      </c>
      <c r="P1096" t="inlineStr">
        <is>
          <t>mdu</t>
        </is>
      </c>
      <c r="R1096" t="inlineStr">
        <is>
          <t xml:space="preserve">LB </t>
        </is>
      </c>
      <c r="S1096" t="n">
        <v>5</v>
      </c>
      <c r="T1096" t="n">
        <v>5</v>
      </c>
      <c r="U1096" t="inlineStr">
        <is>
          <t>2000-04-20</t>
        </is>
      </c>
      <c r="V1096" t="inlineStr">
        <is>
          <t>2000-04-20</t>
        </is>
      </c>
      <c r="W1096" t="inlineStr">
        <is>
          <t>1996-04-03</t>
        </is>
      </c>
      <c r="X1096" t="inlineStr">
        <is>
          <t>1996-04-03</t>
        </is>
      </c>
      <c r="Y1096" t="n">
        <v>202</v>
      </c>
      <c r="Z1096" t="n">
        <v>173</v>
      </c>
      <c r="AA1096" t="n">
        <v>175</v>
      </c>
      <c r="AB1096" t="n">
        <v>5</v>
      </c>
      <c r="AC1096" t="n">
        <v>5</v>
      </c>
      <c r="AD1096" t="n">
        <v>16</v>
      </c>
      <c r="AE1096" t="n">
        <v>16</v>
      </c>
      <c r="AF1096" t="n">
        <v>6</v>
      </c>
      <c r="AG1096" t="n">
        <v>6</v>
      </c>
      <c r="AH1096" t="n">
        <v>3</v>
      </c>
      <c r="AI1096" t="n">
        <v>3</v>
      </c>
      <c r="AJ1096" t="n">
        <v>6</v>
      </c>
      <c r="AK1096" t="n">
        <v>6</v>
      </c>
      <c r="AL1096" t="n">
        <v>4</v>
      </c>
      <c r="AM1096" t="n">
        <v>4</v>
      </c>
      <c r="AN1096" t="n">
        <v>0</v>
      </c>
      <c r="AO1096" t="n">
        <v>0</v>
      </c>
      <c r="AP1096" t="inlineStr">
        <is>
          <t>No</t>
        </is>
      </c>
      <c r="AQ1096" t="inlineStr">
        <is>
          <t>Yes</t>
        </is>
      </c>
      <c r="AR1096">
        <f>HYPERLINK("http://catalog.hathitrust.org/Record/003030939","HathiTrust Record")</f>
        <v/>
      </c>
      <c r="AS1096">
        <f>HYPERLINK("https://creighton-primo.hosted.exlibrisgroup.com/primo-explore/search?tab=default_tab&amp;search_scope=EVERYTHING&amp;vid=01CRU&amp;lang=en_US&amp;offset=0&amp;query=any,contains,991002538159702656","Catalog Record")</f>
        <v/>
      </c>
      <c r="AT1096">
        <f>HYPERLINK("http://www.worldcat.org/oclc/32970419","WorldCat Record")</f>
        <v/>
      </c>
      <c r="AU1096" t="inlineStr">
        <is>
          <t>836981883:eng</t>
        </is>
      </c>
      <c r="AV1096" t="inlineStr">
        <is>
          <t>32970419</t>
        </is>
      </c>
      <c r="AW1096" t="inlineStr">
        <is>
          <t>991002538159702656</t>
        </is>
      </c>
      <c r="AX1096" t="inlineStr">
        <is>
          <t>991002538159702656</t>
        </is>
      </c>
      <c r="AY1096" t="inlineStr">
        <is>
          <t>2269335520002656</t>
        </is>
      </c>
      <c r="AZ1096" t="inlineStr">
        <is>
          <t>BOOK</t>
        </is>
      </c>
      <c r="BB1096" t="inlineStr">
        <is>
          <t>9780819195470</t>
        </is>
      </c>
      <c r="BC1096" t="inlineStr">
        <is>
          <t>32285002149960</t>
        </is>
      </c>
      <c r="BD1096" t="inlineStr">
        <is>
          <t>893873661</t>
        </is>
      </c>
    </row>
    <row r="1097">
      <c r="A1097" t="inlineStr">
        <is>
          <t>No</t>
        </is>
      </c>
      <c r="B1097" t="inlineStr">
        <is>
          <t>LB2395.7 .T68 2008</t>
        </is>
      </c>
      <c r="C1097" t="inlineStr">
        <is>
          <t>0                      LB 2395700T  68          2008</t>
        </is>
      </c>
      <c r="D1097" t="inlineStr">
        <is>
          <t>The tower and the cloud : higher education in the age of cloud computing / Richard N. Katz, editor.</t>
        </is>
      </c>
      <c r="F1097" t="inlineStr">
        <is>
          <t>No</t>
        </is>
      </c>
      <c r="G1097" t="inlineStr">
        <is>
          <t>1</t>
        </is>
      </c>
      <c r="H1097" t="inlineStr">
        <is>
          <t>No</t>
        </is>
      </c>
      <c r="I1097" t="inlineStr">
        <is>
          <t>No</t>
        </is>
      </c>
      <c r="J1097" t="inlineStr">
        <is>
          <t>0</t>
        </is>
      </c>
      <c r="L1097" t="inlineStr">
        <is>
          <t>[Boulder, CO] : EDUCAUSE, c2008.</t>
        </is>
      </c>
      <c r="M1097" t="inlineStr">
        <is>
          <t>2008</t>
        </is>
      </c>
      <c r="O1097" t="inlineStr">
        <is>
          <t>eng</t>
        </is>
      </c>
      <c r="P1097" t="inlineStr">
        <is>
          <t>cou</t>
        </is>
      </c>
      <c r="R1097" t="inlineStr">
        <is>
          <t xml:space="preserve">LB </t>
        </is>
      </c>
      <c r="S1097" t="n">
        <v>2</v>
      </c>
      <c r="T1097" t="n">
        <v>2</v>
      </c>
      <c r="U1097" t="inlineStr">
        <is>
          <t>2009-01-28</t>
        </is>
      </c>
      <c r="V1097" t="inlineStr">
        <is>
          <t>2009-01-28</t>
        </is>
      </c>
      <c r="W1097" t="inlineStr">
        <is>
          <t>2008-11-17</t>
        </is>
      </c>
      <c r="X1097" t="inlineStr">
        <is>
          <t>2008-11-17</t>
        </is>
      </c>
      <c r="Y1097" t="n">
        <v>289</v>
      </c>
      <c r="Z1097" t="n">
        <v>238</v>
      </c>
      <c r="AA1097" t="n">
        <v>251</v>
      </c>
      <c r="AB1097" t="n">
        <v>2</v>
      </c>
      <c r="AC1097" t="n">
        <v>2</v>
      </c>
      <c r="AD1097" t="n">
        <v>11</v>
      </c>
      <c r="AE1097" t="n">
        <v>13</v>
      </c>
      <c r="AF1097" t="n">
        <v>3</v>
      </c>
      <c r="AG1097" t="n">
        <v>4</v>
      </c>
      <c r="AH1097" t="n">
        <v>2</v>
      </c>
      <c r="AI1097" t="n">
        <v>2</v>
      </c>
      <c r="AJ1097" t="n">
        <v>7</v>
      </c>
      <c r="AK1097" t="n">
        <v>8</v>
      </c>
      <c r="AL1097" t="n">
        <v>1</v>
      </c>
      <c r="AM1097" t="n">
        <v>1</v>
      </c>
      <c r="AN1097" t="n">
        <v>2</v>
      </c>
      <c r="AO1097" t="n">
        <v>2</v>
      </c>
      <c r="AP1097" t="inlineStr">
        <is>
          <t>No</t>
        </is>
      </c>
      <c r="AQ1097" t="inlineStr">
        <is>
          <t>No</t>
        </is>
      </c>
      <c r="AS1097">
        <f>HYPERLINK("https://creighton-primo.hosted.exlibrisgroup.com/primo-explore/search?tab=default_tab&amp;search_scope=EVERYTHING&amp;vid=01CRU&amp;lang=en_US&amp;offset=0&amp;query=any,contains,991005277609702656","Catalog Record")</f>
        <v/>
      </c>
      <c r="AT1097">
        <f>HYPERLINK("http://www.worldcat.org/oclc/265381796","WorldCat Record")</f>
        <v/>
      </c>
      <c r="AU1097" t="inlineStr">
        <is>
          <t>155729551:eng</t>
        </is>
      </c>
      <c r="AV1097" t="inlineStr">
        <is>
          <t>265381796</t>
        </is>
      </c>
      <c r="AW1097" t="inlineStr">
        <is>
          <t>991005277609702656</t>
        </is>
      </c>
      <c r="AX1097" t="inlineStr">
        <is>
          <t>991005277609702656</t>
        </is>
      </c>
      <c r="AY1097" t="inlineStr">
        <is>
          <t>2268624070002656</t>
        </is>
      </c>
      <c r="AZ1097" t="inlineStr">
        <is>
          <t>BOOK</t>
        </is>
      </c>
      <c r="BB1097" t="inlineStr">
        <is>
          <t>9780967285399</t>
        </is>
      </c>
      <c r="BC1097" t="inlineStr">
        <is>
          <t>32285005466353</t>
        </is>
      </c>
      <c r="BD1097" t="inlineStr">
        <is>
          <t>893424834</t>
        </is>
      </c>
    </row>
    <row r="1098">
      <c r="A1098" t="inlineStr">
        <is>
          <t>No</t>
        </is>
      </c>
      <c r="B1098" t="inlineStr">
        <is>
          <t>LB2395.7 .W55 2010</t>
        </is>
      </c>
      <c r="C1098" t="inlineStr">
        <is>
          <t>0                      LB 2395700W  55          2010</t>
        </is>
      </c>
      <c r="D1098" t="inlineStr">
        <is>
          <t>Learning with digital games : a practical guide to engaging students in higher education / by Nicola Whitton.</t>
        </is>
      </c>
      <c r="F1098" t="inlineStr">
        <is>
          <t>No</t>
        </is>
      </c>
      <c r="G1098" t="inlineStr">
        <is>
          <t>1</t>
        </is>
      </c>
      <c r="H1098" t="inlineStr">
        <is>
          <t>No</t>
        </is>
      </c>
      <c r="I1098" t="inlineStr">
        <is>
          <t>No</t>
        </is>
      </c>
      <c r="J1098" t="inlineStr">
        <is>
          <t>0</t>
        </is>
      </c>
      <c r="K1098" t="inlineStr">
        <is>
          <t>Whitton, Nicola.</t>
        </is>
      </c>
      <c r="L1098" t="inlineStr">
        <is>
          <t>New York : Routledge, 2010.</t>
        </is>
      </c>
      <c r="M1098" t="inlineStr">
        <is>
          <t>2010</t>
        </is>
      </c>
      <c r="O1098" t="inlineStr">
        <is>
          <t>eng</t>
        </is>
      </c>
      <c r="P1098" t="inlineStr">
        <is>
          <t>nyu</t>
        </is>
      </c>
      <c r="Q1098" t="inlineStr">
        <is>
          <t>Open and flexible learning series</t>
        </is>
      </c>
      <c r="R1098" t="inlineStr">
        <is>
          <t xml:space="preserve">LB </t>
        </is>
      </c>
      <c r="S1098" t="n">
        <v>2</v>
      </c>
      <c r="T1098" t="n">
        <v>2</v>
      </c>
      <c r="U1098" t="inlineStr">
        <is>
          <t>2010-07-01</t>
        </is>
      </c>
      <c r="V1098" t="inlineStr">
        <is>
          <t>2010-07-01</t>
        </is>
      </c>
      <c r="W1098" t="inlineStr">
        <is>
          <t>2010-05-24</t>
        </is>
      </c>
      <c r="X1098" t="inlineStr">
        <is>
          <t>2010-05-24</t>
        </is>
      </c>
      <c r="Y1098" t="n">
        <v>215</v>
      </c>
      <c r="Z1098" t="n">
        <v>138</v>
      </c>
      <c r="AA1098" t="n">
        <v>179</v>
      </c>
      <c r="AB1098" t="n">
        <v>3</v>
      </c>
      <c r="AC1098" t="n">
        <v>3</v>
      </c>
      <c r="AD1098" t="n">
        <v>5</v>
      </c>
      <c r="AE1098" t="n">
        <v>6</v>
      </c>
      <c r="AF1098" t="n">
        <v>2</v>
      </c>
      <c r="AG1098" t="n">
        <v>2</v>
      </c>
      <c r="AH1098" t="n">
        <v>1</v>
      </c>
      <c r="AI1098" t="n">
        <v>1</v>
      </c>
      <c r="AJ1098" t="n">
        <v>3</v>
      </c>
      <c r="AK1098" t="n">
        <v>4</v>
      </c>
      <c r="AL1098" t="n">
        <v>2</v>
      </c>
      <c r="AM1098" t="n">
        <v>2</v>
      </c>
      <c r="AN1098" t="n">
        <v>0</v>
      </c>
      <c r="AO1098" t="n">
        <v>0</v>
      </c>
      <c r="AP1098" t="inlineStr">
        <is>
          <t>No</t>
        </is>
      </c>
      <c r="AQ1098" t="inlineStr">
        <is>
          <t>No</t>
        </is>
      </c>
      <c r="AS1098">
        <f>HYPERLINK("https://creighton-primo.hosted.exlibrisgroup.com/primo-explore/search?tab=default_tab&amp;search_scope=EVERYTHING&amp;vid=01CRU&amp;lang=en_US&amp;offset=0&amp;query=any,contains,991005398189702656","Catalog Record")</f>
        <v/>
      </c>
      <c r="AT1098">
        <f>HYPERLINK("http://www.worldcat.org/oclc/237880831","WorldCat Record")</f>
        <v/>
      </c>
      <c r="AU1098" t="inlineStr">
        <is>
          <t>802457094:eng</t>
        </is>
      </c>
      <c r="AV1098" t="inlineStr">
        <is>
          <t>237880831</t>
        </is>
      </c>
      <c r="AW1098" t="inlineStr">
        <is>
          <t>991005398189702656</t>
        </is>
      </c>
      <c r="AX1098" t="inlineStr">
        <is>
          <t>991005398189702656</t>
        </is>
      </c>
      <c r="AY1098" t="inlineStr">
        <is>
          <t>2260945070002656</t>
        </is>
      </c>
      <c r="AZ1098" t="inlineStr">
        <is>
          <t>BOOK</t>
        </is>
      </c>
      <c r="BB1098" t="inlineStr">
        <is>
          <t>9780203872987</t>
        </is>
      </c>
      <c r="BC1098" t="inlineStr">
        <is>
          <t>32285005585467</t>
        </is>
      </c>
      <c r="BD1098" t="inlineStr">
        <is>
          <t>893722971</t>
        </is>
      </c>
    </row>
    <row r="1099">
      <c r="A1099" t="inlineStr">
        <is>
          <t>No</t>
        </is>
      </c>
      <c r="B1099" t="inlineStr">
        <is>
          <t>LB2799.2 .M46 1997</t>
        </is>
      </c>
      <c r="C1099" t="inlineStr">
        <is>
          <t>0                      LB 2799200M  46          1997</t>
        </is>
      </c>
      <c r="D1099" t="inlineStr">
        <is>
          <t>Practically speaking : a sourcebook for instructional consultants in higher education / edited by Kathleen T. Brinko, Robert J. Menges.</t>
        </is>
      </c>
      <c r="F1099" t="inlineStr">
        <is>
          <t>No</t>
        </is>
      </c>
      <c r="G1099" t="inlineStr">
        <is>
          <t>1</t>
        </is>
      </c>
      <c r="H1099" t="inlineStr">
        <is>
          <t>No</t>
        </is>
      </c>
      <c r="I1099" t="inlineStr">
        <is>
          <t>No</t>
        </is>
      </c>
      <c r="J1099" t="inlineStr">
        <is>
          <t>0</t>
        </is>
      </c>
      <c r="L1099" t="inlineStr">
        <is>
          <t>Stillwater, Okla. : New Forums Press, c1997.</t>
        </is>
      </c>
      <c r="M1099" t="inlineStr">
        <is>
          <t>1997</t>
        </is>
      </c>
      <c r="O1099" t="inlineStr">
        <is>
          <t>eng</t>
        </is>
      </c>
      <c r="P1099" t="inlineStr">
        <is>
          <t>oku</t>
        </is>
      </c>
      <c r="R1099" t="inlineStr">
        <is>
          <t xml:space="preserve">LB </t>
        </is>
      </c>
      <c r="S1099" t="n">
        <v>1</v>
      </c>
      <c r="T1099" t="n">
        <v>1</v>
      </c>
      <c r="U1099" t="inlineStr">
        <is>
          <t>2003-12-01</t>
        </is>
      </c>
      <c r="V1099" t="inlineStr">
        <is>
          <t>2003-12-01</t>
        </is>
      </c>
      <c r="W1099" t="inlineStr">
        <is>
          <t>2003-12-01</t>
        </is>
      </c>
      <c r="X1099" t="inlineStr">
        <is>
          <t>2003-12-01</t>
        </is>
      </c>
      <c r="Y1099" t="n">
        <v>87</v>
      </c>
      <c r="Z1099" t="n">
        <v>65</v>
      </c>
      <c r="AA1099" t="n">
        <v>85</v>
      </c>
      <c r="AB1099" t="n">
        <v>1</v>
      </c>
      <c r="AC1099" t="n">
        <v>2</v>
      </c>
      <c r="AD1099" t="n">
        <v>4</v>
      </c>
      <c r="AE1099" t="n">
        <v>7</v>
      </c>
      <c r="AF1099" t="n">
        <v>1</v>
      </c>
      <c r="AG1099" t="n">
        <v>2</v>
      </c>
      <c r="AH1099" t="n">
        <v>4</v>
      </c>
      <c r="AI1099" t="n">
        <v>4</v>
      </c>
      <c r="AJ1099" t="n">
        <v>2</v>
      </c>
      <c r="AK1099" t="n">
        <v>3</v>
      </c>
      <c r="AL1099" t="n">
        <v>0</v>
      </c>
      <c r="AM1099" t="n">
        <v>1</v>
      </c>
      <c r="AN1099" t="n">
        <v>0</v>
      </c>
      <c r="AO1099" t="n">
        <v>0</v>
      </c>
      <c r="AP1099" t="inlineStr">
        <is>
          <t>No</t>
        </is>
      </c>
      <c r="AQ1099" t="inlineStr">
        <is>
          <t>No</t>
        </is>
      </c>
      <c r="AS1099">
        <f>HYPERLINK("https://creighton-primo.hosted.exlibrisgroup.com/primo-explore/search?tab=default_tab&amp;search_scope=EVERYTHING&amp;vid=01CRU&amp;lang=en_US&amp;offset=0&amp;query=any,contains,991004194399702656","Catalog Record")</f>
        <v/>
      </c>
      <c r="AT1099">
        <f>HYPERLINK("http://www.worldcat.org/oclc/38466944","WorldCat Record")</f>
        <v/>
      </c>
      <c r="AU1099" t="inlineStr">
        <is>
          <t>2939200:eng</t>
        </is>
      </c>
      <c r="AV1099" t="inlineStr">
        <is>
          <t>38466944</t>
        </is>
      </c>
      <c r="AW1099" t="inlineStr">
        <is>
          <t>991004194399702656</t>
        </is>
      </c>
      <c r="AX1099" t="inlineStr">
        <is>
          <t>991004194399702656</t>
        </is>
      </c>
      <c r="AY1099" t="inlineStr">
        <is>
          <t>2260061240002656</t>
        </is>
      </c>
      <c r="AZ1099" t="inlineStr">
        <is>
          <t>BOOK</t>
        </is>
      </c>
      <c r="BC1099" t="inlineStr">
        <is>
          <t>32285004841481</t>
        </is>
      </c>
      <c r="BD1099" t="inlineStr">
        <is>
          <t>893318911</t>
        </is>
      </c>
    </row>
    <row r="1100">
      <c r="A1100" t="inlineStr">
        <is>
          <t>No</t>
        </is>
      </c>
      <c r="B1100" t="inlineStr">
        <is>
          <t>LB2801.A2 A84 1991</t>
        </is>
      </c>
      <c r="C1100" t="inlineStr">
        <is>
          <t>0                      LB 2801000A  2                  A  84          1991</t>
        </is>
      </c>
      <c r="D1100" t="inlineStr">
        <is>
          <t>Educational leadership : case studies for reflective practice / Carl R. Ashbaugh, Katherine L. Kasten.</t>
        </is>
      </c>
      <c r="F1100" t="inlineStr">
        <is>
          <t>No</t>
        </is>
      </c>
      <c r="G1100" t="inlineStr">
        <is>
          <t>1</t>
        </is>
      </c>
      <c r="H1100" t="inlineStr">
        <is>
          <t>No</t>
        </is>
      </c>
      <c r="I1100" t="inlineStr">
        <is>
          <t>No</t>
        </is>
      </c>
      <c r="J1100" t="inlineStr">
        <is>
          <t>0</t>
        </is>
      </c>
      <c r="K1100" t="inlineStr">
        <is>
          <t>Ashbaugh, Carl R.</t>
        </is>
      </c>
      <c r="L1100" t="inlineStr">
        <is>
          <t>New York : Longman, c1991.</t>
        </is>
      </c>
      <c r="M1100" t="inlineStr">
        <is>
          <t>1991</t>
        </is>
      </c>
      <c r="O1100" t="inlineStr">
        <is>
          <t>eng</t>
        </is>
      </c>
      <c r="P1100" t="inlineStr">
        <is>
          <t>nyu</t>
        </is>
      </c>
      <c r="R1100" t="inlineStr">
        <is>
          <t xml:space="preserve">LB </t>
        </is>
      </c>
      <c r="S1100" t="n">
        <v>3</v>
      </c>
      <c r="T1100" t="n">
        <v>3</v>
      </c>
      <c r="U1100" t="inlineStr">
        <is>
          <t>1992-10-30</t>
        </is>
      </c>
      <c r="V1100" t="inlineStr">
        <is>
          <t>1992-10-30</t>
        </is>
      </c>
      <c r="W1100" t="inlineStr">
        <is>
          <t>1990-11-05</t>
        </is>
      </c>
      <c r="X1100" t="inlineStr">
        <is>
          <t>1990-11-05</t>
        </is>
      </c>
      <c r="Y1100" t="n">
        <v>249</v>
      </c>
      <c r="Z1100" t="n">
        <v>217</v>
      </c>
      <c r="AA1100" t="n">
        <v>304</v>
      </c>
      <c r="AB1100" t="n">
        <v>4</v>
      </c>
      <c r="AC1100" t="n">
        <v>4</v>
      </c>
      <c r="AD1100" t="n">
        <v>11</v>
      </c>
      <c r="AE1100" t="n">
        <v>16</v>
      </c>
      <c r="AF1100" t="n">
        <v>5</v>
      </c>
      <c r="AG1100" t="n">
        <v>7</v>
      </c>
      <c r="AH1100" t="n">
        <v>1</v>
      </c>
      <c r="AI1100" t="n">
        <v>3</v>
      </c>
      <c r="AJ1100" t="n">
        <v>6</v>
      </c>
      <c r="AK1100" t="n">
        <v>9</v>
      </c>
      <c r="AL1100" t="n">
        <v>3</v>
      </c>
      <c r="AM1100" t="n">
        <v>3</v>
      </c>
      <c r="AN1100" t="n">
        <v>0</v>
      </c>
      <c r="AO1100" t="n">
        <v>0</v>
      </c>
      <c r="AP1100" t="inlineStr">
        <is>
          <t>No</t>
        </is>
      </c>
      <c r="AQ1100" t="inlineStr">
        <is>
          <t>Yes</t>
        </is>
      </c>
      <c r="AR1100">
        <f>HYPERLINK("http://catalog.hathitrust.org/Record/002224507","HathiTrust Record")</f>
        <v/>
      </c>
      <c r="AS1100">
        <f>HYPERLINK("https://creighton-primo.hosted.exlibrisgroup.com/primo-explore/search?tab=default_tab&amp;search_scope=EVERYTHING&amp;vid=01CRU&amp;lang=en_US&amp;offset=0&amp;query=any,contains,991001609389702656","Catalog Record")</f>
        <v/>
      </c>
      <c r="AT1100">
        <f>HYPERLINK("http://www.worldcat.org/oclc/20723155","WorldCat Record")</f>
        <v/>
      </c>
      <c r="AU1100" t="inlineStr">
        <is>
          <t>22368489:eng</t>
        </is>
      </c>
      <c r="AV1100" t="inlineStr">
        <is>
          <t>20723155</t>
        </is>
      </c>
      <c r="AW1100" t="inlineStr">
        <is>
          <t>991001609389702656</t>
        </is>
      </c>
      <c r="AX1100" t="inlineStr">
        <is>
          <t>991001609389702656</t>
        </is>
      </c>
      <c r="AY1100" t="inlineStr">
        <is>
          <t>2271053510002656</t>
        </is>
      </c>
      <c r="AZ1100" t="inlineStr">
        <is>
          <t>BOOK</t>
        </is>
      </c>
      <c r="BC1100" t="inlineStr">
        <is>
          <t>32285000312974</t>
        </is>
      </c>
      <c r="BD1100" t="inlineStr">
        <is>
          <t>893791533</t>
        </is>
      </c>
    </row>
    <row r="1101">
      <c r="A1101" t="inlineStr">
        <is>
          <t>No</t>
        </is>
      </c>
      <c r="B1101" t="inlineStr">
        <is>
          <t>LB2801.A2 R435 2009</t>
        </is>
      </c>
      <c r="C1101" t="inlineStr">
        <is>
          <t>0                      LB 2801000A  2                  R  435         2009</t>
        </is>
      </c>
      <c r="D1101" t="inlineStr">
        <is>
          <t>Genuine school leadership : experience, reflection, and beliefs / by Ronald W. Rebore and Angela L.E. Walmsley.</t>
        </is>
      </c>
      <c r="F1101" t="inlineStr">
        <is>
          <t>No</t>
        </is>
      </c>
      <c r="G1101" t="inlineStr">
        <is>
          <t>1</t>
        </is>
      </c>
      <c r="H1101" t="inlineStr">
        <is>
          <t>No</t>
        </is>
      </c>
      <c r="I1101" t="inlineStr">
        <is>
          <t>No</t>
        </is>
      </c>
      <c r="J1101" t="inlineStr">
        <is>
          <t>0</t>
        </is>
      </c>
      <c r="K1101" t="inlineStr">
        <is>
          <t>Rebore, Ronald W.</t>
        </is>
      </c>
      <c r="L1101" t="inlineStr">
        <is>
          <t>Thousand Oaks, Calif. : Corwin Press, c2009.</t>
        </is>
      </c>
      <c r="M1101" t="inlineStr">
        <is>
          <t>2009</t>
        </is>
      </c>
      <c r="O1101" t="inlineStr">
        <is>
          <t>eng</t>
        </is>
      </c>
      <c r="P1101" t="inlineStr">
        <is>
          <t>cau</t>
        </is>
      </c>
      <c r="R1101" t="inlineStr">
        <is>
          <t xml:space="preserve">LB </t>
        </is>
      </c>
      <c r="S1101" t="n">
        <v>2</v>
      </c>
      <c r="T1101" t="n">
        <v>2</v>
      </c>
      <c r="U1101" t="inlineStr">
        <is>
          <t>2008-11-02</t>
        </is>
      </c>
      <c r="V1101" t="inlineStr">
        <is>
          <t>2008-11-02</t>
        </is>
      </c>
      <c r="W1101" t="inlineStr">
        <is>
          <t>2008-08-28</t>
        </is>
      </c>
      <c r="X1101" t="inlineStr">
        <is>
          <t>2008-08-28</t>
        </is>
      </c>
      <c r="Y1101" t="n">
        <v>180</v>
      </c>
      <c r="Z1101" t="n">
        <v>129</v>
      </c>
      <c r="AA1101" t="n">
        <v>149</v>
      </c>
      <c r="AB1101" t="n">
        <v>2</v>
      </c>
      <c r="AC1101" t="n">
        <v>3</v>
      </c>
      <c r="AD1101" t="n">
        <v>11</v>
      </c>
      <c r="AE1101" t="n">
        <v>13</v>
      </c>
      <c r="AF1101" t="n">
        <v>4</v>
      </c>
      <c r="AG1101" t="n">
        <v>5</v>
      </c>
      <c r="AH1101" t="n">
        <v>2</v>
      </c>
      <c r="AI1101" t="n">
        <v>3</v>
      </c>
      <c r="AJ1101" t="n">
        <v>9</v>
      </c>
      <c r="AK1101" t="n">
        <v>9</v>
      </c>
      <c r="AL1101" t="n">
        <v>1</v>
      </c>
      <c r="AM1101" t="n">
        <v>2</v>
      </c>
      <c r="AN1101" t="n">
        <v>0</v>
      </c>
      <c r="AO1101" t="n">
        <v>0</v>
      </c>
      <c r="AP1101" t="inlineStr">
        <is>
          <t>No</t>
        </is>
      </c>
      <c r="AQ1101" t="inlineStr">
        <is>
          <t>No</t>
        </is>
      </c>
      <c r="AS1101">
        <f>HYPERLINK("https://creighton-primo.hosted.exlibrisgroup.com/primo-explore/search?tab=default_tab&amp;search_scope=EVERYTHING&amp;vid=01CRU&amp;lang=en_US&amp;offset=0&amp;query=any,contains,991005260729702656","Catalog Record")</f>
        <v/>
      </c>
      <c r="AT1101">
        <f>HYPERLINK("http://www.worldcat.org/oclc/213222474","WorldCat Record")</f>
        <v/>
      </c>
      <c r="AU1101" t="inlineStr">
        <is>
          <t>321861085:eng</t>
        </is>
      </c>
      <c r="AV1101" t="inlineStr">
        <is>
          <t>213222474</t>
        </is>
      </c>
      <c r="AW1101" t="inlineStr">
        <is>
          <t>991005260729702656</t>
        </is>
      </c>
      <c r="AX1101" t="inlineStr">
        <is>
          <t>991005260729702656</t>
        </is>
      </c>
      <c r="AY1101" t="inlineStr">
        <is>
          <t>2259071740002656</t>
        </is>
      </c>
      <c r="AZ1101" t="inlineStr">
        <is>
          <t>BOOK</t>
        </is>
      </c>
      <c r="BB1101" t="inlineStr">
        <is>
          <t>9781412957366</t>
        </is>
      </c>
      <c r="BC1101" t="inlineStr">
        <is>
          <t>32285005456487</t>
        </is>
      </c>
      <c r="BD1101" t="inlineStr">
        <is>
          <t>893338825</t>
        </is>
      </c>
    </row>
    <row r="1102">
      <c r="A1102" t="inlineStr">
        <is>
          <t>No</t>
        </is>
      </c>
      <c r="B1102" t="inlineStr">
        <is>
          <t>LB2802.S36 H83 2006</t>
        </is>
      </c>
      <c r="C1102" t="inlineStr">
        <is>
          <t>0                      LB 2802000S  36                 H  83          2006</t>
        </is>
      </c>
      <c r="D1102" t="inlineStr">
        <is>
          <t>Reform as learning : school reform, organizational culture, and community politics in San Diego / Lea Hubbard, Hugh Mehan, and Mary Kay Stein.</t>
        </is>
      </c>
      <c r="F1102" t="inlineStr">
        <is>
          <t>No</t>
        </is>
      </c>
      <c r="G1102" t="inlineStr">
        <is>
          <t>1</t>
        </is>
      </c>
      <c r="H1102" t="inlineStr">
        <is>
          <t>No</t>
        </is>
      </c>
      <c r="I1102" t="inlineStr">
        <is>
          <t>No</t>
        </is>
      </c>
      <c r="J1102" t="inlineStr">
        <is>
          <t>0</t>
        </is>
      </c>
      <c r="K1102" t="inlineStr">
        <is>
          <t>Hubbard, Lea, 1946-</t>
        </is>
      </c>
      <c r="L1102" t="inlineStr">
        <is>
          <t>New York : Routledge, 2006.</t>
        </is>
      </c>
      <c r="M1102" t="inlineStr">
        <is>
          <t>2006</t>
        </is>
      </c>
      <c r="O1102" t="inlineStr">
        <is>
          <t>eng</t>
        </is>
      </c>
      <c r="P1102" t="inlineStr">
        <is>
          <t>nyu</t>
        </is>
      </c>
      <c r="R1102" t="inlineStr">
        <is>
          <t xml:space="preserve">LB </t>
        </is>
      </c>
      <c r="S1102" t="n">
        <v>1</v>
      </c>
      <c r="T1102" t="n">
        <v>1</v>
      </c>
      <c r="U1102" t="inlineStr">
        <is>
          <t>2006-06-05</t>
        </is>
      </c>
      <c r="V1102" t="inlineStr">
        <is>
          <t>2006-06-05</t>
        </is>
      </c>
      <c r="W1102" t="inlineStr">
        <is>
          <t>2006-06-05</t>
        </is>
      </c>
      <c r="X1102" t="inlineStr">
        <is>
          <t>2006-06-05</t>
        </is>
      </c>
      <c r="Y1102" t="n">
        <v>179</v>
      </c>
      <c r="Z1102" t="n">
        <v>150</v>
      </c>
      <c r="AA1102" t="n">
        <v>181</v>
      </c>
      <c r="AB1102" t="n">
        <v>1</v>
      </c>
      <c r="AC1102" t="n">
        <v>1</v>
      </c>
      <c r="AD1102" t="n">
        <v>7</v>
      </c>
      <c r="AE1102" t="n">
        <v>7</v>
      </c>
      <c r="AF1102" t="n">
        <v>1</v>
      </c>
      <c r="AG1102" t="n">
        <v>1</v>
      </c>
      <c r="AH1102" t="n">
        <v>1</v>
      </c>
      <c r="AI1102" t="n">
        <v>1</v>
      </c>
      <c r="AJ1102" t="n">
        <v>7</v>
      </c>
      <c r="AK1102" t="n">
        <v>7</v>
      </c>
      <c r="AL1102" t="n">
        <v>0</v>
      </c>
      <c r="AM1102" t="n">
        <v>0</v>
      </c>
      <c r="AN1102" t="n">
        <v>0</v>
      </c>
      <c r="AO1102" t="n">
        <v>0</v>
      </c>
      <c r="AP1102" t="inlineStr">
        <is>
          <t>No</t>
        </is>
      </c>
      <c r="AQ1102" t="inlineStr">
        <is>
          <t>Yes</t>
        </is>
      </c>
      <c r="AR1102">
        <f>HYPERLINK("http://catalog.hathitrust.org/Record/005225456","HathiTrust Record")</f>
        <v/>
      </c>
      <c r="AS1102">
        <f>HYPERLINK("https://creighton-primo.hosted.exlibrisgroup.com/primo-explore/search?tab=default_tab&amp;search_scope=EVERYTHING&amp;vid=01CRU&amp;lang=en_US&amp;offset=0&amp;query=any,contains,991004825069702656","Catalog Record")</f>
        <v/>
      </c>
      <c r="AT1102">
        <f>HYPERLINK("http://www.worldcat.org/oclc/61731314","WorldCat Record")</f>
        <v/>
      </c>
      <c r="AU1102" t="inlineStr">
        <is>
          <t>287957748:eng</t>
        </is>
      </c>
      <c r="AV1102" t="inlineStr">
        <is>
          <t>61731314</t>
        </is>
      </c>
      <c r="AW1102" t="inlineStr">
        <is>
          <t>991004825069702656</t>
        </is>
      </c>
      <c r="AX1102" t="inlineStr">
        <is>
          <t>991004825069702656</t>
        </is>
      </c>
      <c r="AY1102" t="inlineStr">
        <is>
          <t>2271897830002656</t>
        </is>
      </c>
      <c r="AZ1102" t="inlineStr">
        <is>
          <t>BOOK</t>
        </is>
      </c>
      <c r="BB1102" t="inlineStr">
        <is>
          <t>9780415953764</t>
        </is>
      </c>
      <c r="BC1102" t="inlineStr">
        <is>
          <t>32285005190151</t>
        </is>
      </c>
      <c r="BD1102" t="inlineStr">
        <is>
          <t>893350424</t>
        </is>
      </c>
    </row>
    <row r="1103">
      <c r="A1103" t="inlineStr">
        <is>
          <t>No</t>
        </is>
      </c>
      <c r="B1103" t="inlineStr">
        <is>
          <t>LB2804 .A8 1994</t>
        </is>
      </c>
      <c r="C1103" t="inlineStr">
        <is>
          <t>0                      LB 2804000A  8           1994</t>
        </is>
      </c>
      <c r="D1103" t="inlineStr">
        <is>
          <t>The governance of curriculum / Richard F. Elmore and Susan H. Fuhrman, editors.</t>
        </is>
      </c>
      <c r="F1103" t="inlineStr">
        <is>
          <t>No</t>
        </is>
      </c>
      <c r="G1103" t="inlineStr">
        <is>
          <t>1</t>
        </is>
      </c>
      <c r="H1103" t="inlineStr">
        <is>
          <t>No</t>
        </is>
      </c>
      <c r="I1103" t="inlineStr">
        <is>
          <t>No</t>
        </is>
      </c>
      <c r="J1103" t="inlineStr">
        <is>
          <t>0</t>
        </is>
      </c>
      <c r="L1103" t="inlineStr">
        <is>
          <t>Alexandria, Va. : The Association, c1994.</t>
        </is>
      </c>
      <c r="M1103" t="inlineStr">
        <is>
          <t>1994</t>
        </is>
      </c>
      <c r="O1103" t="inlineStr">
        <is>
          <t>eng</t>
        </is>
      </c>
      <c r="P1103" t="inlineStr">
        <is>
          <t>vau</t>
        </is>
      </c>
      <c r="Q1103" t="inlineStr">
        <is>
          <t>1994 Yearbook of the Association for Supervision and Curriculum Development</t>
        </is>
      </c>
      <c r="R1103" t="inlineStr">
        <is>
          <t xml:space="preserve">LB </t>
        </is>
      </c>
      <c r="S1103" t="n">
        <v>3</v>
      </c>
      <c r="T1103" t="n">
        <v>3</v>
      </c>
      <c r="U1103" t="inlineStr">
        <is>
          <t>1994-10-28</t>
        </is>
      </c>
      <c r="V1103" t="inlineStr">
        <is>
          <t>1994-10-28</t>
        </is>
      </c>
      <c r="W1103" t="inlineStr">
        <is>
          <t>1994-03-22</t>
        </is>
      </c>
      <c r="X1103" t="inlineStr">
        <is>
          <t>1994-03-22</t>
        </is>
      </c>
      <c r="Y1103" t="n">
        <v>622</v>
      </c>
      <c r="Z1103" t="n">
        <v>573</v>
      </c>
      <c r="AA1103" t="n">
        <v>587</v>
      </c>
      <c r="AB1103" t="n">
        <v>6</v>
      </c>
      <c r="AC1103" t="n">
        <v>7</v>
      </c>
      <c r="AD1103" t="n">
        <v>19</v>
      </c>
      <c r="AE1103" t="n">
        <v>20</v>
      </c>
      <c r="AF1103" t="n">
        <v>7</v>
      </c>
      <c r="AG1103" t="n">
        <v>7</v>
      </c>
      <c r="AH1103" t="n">
        <v>2</v>
      </c>
      <c r="AI1103" t="n">
        <v>2</v>
      </c>
      <c r="AJ1103" t="n">
        <v>11</v>
      </c>
      <c r="AK1103" t="n">
        <v>11</v>
      </c>
      <c r="AL1103" t="n">
        <v>3</v>
      </c>
      <c r="AM1103" t="n">
        <v>4</v>
      </c>
      <c r="AN1103" t="n">
        <v>0</v>
      </c>
      <c r="AO1103" t="n">
        <v>0</v>
      </c>
      <c r="AP1103" t="inlineStr">
        <is>
          <t>No</t>
        </is>
      </c>
      <c r="AQ1103" t="inlineStr">
        <is>
          <t>Yes</t>
        </is>
      </c>
      <c r="AR1103">
        <f>HYPERLINK("http://catalog.hathitrust.org/Record/002860829","HathiTrust Record")</f>
        <v/>
      </c>
      <c r="AS1103">
        <f>HYPERLINK("https://creighton-primo.hosted.exlibrisgroup.com/primo-explore/search?tab=default_tab&amp;search_scope=EVERYTHING&amp;vid=01CRU&amp;lang=en_US&amp;offset=0&amp;query=any,contains,991002310349702656","Catalog Record")</f>
        <v/>
      </c>
      <c r="AT1103">
        <f>HYPERLINK("http://www.worldcat.org/oclc/29976290","WorldCat Record")</f>
        <v/>
      </c>
      <c r="AU1103" t="inlineStr">
        <is>
          <t>351154517:eng</t>
        </is>
      </c>
      <c r="AV1103" t="inlineStr">
        <is>
          <t>29976290</t>
        </is>
      </c>
      <c r="AW1103" t="inlineStr">
        <is>
          <t>991002310349702656</t>
        </is>
      </c>
      <c r="AX1103" t="inlineStr">
        <is>
          <t>991002310349702656</t>
        </is>
      </c>
      <c r="AY1103" t="inlineStr">
        <is>
          <t>2271068790002656</t>
        </is>
      </c>
      <c r="AZ1103" t="inlineStr">
        <is>
          <t>BOOK</t>
        </is>
      </c>
      <c r="BC1103" t="inlineStr">
        <is>
          <t>32285001863397</t>
        </is>
      </c>
      <c r="BD1103" t="inlineStr">
        <is>
          <t>893798428</t>
        </is>
      </c>
    </row>
    <row r="1104">
      <c r="A1104" t="inlineStr">
        <is>
          <t>No</t>
        </is>
      </c>
      <c r="B1104" t="inlineStr">
        <is>
          <t>LB2804 .A8 1996</t>
        </is>
      </c>
      <c r="C1104" t="inlineStr">
        <is>
          <t>0                      LB 2804000A  8           1996</t>
        </is>
      </c>
      <c r="D1104" t="inlineStr">
        <is>
          <t>Communicating student learning / edited by Thomas R. Guskey.</t>
        </is>
      </c>
      <c r="F1104" t="inlineStr">
        <is>
          <t>No</t>
        </is>
      </c>
      <c r="G1104" t="inlineStr">
        <is>
          <t>1</t>
        </is>
      </c>
      <c r="H1104" t="inlineStr">
        <is>
          <t>No</t>
        </is>
      </c>
      <c r="I1104" t="inlineStr">
        <is>
          <t>No</t>
        </is>
      </c>
      <c r="J1104" t="inlineStr">
        <is>
          <t>0</t>
        </is>
      </c>
      <c r="L1104" t="inlineStr">
        <is>
          <t>Alexandria, Va. : ASCD, c1996</t>
        </is>
      </c>
      <c r="M1104" t="inlineStr">
        <is>
          <t>1996</t>
        </is>
      </c>
      <c r="O1104" t="inlineStr">
        <is>
          <t>eng</t>
        </is>
      </c>
      <c r="P1104" t="inlineStr">
        <is>
          <t>vau</t>
        </is>
      </c>
      <c r="Q1104" t="inlineStr">
        <is>
          <t>Yearbook of the Association for Supervision and Curriculum Development ; 1996</t>
        </is>
      </c>
      <c r="R1104" t="inlineStr">
        <is>
          <t xml:space="preserve">LB </t>
        </is>
      </c>
      <c r="S1104" t="n">
        <v>8</v>
      </c>
      <c r="T1104" t="n">
        <v>8</v>
      </c>
      <c r="U1104" t="inlineStr">
        <is>
          <t>2006-12-19</t>
        </is>
      </c>
      <c r="V1104" t="inlineStr">
        <is>
          <t>2006-12-19</t>
        </is>
      </c>
      <c r="W1104" t="inlineStr">
        <is>
          <t>1996-02-01</t>
        </is>
      </c>
      <c r="X1104" t="inlineStr">
        <is>
          <t>1996-02-01</t>
        </is>
      </c>
      <c r="Y1104" t="n">
        <v>475</v>
      </c>
      <c r="Z1104" t="n">
        <v>431</v>
      </c>
      <c r="AA1104" t="n">
        <v>436</v>
      </c>
      <c r="AB1104" t="n">
        <v>5</v>
      </c>
      <c r="AC1104" t="n">
        <v>5</v>
      </c>
      <c r="AD1104" t="n">
        <v>17</v>
      </c>
      <c r="AE1104" t="n">
        <v>17</v>
      </c>
      <c r="AF1104" t="n">
        <v>6</v>
      </c>
      <c r="AG1104" t="n">
        <v>6</v>
      </c>
      <c r="AH1104" t="n">
        <v>0</v>
      </c>
      <c r="AI1104" t="n">
        <v>0</v>
      </c>
      <c r="AJ1104" t="n">
        <v>10</v>
      </c>
      <c r="AK1104" t="n">
        <v>10</v>
      </c>
      <c r="AL1104" t="n">
        <v>4</v>
      </c>
      <c r="AM1104" t="n">
        <v>4</v>
      </c>
      <c r="AN1104" t="n">
        <v>0</v>
      </c>
      <c r="AO1104" t="n">
        <v>0</v>
      </c>
      <c r="AP1104" t="inlineStr">
        <is>
          <t>No</t>
        </is>
      </c>
      <c r="AQ1104" t="inlineStr">
        <is>
          <t>Yes</t>
        </is>
      </c>
      <c r="AR1104">
        <f>HYPERLINK("http://catalog.hathitrust.org/Record/003031628","HathiTrust Record")</f>
        <v/>
      </c>
      <c r="AS1104">
        <f>HYPERLINK("https://creighton-primo.hosted.exlibrisgroup.com/primo-explore/search?tab=default_tab&amp;search_scope=EVERYTHING&amp;vid=01CRU&amp;lang=en_US&amp;offset=0&amp;query=any,contains,991002602339702656","Catalog Record")</f>
        <v/>
      </c>
      <c r="AT1104">
        <f>HYPERLINK("http://www.worldcat.org/oclc/34082633","WorldCat Record")</f>
        <v/>
      </c>
      <c r="AU1104" t="inlineStr">
        <is>
          <t>359851458:eng</t>
        </is>
      </c>
      <c r="AV1104" t="inlineStr">
        <is>
          <t>34082633</t>
        </is>
      </c>
      <c r="AW1104" t="inlineStr">
        <is>
          <t>991002602339702656</t>
        </is>
      </c>
      <c r="AX1104" t="inlineStr">
        <is>
          <t>991002602339702656</t>
        </is>
      </c>
      <c r="AY1104" t="inlineStr">
        <is>
          <t>2264364480002656</t>
        </is>
      </c>
      <c r="AZ1104" t="inlineStr">
        <is>
          <t>BOOK</t>
        </is>
      </c>
      <c r="BC1104" t="inlineStr">
        <is>
          <t>32285002127016</t>
        </is>
      </c>
      <c r="BD1104" t="inlineStr">
        <is>
          <t>893898967</t>
        </is>
      </c>
    </row>
    <row r="1105">
      <c r="A1105" t="inlineStr">
        <is>
          <t>No</t>
        </is>
      </c>
      <c r="B1105" t="inlineStr">
        <is>
          <t>LB2804 .A8 1997</t>
        </is>
      </c>
      <c r="C1105" t="inlineStr">
        <is>
          <t>0                      LB 2804000A  8           1997</t>
        </is>
      </c>
      <c r="D1105" t="inlineStr">
        <is>
          <t>Rethinking educational change with heart and mind / edited by Andy Hargreaves.</t>
        </is>
      </c>
      <c r="F1105" t="inlineStr">
        <is>
          <t>No</t>
        </is>
      </c>
      <c r="G1105" t="inlineStr">
        <is>
          <t>1</t>
        </is>
      </c>
      <c r="H1105" t="inlineStr">
        <is>
          <t>No</t>
        </is>
      </c>
      <c r="I1105" t="inlineStr">
        <is>
          <t>No</t>
        </is>
      </c>
      <c r="J1105" t="inlineStr">
        <is>
          <t>0</t>
        </is>
      </c>
      <c r="L1105" t="inlineStr">
        <is>
          <t>Alexandria, Va. : Association for Supervision and Curriculum Development, c1997.</t>
        </is>
      </c>
      <c r="M1105" t="inlineStr">
        <is>
          <t>1997</t>
        </is>
      </c>
      <c r="O1105" t="inlineStr">
        <is>
          <t>eng</t>
        </is>
      </c>
      <c r="P1105" t="inlineStr">
        <is>
          <t>vau</t>
        </is>
      </c>
      <c r="Q1105" t="inlineStr">
        <is>
          <t>ASCD yearbook ; 1997</t>
        </is>
      </c>
      <c r="R1105" t="inlineStr">
        <is>
          <t xml:space="preserve">LB </t>
        </is>
      </c>
      <c r="S1105" t="n">
        <v>10</v>
      </c>
      <c r="T1105" t="n">
        <v>10</v>
      </c>
      <c r="U1105" t="inlineStr">
        <is>
          <t>2004-04-07</t>
        </is>
      </c>
      <c r="V1105" t="inlineStr">
        <is>
          <t>2004-04-07</t>
        </is>
      </c>
      <c r="W1105" t="inlineStr">
        <is>
          <t>1997-03-31</t>
        </is>
      </c>
      <c r="X1105" t="inlineStr">
        <is>
          <t>1997-03-31</t>
        </is>
      </c>
      <c r="Y1105" t="n">
        <v>551</v>
      </c>
      <c r="Z1105" t="n">
        <v>505</v>
      </c>
      <c r="AA1105" t="n">
        <v>508</v>
      </c>
      <c r="AB1105" t="n">
        <v>6</v>
      </c>
      <c r="AC1105" t="n">
        <v>6</v>
      </c>
      <c r="AD1105" t="n">
        <v>19</v>
      </c>
      <c r="AE1105" t="n">
        <v>19</v>
      </c>
      <c r="AF1105" t="n">
        <v>7</v>
      </c>
      <c r="AG1105" t="n">
        <v>7</v>
      </c>
      <c r="AH1105" t="n">
        <v>2</v>
      </c>
      <c r="AI1105" t="n">
        <v>2</v>
      </c>
      <c r="AJ1105" t="n">
        <v>9</v>
      </c>
      <c r="AK1105" t="n">
        <v>9</v>
      </c>
      <c r="AL1105" t="n">
        <v>5</v>
      </c>
      <c r="AM1105" t="n">
        <v>5</v>
      </c>
      <c r="AN1105" t="n">
        <v>0</v>
      </c>
      <c r="AO1105" t="n">
        <v>0</v>
      </c>
      <c r="AP1105" t="inlineStr">
        <is>
          <t>No</t>
        </is>
      </c>
      <c r="AQ1105" t="inlineStr">
        <is>
          <t>Yes</t>
        </is>
      </c>
      <c r="AR1105">
        <f>HYPERLINK("http://catalog.hathitrust.org/Record/003150802","HathiTrust Record")</f>
        <v/>
      </c>
      <c r="AS1105">
        <f>HYPERLINK("https://creighton-primo.hosted.exlibrisgroup.com/primo-explore/search?tab=default_tab&amp;search_scope=EVERYTHING&amp;vid=01CRU&amp;lang=en_US&amp;offset=0&amp;query=any,contains,991002776399702656","Catalog Record")</f>
        <v/>
      </c>
      <c r="AT1105">
        <f>HYPERLINK("http://www.worldcat.org/oclc/36459387","WorldCat Record")</f>
        <v/>
      </c>
      <c r="AU1105" t="inlineStr">
        <is>
          <t>355778881:eng</t>
        </is>
      </c>
      <c r="AV1105" t="inlineStr">
        <is>
          <t>36459387</t>
        </is>
      </c>
      <c r="AW1105" t="inlineStr">
        <is>
          <t>991002776399702656</t>
        </is>
      </c>
      <c r="AX1105" t="inlineStr">
        <is>
          <t>991002776399702656</t>
        </is>
      </c>
      <c r="AY1105" t="inlineStr">
        <is>
          <t>2271061420002656</t>
        </is>
      </c>
      <c r="AZ1105" t="inlineStr">
        <is>
          <t>BOOK</t>
        </is>
      </c>
      <c r="BC1105" t="inlineStr">
        <is>
          <t>32285002476777</t>
        </is>
      </c>
      <c r="BD1105" t="inlineStr">
        <is>
          <t>893409519</t>
        </is>
      </c>
    </row>
    <row r="1106">
      <c r="A1106" t="inlineStr">
        <is>
          <t>No</t>
        </is>
      </c>
      <c r="B1106" t="inlineStr">
        <is>
          <t>LB2804 .A8 2000</t>
        </is>
      </c>
      <c r="C1106" t="inlineStr">
        <is>
          <t>0                      LB 2804000A  8           2000</t>
        </is>
      </c>
      <c r="D1106" t="inlineStr">
        <is>
          <t>Education in a new era / edited by Ronald S. Brandt.</t>
        </is>
      </c>
      <c r="F1106" t="inlineStr">
        <is>
          <t>No</t>
        </is>
      </c>
      <c r="G1106" t="inlineStr">
        <is>
          <t>1</t>
        </is>
      </c>
      <c r="H1106" t="inlineStr">
        <is>
          <t>No</t>
        </is>
      </c>
      <c r="I1106" t="inlineStr">
        <is>
          <t>No</t>
        </is>
      </c>
      <c r="J1106" t="inlineStr">
        <is>
          <t>0</t>
        </is>
      </c>
      <c r="L1106" t="inlineStr">
        <is>
          <t>Alexandria, Va. : Association for Supervision and Curriculum Development, c2000.</t>
        </is>
      </c>
      <c r="M1106" t="inlineStr">
        <is>
          <t>2000</t>
        </is>
      </c>
      <c r="O1106" t="inlineStr">
        <is>
          <t>eng</t>
        </is>
      </c>
      <c r="P1106" t="inlineStr">
        <is>
          <t>vau</t>
        </is>
      </c>
      <c r="Q1106" t="inlineStr">
        <is>
          <t>ASCD yearbook, 1042-9018 ; 2000.</t>
        </is>
      </c>
      <c r="R1106" t="inlineStr">
        <is>
          <t xml:space="preserve">LB </t>
        </is>
      </c>
      <c r="S1106" t="n">
        <v>7</v>
      </c>
      <c r="T1106" t="n">
        <v>7</v>
      </c>
      <c r="U1106" t="inlineStr">
        <is>
          <t>2008-04-22</t>
        </is>
      </c>
      <c r="V1106" t="inlineStr">
        <is>
          <t>2008-04-22</t>
        </is>
      </c>
      <c r="W1106" t="inlineStr">
        <is>
          <t>2000-02-09</t>
        </is>
      </c>
      <c r="X1106" t="inlineStr">
        <is>
          <t>2000-02-09</t>
        </is>
      </c>
      <c r="Y1106" t="n">
        <v>717</v>
      </c>
      <c r="Z1106" t="n">
        <v>649</v>
      </c>
      <c r="AA1106" t="n">
        <v>655</v>
      </c>
      <c r="AB1106" t="n">
        <v>7</v>
      </c>
      <c r="AC1106" t="n">
        <v>7</v>
      </c>
      <c r="AD1106" t="n">
        <v>28</v>
      </c>
      <c r="AE1106" t="n">
        <v>28</v>
      </c>
      <c r="AF1106" t="n">
        <v>11</v>
      </c>
      <c r="AG1106" t="n">
        <v>11</v>
      </c>
      <c r="AH1106" t="n">
        <v>3</v>
      </c>
      <c r="AI1106" t="n">
        <v>3</v>
      </c>
      <c r="AJ1106" t="n">
        <v>13</v>
      </c>
      <c r="AK1106" t="n">
        <v>13</v>
      </c>
      <c r="AL1106" t="n">
        <v>6</v>
      </c>
      <c r="AM1106" t="n">
        <v>6</v>
      </c>
      <c r="AN1106" t="n">
        <v>0</v>
      </c>
      <c r="AO1106" t="n">
        <v>0</v>
      </c>
      <c r="AP1106" t="inlineStr">
        <is>
          <t>No</t>
        </is>
      </c>
      <c r="AQ1106" t="inlineStr">
        <is>
          <t>Yes</t>
        </is>
      </c>
      <c r="AR1106">
        <f>HYPERLINK("http://catalog.hathitrust.org/Record/003503197","HathiTrust Record")</f>
        <v/>
      </c>
      <c r="AS1106">
        <f>HYPERLINK("https://creighton-primo.hosted.exlibrisgroup.com/primo-explore/search?tab=default_tab&amp;search_scope=EVERYTHING&amp;vid=01CRU&amp;lang=en_US&amp;offset=0&amp;query=any,contains,991005430939702656","Catalog Record")</f>
        <v/>
      </c>
      <c r="AT1106">
        <f>HYPERLINK("http://www.worldcat.org/oclc/43382616","WorldCat Record")</f>
        <v/>
      </c>
      <c r="AU1106" t="inlineStr">
        <is>
          <t>9592972486:eng</t>
        </is>
      </c>
      <c r="AV1106" t="inlineStr">
        <is>
          <t>43382616</t>
        </is>
      </c>
      <c r="AW1106" t="inlineStr">
        <is>
          <t>991005430939702656</t>
        </is>
      </c>
      <c r="AX1106" t="inlineStr">
        <is>
          <t>991005430939702656</t>
        </is>
      </c>
      <c r="AY1106" t="inlineStr">
        <is>
          <t>2261941010002656</t>
        </is>
      </c>
      <c r="AZ1106" t="inlineStr">
        <is>
          <t>BOOK</t>
        </is>
      </c>
      <c r="BB1106" t="inlineStr">
        <is>
          <t>9780871203632</t>
        </is>
      </c>
      <c r="BC1106" t="inlineStr">
        <is>
          <t>32285003660577</t>
        </is>
      </c>
      <c r="BD1106" t="inlineStr">
        <is>
          <t>893425160</t>
        </is>
      </c>
    </row>
    <row r="1107">
      <c r="A1107" t="inlineStr">
        <is>
          <t>No</t>
        </is>
      </c>
      <c r="B1107" t="inlineStr">
        <is>
          <t>LB2805 .D16 1997</t>
        </is>
      </c>
      <c r="C1107" t="inlineStr">
        <is>
          <t>0                      LB 2805000D  16          1997</t>
        </is>
      </c>
      <c r="D1107" t="inlineStr">
        <is>
          <t>The right to learn : a blueprint for creating schools that work / Linda Darling-Hammond.</t>
        </is>
      </c>
      <c r="F1107" t="inlineStr">
        <is>
          <t>No</t>
        </is>
      </c>
      <c r="G1107" t="inlineStr">
        <is>
          <t>1</t>
        </is>
      </c>
      <c r="H1107" t="inlineStr">
        <is>
          <t>No</t>
        </is>
      </c>
      <c r="I1107" t="inlineStr">
        <is>
          <t>No</t>
        </is>
      </c>
      <c r="J1107" t="inlineStr">
        <is>
          <t>0</t>
        </is>
      </c>
      <c r="K1107" t="inlineStr">
        <is>
          <t>Darling-Hammond, Linda, 1951-</t>
        </is>
      </c>
      <c r="L1107" t="inlineStr">
        <is>
          <t>San Francisco : Jossey-Bass, c1997.</t>
        </is>
      </c>
      <c r="M1107" t="inlineStr">
        <is>
          <t>1997</t>
        </is>
      </c>
      <c r="N1107" t="inlineStr">
        <is>
          <t>1st ed.</t>
        </is>
      </c>
      <c r="O1107" t="inlineStr">
        <is>
          <t>eng</t>
        </is>
      </c>
      <c r="P1107" t="inlineStr">
        <is>
          <t>cau</t>
        </is>
      </c>
      <c r="Q1107" t="inlineStr">
        <is>
          <t>The Jossey-Bass education series</t>
        </is>
      </c>
      <c r="R1107" t="inlineStr">
        <is>
          <t xml:space="preserve">LB </t>
        </is>
      </c>
      <c r="S1107" t="n">
        <v>3</v>
      </c>
      <c r="T1107" t="n">
        <v>3</v>
      </c>
      <c r="U1107" t="inlineStr">
        <is>
          <t>2006-09-17</t>
        </is>
      </c>
      <c r="V1107" t="inlineStr">
        <is>
          <t>2006-09-17</t>
        </is>
      </c>
      <c r="W1107" t="inlineStr">
        <is>
          <t>1997-05-15</t>
        </is>
      </c>
      <c r="X1107" t="inlineStr">
        <is>
          <t>1997-05-15</t>
        </is>
      </c>
      <c r="Y1107" t="n">
        <v>1169</v>
      </c>
      <c r="Z1107" t="n">
        <v>1047</v>
      </c>
      <c r="AA1107" t="n">
        <v>1065</v>
      </c>
      <c r="AB1107" t="n">
        <v>7</v>
      </c>
      <c r="AC1107" t="n">
        <v>7</v>
      </c>
      <c r="AD1107" t="n">
        <v>39</v>
      </c>
      <c r="AE1107" t="n">
        <v>40</v>
      </c>
      <c r="AF1107" t="n">
        <v>21</v>
      </c>
      <c r="AG1107" t="n">
        <v>22</v>
      </c>
      <c r="AH1107" t="n">
        <v>6</v>
      </c>
      <c r="AI1107" t="n">
        <v>6</v>
      </c>
      <c r="AJ1107" t="n">
        <v>17</v>
      </c>
      <c r="AK1107" t="n">
        <v>17</v>
      </c>
      <c r="AL1107" t="n">
        <v>6</v>
      </c>
      <c r="AM1107" t="n">
        <v>6</v>
      </c>
      <c r="AN1107" t="n">
        <v>0</v>
      </c>
      <c r="AO1107" t="n">
        <v>0</v>
      </c>
      <c r="AP1107" t="inlineStr">
        <is>
          <t>No</t>
        </is>
      </c>
      <c r="AQ1107" t="inlineStr">
        <is>
          <t>Yes</t>
        </is>
      </c>
      <c r="AR1107">
        <f>HYPERLINK("http://catalog.hathitrust.org/Record/003154415","HathiTrust Record")</f>
        <v/>
      </c>
      <c r="AS1107">
        <f>HYPERLINK("https://creighton-primo.hosted.exlibrisgroup.com/primo-explore/search?tab=default_tab&amp;search_scope=EVERYTHING&amp;vid=01CRU&amp;lang=en_US&amp;offset=0&amp;query=any,contains,991002779949702656","Catalog Record")</f>
        <v/>
      </c>
      <c r="AT1107">
        <f>HYPERLINK("http://www.worldcat.org/oclc/36498834","WorldCat Record")</f>
        <v/>
      </c>
      <c r="AU1107" t="inlineStr">
        <is>
          <t>2745078:eng</t>
        </is>
      </c>
      <c r="AV1107" t="inlineStr">
        <is>
          <t>36498834</t>
        </is>
      </c>
      <c r="AW1107" t="inlineStr">
        <is>
          <t>991002779949702656</t>
        </is>
      </c>
      <c r="AX1107" t="inlineStr">
        <is>
          <t>991002779949702656</t>
        </is>
      </c>
      <c r="AY1107" t="inlineStr">
        <is>
          <t>2266452860002656</t>
        </is>
      </c>
      <c r="AZ1107" t="inlineStr">
        <is>
          <t>BOOK</t>
        </is>
      </c>
      <c r="BB1107" t="inlineStr">
        <is>
          <t>9780787902612</t>
        </is>
      </c>
      <c r="BC1107" t="inlineStr">
        <is>
          <t>32285002608817</t>
        </is>
      </c>
      <c r="BD1107" t="inlineStr">
        <is>
          <t>893227268</t>
        </is>
      </c>
    </row>
    <row r="1108">
      <c r="A1108" t="inlineStr">
        <is>
          <t>No</t>
        </is>
      </c>
      <c r="B1108" t="inlineStr">
        <is>
          <t>LB2805 .D86 1987</t>
        </is>
      </c>
      <c r="C1108" t="inlineStr">
        <is>
          <t>0                      LB 2805000D  86          1987</t>
        </is>
      </c>
      <c r="D1108" t="inlineStr">
        <is>
          <t>School leadership and instructional improvement / Daniel L. Duke.</t>
        </is>
      </c>
      <c r="F1108" t="inlineStr">
        <is>
          <t>No</t>
        </is>
      </c>
      <c r="G1108" t="inlineStr">
        <is>
          <t>1</t>
        </is>
      </c>
      <c r="H1108" t="inlineStr">
        <is>
          <t>No</t>
        </is>
      </c>
      <c r="I1108" t="inlineStr">
        <is>
          <t>No</t>
        </is>
      </c>
      <c r="J1108" t="inlineStr">
        <is>
          <t>0</t>
        </is>
      </c>
      <c r="K1108" t="inlineStr">
        <is>
          <t>Duke, Daniel Linden.</t>
        </is>
      </c>
      <c r="L1108" t="inlineStr">
        <is>
          <t>New York : Random House, 1987.</t>
        </is>
      </c>
      <c r="M1108" t="inlineStr">
        <is>
          <t>1986</t>
        </is>
      </c>
      <c r="N1108" t="inlineStr">
        <is>
          <t>1st ed.</t>
        </is>
      </c>
      <c r="O1108" t="inlineStr">
        <is>
          <t>eng</t>
        </is>
      </c>
      <c r="P1108" t="inlineStr">
        <is>
          <t>nyu</t>
        </is>
      </c>
      <c r="R1108" t="inlineStr">
        <is>
          <t xml:space="preserve">LB </t>
        </is>
      </c>
      <c r="S1108" t="n">
        <v>3</v>
      </c>
      <c r="T1108" t="n">
        <v>3</v>
      </c>
      <c r="U1108" t="inlineStr">
        <is>
          <t>2006-09-06</t>
        </is>
      </c>
      <c r="V1108" t="inlineStr">
        <is>
          <t>2006-09-06</t>
        </is>
      </c>
      <c r="W1108" t="inlineStr">
        <is>
          <t>1992-08-10</t>
        </is>
      </c>
      <c r="X1108" t="inlineStr">
        <is>
          <t>1992-08-10</t>
        </is>
      </c>
      <c r="Y1108" t="n">
        <v>284</v>
      </c>
      <c r="Z1108" t="n">
        <v>226</v>
      </c>
      <c r="AA1108" t="n">
        <v>242</v>
      </c>
      <c r="AB1108" t="n">
        <v>4</v>
      </c>
      <c r="AC1108" t="n">
        <v>4</v>
      </c>
      <c r="AD1108" t="n">
        <v>9</v>
      </c>
      <c r="AE1108" t="n">
        <v>9</v>
      </c>
      <c r="AF1108" t="n">
        <v>2</v>
      </c>
      <c r="AG1108" t="n">
        <v>2</v>
      </c>
      <c r="AH1108" t="n">
        <v>1</v>
      </c>
      <c r="AI1108" t="n">
        <v>1</v>
      </c>
      <c r="AJ1108" t="n">
        <v>5</v>
      </c>
      <c r="AK1108" t="n">
        <v>5</v>
      </c>
      <c r="AL1108" t="n">
        <v>3</v>
      </c>
      <c r="AM1108" t="n">
        <v>3</v>
      </c>
      <c r="AN1108" t="n">
        <v>0</v>
      </c>
      <c r="AO1108" t="n">
        <v>0</v>
      </c>
      <c r="AP1108" t="inlineStr">
        <is>
          <t>No</t>
        </is>
      </c>
      <c r="AQ1108" t="inlineStr">
        <is>
          <t>Yes</t>
        </is>
      </c>
      <c r="AR1108">
        <f>HYPERLINK("http://catalog.hathitrust.org/Record/000826386","HathiTrust Record")</f>
        <v/>
      </c>
      <c r="AS1108">
        <f>HYPERLINK("https://creighton-primo.hosted.exlibrisgroup.com/primo-explore/search?tab=default_tab&amp;search_scope=EVERYTHING&amp;vid=01CRU&amp;lang=en_US&amp;offset=0&amp;query=any,contains,991000905469702656","Catalog Record")</f>
        <v/>
      </c>
      <c r="AT1108">
        <f>HYPERLINK("http://www.worldcat.org/oclc/14097904","WorldCat Record")</f>
        <v/>
      </c>
      <c r="AU1108" t="inlineStr">
        <is>
          <t>8042938:eng</t>
        </is>
      </c>
      <c r="AV1108" t="inlineStr">
        <is>
          <t>14097904</t>
        </is>
      </c>
      <c r="AW1108" t="inlineStr">
        <is>
          <t>991000905469702656</t>
        </is>
      </c>
      <c r="AX1108" t="inlineStr">
        <is>
          <t>991000905469702656</t>
        </is>
      </c>
      <c r="AY1108" t="inlineStr">
        <is>
          <t>2266318900002656</t>
        </is>
      </c>
      <c r="AZ1108" t="inlineStr">
        <is>
          <t>BOOK</t>
        </is>
      </c>
      <c r="BB1108" t="inlineStr">
        <is>
          <t>9780394354743</t>
        </is>
      </c>
      <c r="BC1108" t="inlineStr">
        <is>
          <t>32285001252849</t>
        </is>
      </c>
      <c r="BD1108" t="inlineStr">
        <is>
          <t>893696274</t>
        </is>
      </c>
    </row>
    <row r="1109">
      <c r="A1109" t="inlineStr">
        <is>
          <t>No</t>
        </is>
      </c>
      <c r="B1109" t="inlineStr">
        <is>
          <t>LB2805 .E23 2006</t>
        </is>
      </c>
      <c r="C1109" t="inlineStr">
        <is>
          <t>0                      LB 2805000E  23          2006</t>
        </is>
      </c>
      <c r="D1109" t="inlineStr">
        <is>
          <t>Leading schools in a data-rich world : harnessing data for school improvement / Lorna M. Earl, Steven Katz ; foreword by Michael Fullan.</t>
        </is>
      </c>
      <c r="F1109" t="inlineStr">
        <is>
          <t>No</t>
        </is>
      </c>
      <c r="G1109" t="inlineStr">
        <is>
          <t>1</t>
        </is>
      </c>
      <c r="H1109" t="inlineStr">
        <is>
          <t>No</t>
        </is>
      </c>
      <c r="I1109" t="inlineStr">
        <is>
          <t>No</t>
        </is>
      </c>
      <c r="J1109" t="inlineStr">
        <is>
          <t>0</t>
        </is>
      </c>
      <c r="K1109" t="inlineStr">
        <is>
          <t>Earl, Lorna M. (Lorna Maxine), 1948-</t>
        </is>
      </c>
      <c r="L1109" t="inlineStr">
        <is>
          <t>Thousand Oaks, Calif. : Corwin Press, c2006.</t>
        </is>
      </c>
      <c r="M1109" t="inlineStr">
        <is>
          <t>2006</t>
        </is>
      </c>
      <c r="O1109" t="inlineStr">
        <is>
          <t>eng</t>
        </is>
      </c>
      <c r="P1109" t="inlineStr">
        <is>
          <t>cau</t>
        </is>
      </c>
      <c r="R1109" t="inlineStr">
        <is>
          <t xml:space="preserve">LB </t>
        </is>
      </c>
      <c r="S1109" t="n">
        <v>2</v>
      </c>
      <c r="T1109" t="n">
        <v>2</v>
      </c>
      <c r="U1109" t="inlineStr">
        <is>
          <t>2008-03-29</t>
        </is>
      </c>
      <c r="V1109" t="inlineStr">
        <is>
          <t>2008-03-29</t>
        </is>
      </c>
      <c r="W1109" t="inlineStr">
        <is>
          <t>2006-04-19</t>
        </is>
      </c>
      <c r="X1109" t="inlineStr">
        <is>
          <t>2006-04-19</t>
        </is>
      </c>
      <c r="Y1109" t="n">
        <v>305</v>
      </c>
      <c r="Z1109" t="n">
        <v>236</v>
      </c>
      <c r="AA1109" t="n">
        <v>268</v>
      </c>
      <c r="AB1109" t="n">
        <v>5</v>
      </c>
      <c r="AC1109" t="n">
        <v>6</v>
      </c>
      <c r="AD1109" t="n">
        <v>14</v>
      </c>
      <c r="AE1109" t="n">
        <v>17</v>
      </c>
      <c r="AF1109" t="n">
        <v>5</v>
      </c>
      <c r="AG1109" t="n">
        <v>6</v>
      </c>
      <c r="AH1109" t="n">
        <v>2</v>
      </c>
      <c r="AI1109" t="n">
        <v>3</v>
      </c>
      <c r="AJ1109" t="n">
        <v>5</v>
      </c>
      <c r="AK1109" t="n">
        <v>6</v>
      </c>
      <c r="AL1109" t="n">
        <v>4</v>
      </c>
      <c r="AM1109" t="n">
        <v>5</v>
      </c>
      <c r="AN1109" t="n">
        <v>0</v>
      </c>
      <c r="AO1109" t="n">
        <v>0</v>
      </c>
      <c r="AP1109" t="inlineStr">
        <is>
          <t>No</t>
        </is>
      </c>
      <c r="AQ1109" t="inlineStr">
        <is>
          <t>Yes</t>
        </is>
      </c>
      <c r="AR1109">
        <f>HYPERLINK("http://catalog.hathitrust.org/Record/102043393","HathiTrust Record")</f>
        <v/>
      </c>
      <c r="AS1109">
        <f>HYPERLINK("https://creighton-primo.hosted.exlibrisgroup.com/primo-explore/search?tab=default_tab&amp;search_scope=EVERYTHING&amp;vid=01CRU&amp;lang=en_US&amp;offset=0&amp;query=any,contains,991004801679702656","Catalog Record")</f>
        <v/>
      </c>
      <c r="AT1109">
        <f>HYPERLINK("http://www.worldcat.org/oclc/61684152","WorldCat Record")</f>
        <v/>
      </c>
      <c r="AU1109" t="inlineStr">
        <is>
          <t>199155085:eng</t>
        </is>
      </c>
      <c r="AV1109" t="inlineStr">
        <is>
          <t>61684152</t>
        </is>
      </c>
      <c r="AW1109" t="inlineStr">
        <is>
          <t>991004801679702656</t>
        </is>
      </c>
      <c r="AX1109" t="inlineStr">
        <is>
          <t>991004801679702656</t>
        </is>
      </c>
      <c r="AY1109" t="inlineStr">
        <is>
          <t>2261944540002656</t>
        </is>
      </c>
      <c r="AZ1109" t="inlineStr">
        <is>
          <t>BOOK</t>
        </is>
      </c>
      <c r="BB1109" t="inlineStr">
        <is>
          <t>9781412906456</t>
        </is>
      </c>
      <c r="BC1109" t="inlineStr">
        <is>
          <t>32285005064455</t>
        </is>
      </c>
      <c r="BD1109" t="inlineStr">
        <is>
          <t>893600244</t>
        </is>
      </c>
    </row>
    <row r="1110">
      <c r="A1110" t="inlineStr">
        <is>
          <t>No</t>
        </is>
      </c>
      <c r="B1110" t="inlineStr">
        <is>
          <t>LB2805 .E45 2009</t>
        </is>
      </c>
      <c r="C1110" t="inlineStr">
        <is>
          <t>0                      LB 2805000E  45          2009</t>
        </is>
      </c>
      <c r="D1110" t="inlineStr">
        <is>
          <t>Creative strategies to transform school culture / John F. Eller, Sheila Eller.</t>
        </is>
      </c>
      <c r="F1110" t="inlineStr">
        <is>
          <t>No</t>
        </is>
      </c>
      <c r="G1110" t="inlineStr">
        <is>
          <t>1</t>
        </is>
      </c>
      <c r="H1110" t="inlineStr">
        <is>
          <t>No</t>
        </is>
      </c>
      <c r="I1110" t="inlineStr">
        <is>
          <t>No</t>
        </is>
      </c>
      <c r="J1110" t="inlineStr">
        <is>
          <t>0</t>
        </is>
      </c>
      <c r="K1110" t="inlineStr">
        <is>
          <t>Eller, John, 1957-</t>
        </is>
      </c>
      <c r="L1110" t="inlineStr">
        <is>
          <t>Thousand Oaks, Calif. : Corwin Press, c2009.</t>
        </is>
      </c>
      <c r="M1110" t="inlineStr">
        <is>
          <t>2009</t>
        </is>
      </c>
      <c r="O1110" t="inlineStr">
        <is>
          <t>eng</t>
        </is>
      </c>
      <c r="P1110" t="inlineStr">
        <is>
          <t>cau</t>
        </is>
      </c>
      <c r="R1110" t="inlineStr">
        <is>
          <t xml:space="preserve">LB </t>
        </is>
      </c>
      <c r="S1110" t="n">
        <v>1</v>
      </c>
      <c r="T1110" t="n">
        <v>1</v>
      </c>
      <c r="U1110" t="inlineStr">
        <is>
          <t>2009-10-06</t>
        </is>
      </c>
      <c r="V1110" t="inlineStr">
        <is>
          <t>2009-10-06</t>
        </is>
      </c>
      <c r="W1110" t="inlineStr">
        <is>
          <t>2009-10-06</t>
        </is>
      </c>
      <c r="X1110" t="inlineStr">
        <is>
          <t>2009-10-06</t>
        </is>
      </c>
      <c r="Y1110" t="n">
        <v>148</v>
      </c>
      <c r="Z1110" t="n">
        <v>107</v>
      </c>
      <c r="AA1110" t="n">
        <v>170</v>
      </c>
      <c r="AB1110" t="n">
        <v>1</v>
      </c>
      <c r="AC1110" t="n">
        <v>3</v>
      </c>
      <c r="AD1110" t="n">
        <v>6</v>
      </c>
      <c r="AE1110" t="n">
        <v>12</v>
      </c>
      <c r="AF1110" t="n">
        <v>3</v>
      </c>
      <c r="AG1110" t="n">
        <v>5</v>
      </c>
      <c r="AH1110" t="n">
        <v>1</v>
      </c>
      <c r="AI1110" t="n">
        <v>3</v>
      </c>
      <c r="AJ1110" t="n">
        <v>5</v>
      </c>
      <c r="AK1110" t="n">
        <v>7</v>
      </c>
      <c r="AL1110" t="n">
        <v>0</v>
      </c>
      <c r="AM1110" t="n">
        <v>2</v>
      </c>
      <c r="AN1110" t="n">
        <v>0</v>
      </c>
      <c r="AO1110" t="n">
        <v>0</v>
      </c>
      <c r="AP1110" t="inlineStr">
        <is>
          <t>No</t>
        </is>
      </c>
      <c r="AQ1110" t="inlineStr">
        <is>
          <t>No</t>
        </is>
      </c>
      <c r="AS1110">
        <f>HYPERLINK("https://creighton-primo.hosted.exlibrisgroup.com/primo-explore/search?tab=default_tab&amp;search_scope=EVERYTHING&amp;vid=01CRU&amp;lang=en_US&amp;offset=0&amp;query=any,contains,991005338489702656","Catalog Record")</f>
        <v/>
      </c>
      <c r="AT1110">
        <f>HYPERLINK("http://www.worldcat.org/oclc/310171781","WorldCat Record")</f>
        <v/>
      </c>
      <c r="AU1110" t="inlineStr">
        <is>
          <t>1744698695:eng</t>
        </is>
      </c>
      <c r="AV1110" t="inlineStr">
        <is>
          <t>310171781</t>
        </is>
      </c>
      <c r="AW1110" t="inlineStr">
        <is>
          <t>991005338489702656</t>
        </is>
      </c>
      <c r="AX1110" t="inlineStr">
        <is>
          <t>991005338489702656</t>
        </is>
      </c>
      <c r="AY1110" t="inlineStr">
        <is>
          <t>2263105890002656</t>
        </is>
      </c>
      <c r="AZ1110" t="inlineStr">
        <is>
          <t>BOOK</t>
        </is>
      </c>
      <c r="BB1110" t="inlineStr">
        <is>
          <t>9781412961172</t>
        </is>
      </c>
      <c r="BC1110" t="inlineStr">
        <is>
          <t>32285005547046</t>
        </is>
      </c>
      <c r="BD1110" t="inlineStr">
        <is>
          <t>893418767</t>
        </is>
      </c>
    </row>
    <row r="1111">
      <c r="A1111" t="inlineStr">
        <is>
          <t>No</t>
        </is>
      </c>
      <c r="B1111" t="inlineStr">
        <is>
          <t>LB2805 .E66 1994</t>
        </is>
      </c>
      <c r="C1111" t="inlineStr">
        <is>
          <t>0                      LB 2805000E  66          1994</t>
        </is>
      </c>
      <c r="D1111" t="inlineStr">
        <is>
          <t>Theory in educational administration / Fenwick W. English.</t>
        </is>
      </c>
      <c r="F1111" t="inlineStr">
        <is>
          <t>No</t>
        </is>
      </c>
      <c r="G1111" t="inlineStr">
        <is>
          <t>1</t>
        </is>
      </c>
      <c r="H1111" t="inlineStr">
        <is>
          <t>No</t>
        </is>
      </c>
      <c r="I1111" t="inlineStr">
        <is>
          <t>No</t>
        </is>
      </c>
      <c r="J1111" t="inlineStr">
        <is>
          <t>0</t>
        </is>
      </c>
      <c r="K1111" t="inlineStr">
        <is>
          <t>English, Fenwick W.</t>
        </is>
      </c>
      <c r="L1111" t="inlineStr">
        <is>
          <t>New York, NY : HarperCollins, c1994.</t>
        </is>
      </c>
      <c r="M1111" t="inlineStr">
        <is>
          <t>1994</t>
        </is>
      </c>
      <c r="O1111" t="inlineStr">
        <is>
          <t>eng</t>
        </is>
      </c>
      <c r="P1111" t="inlineStr">
        <is>
          <t>nyu</t>
        </is>
      </c>
      <c r="R1111" t="inlineStr">
        <is>
          <t xml:space="preserve">LB </t>
        </is>
      </c>
      <c r="S1111" t="n">
        <v>3</v>
      </c>
      <c r="T1111" t="n">
        <v>3</v>
      </c>
      <c r="U1111" t="inlineStr">
        <is>
          <t>2000-10-23</t>
        </is>
      </c>
      <c r="V1111" t="inlineStr">
        <is>
          <t>2000-10-23</t>
        </is>
      </c>
      <c r="W1111" t="inlineStr">
        <is>
          <t>1994-09-21</t>
        </is>
      </c>
      <c r="X1111" t="inlineStr">
        <is>
          <t>1994-09-21</t>
        </is>
      </c>
      <c r="Y1111" t="n">
        <v>195</v>
      </c>
      <c r="Z1111" t="n">
        <v>160</v>
      </c>
      <c r="AA1111" t="n">
        <v>162</v>
      </c>
      <c r="AB1111" t="n">
        <v>2</v>
      </c>
      <c r="AC1111" t="n">
        <v>2</v>
      </c>
      <c r="AD1111" t="n">
        <v>4</v>
      </c>
      <c r="AE1111" t="n">
        <v>4</v>
      </c>
      <c r="AF1111" t="n">
        <v>1</v>
      </c>
      <c r="AG1111" t="n">
        <v>1</v>
      </c>
      <c r="AH1111" t="n">
        <v>1</v>
      </c>
      <c r="AI1111" t="n">
        <v>1</v>
      </c>
      <c r="AJ1111" t="n">
        <v>3</v>
      </c>
      <c r="AK1111" t="n">
        <v>3</v>
      </c>
      <c r="AL1111" t="n">
        <v>1</v>
      </c>
      <c r="AM1111" t="n">
        <v>1</v>
      </c>
      <c r="AN1111" t="n">
        <v>0</v>
      </c>
      <c r="AO1111" t="n">
        <v>0</v>
      </c>
      <c r="AP1111" t="inlineStr">
        <is>
          <t>No</t>
        </is>
      </c>
      <c r="AQ1111" t="inlineStr">
        <is>
          <t>Yes</t>
        </is>
      </c>
      <c r="AR1111">
        <f>HYPERLINK("http://catalog.hathitrust.org/Record/002811969","HathiTrust Record")</f>
        <v/>
      </c>
      <c r="AS1111">
        <f>HYPERLINK("https://creighton-primo.hosted.exlibrisgroup.com/primo-explore/search?tab=default_tab&amp;search_scope=EVERYTHING&amp;vid=01CRU&amp;lang=en_US&amp;offset=0&amp;query=any,contains,991002239499702656","Catalog Record")</f>
        <v/>
      </c>
      <c r="AT1111">
        <f>HYPERLINK("http://www.worldcat.org/oclc/28889247","WorldCat Record")</f>
        <v/>
      </c>
      <c r="AU1111" t="inlineStr">
        <is>
          <t>31522464:eng</t>
        </is>
      </c>
      <c r="AV1111" t="inlineStr">
        <is>
          <t>28889247</t>
        </is>
      </c>
      <c r="AW1111" t="inlineStr">
        <is>
          <t>991002239499702656</t>
        </is>
      </c>
      <c r="AX1111" t="inlineStr">
        <is>
          <t>991002239499702656</t>
        </is>
      </c>
      <c r="AY1111" t="inlineStr">
        <is>
          <t>2263548130002656</t>
        </is>
      </c>
      <c r="AZ1111" t="inlineStr">
        <is>
          <t>BOOK</t>
        </is>
      </c>
      <c r="BB1111" t="inlineStr">
        <is>
          <t>9780065009347</t>
        </is>
      </c>
      <c r="BC1111" t="inlineStr">
        <is>
          <t>32285001946416</t>
        </is>
      </c>
      <c r="BD1111" t="inlineStr">
        <is>
          <t>893408849</t>
        </is>
      </c>
    </row>
    <row r="1112">
      <c r="A1112" t="inlineStr">
        <is>
          <t>No</t>
        </is>
      </c>
      <c r="B1112" t="inlineStr">
        <is>
          <t>LB2805 .G534 1992</t>
        </is>
      </c>
      <c r="C1112" t="inlineStr">
        <is>
          <t>0                      LB 2805000G  534         1992</t>
        </is>
      </c>
      <c r="D1112" t="inlineStr">
        <is>
          <t>The quality school : managing students without coercion / William Glasser.</t>
        </is>
      </c>
      <c r="F1112" t="inlineStr">
        <is>
          <t>No</t>
        </is>
      </c>
      <c r="G1112" t="inlineStr">
        <is>
          <t>1</t>
        </is>
      </c>
      <c r="H1112" t="inlineStr">
        <is>
          <t>No</t>
        </is>
      </c>
      <c r="I1112" t="inlineStr">
        <is>
          <t>No</t>
        </is>
      </c>
      <c r="J1112" t="inlineStr">
        <is>
          <t>0</t>
        </is>
      </c>
      <c r="K1112" t="inlineStr">
        <is>
          <t>Glasser, William, 1925-2013.</t>
        </is>
      </c>
      <c r="L1112" t="inlineStr">
        <is>
          <t>New York : HarperPerennial, c1992.</t>
        </is>
      </c>
      <c r="M1112" t="inlineStr">
        <is>
          <t>1992</t>
        </is>
      </c>
      <c r="N1112" t="inlineStr">
        <is>
          <t>2nd, expanded ed.</t>
        </is>
      </c>
      <c r="O1112" t="inlineStr">
        <is>
          <t>eng</t>
        </is>
      </c>
      <c r="P1112" t="inlineStr">
        <is>
          <t>nyu</t>
        </is>
      </c>
      <c r="R1112" t="inlineStr">
        <is>
          <t xml:space="preserve">LB </t>
        </is>
      </c>
      <c r="S1112" t="n">
        <v>2</v>
      </c>
      <c r="T1112" t="n">
        <v>2</v>
      </c>
      <c r="U1112" t="inlineStr">
        <is>
          <t>2010-11-12</t>
        </is>
      </c>
      <c r="V1112" t="inlineStr">
        <is>
          <t>2010-11-12</t>
        </is>
      </c>
      <c r="W1112" t="inlineStr">
        <is>
          <t>2006-11-07</t>
        </is>
      </c>
      <c r="X1112" t="inlineStr">
        <is>
          <t>2006-11-07</t>
        </is>
      </c>
      <c r="Y1112" t="n">
        <v>798</v>
      </c>
      <c r="Z1112" t="n">
        <v>735</v>
      </c>
      <c r="AA1112" t="n">
        <v>1457</v>
      </c>
      <c r="AB1112" t="n">
        <v>7</v>
      </c>
      <c r="AC1112" t="n">
        <v>15</v>
      </c>
      <c r="AD1112" t="n">
        <v>23</v>
      </c>
      <c r="AE1112" t="n">
        <v>47</v>
      </c>
      <c r="AF1112" t="n">
        <v>11</v>
      </c>
      <c r="AG1112" t="n">
        <v>23</v>
      </c>
      <c r="AH1112" t="n">
        <v>5</v>
      </c>
      <c r="AI1112" t="n">
        <v>7</v>
      </c>
      <c r="AJ1112" t="n">
        <v>8</v>
      </c>
      <c r="AK1112" t="n">
        <v>16</v>
      </c>
      <c r="AL1112" t="n">
        <v>4</v>
      </c>
      <c r="AM1112" t="n">
        <v>11</v>
      </c>
      <c r="AN1112" t="n">
        <v>0</v>
      </c>
      <c r="AO1112" t="n">
        <v>0</v>
      </c>
      <c r="AP1112" t="inlineStr">
        <is>
          <t>No</t>
        </is>
      </c>
      <c r="AQ1112" t="inlineStr">
        <is>
          <t>No</t>
        </is>
      </c>
      <c r="AS1112">
        <f>HYPERLINK("https://creighton-primo.hosted.exlibrisgroup.com/primo-explore/search?tab=default_tab&amp;search_scope=EVERYTHING&amp;vid=01CRU&amp;lang=en_US&amp;offset=0&amp;query=any,contains,991004971799702656","Catalog Record")</f>
        <v/>
      </c>
      <c r="AT1112">
        <f>HYPERLINK("http://www.worldcat.org/oclc/25915214","WorldCat Record")</f>
        <v/>
      </c>
      <c r="AU1112" t="inlineStr">
        <is>
          <t>15624984:eng</t>
        </is>
      </c>
      <c r="AV1112" t="inlineStr">
        <is>
          <t>25915214</t>
        </is>
      </c>
      <c r="AW1112" t="inlineStr">
        <is>
          <t>991004971799702656</t>
        </is>
      </c>
      <c r="AX1112" t="inlineStr">
        <is>
          <t>991004971799702656</t>
        </is>
      </c>
      <c r="AY1112" t="inlineStr">
        <is>
          <t>2269868640002656</t>
        </is>
      </c>
      <c r="AZ1112" t="inlineStr">
        <is>
          <t>BOOK</t>
        </is>
      </c>
      <c r="BB1112" t="inlineStr">
        <is>
          <t>9780060969554</t>
        </is>
      </c>
      <c r="BC1112" t="inlineStr">
        <is>
          <t>32285005237051</t>
        </is>
      </c>
      <c r="BD1112" t="inlineStr">
        <is>
          <t>893870304</t>
        </is>
      </c>
    </row>
    <row r="1113">
      <c r="A1113" t="inlineStr">
        <is>
          <t>No</t>
        </is>
      </c>
      <c r="B1113" t="inlineStr">
        <is>
          <t>LB2805 .G536 1992</t>
        </is>
      </c>
      <c r="C1113" t="inlineStr">
        <is>
          <t>0                      LB 2805000G  536         1992</t>
        </is>
      </c>
      <c r="D1113" t="inlineStr">
        <is>
          <t>Teachers as agents of change : a new look at school improvement / by Allan A. Glatthorn.</t>
        </is>
      </c>
      <c r="F1113" t="inlineStr">
        <is>
          <t>No</t>
        </is>
      </c>
      <c r="G1113" t="inlineStr">
        <is>
          <t>1</t>
        </is>
      </c>
      <c r="H1113" t="inlineStr">
        <is>
          <t>No</t>
        </is>
      </c>
      <c r="I1113" t="inlineStr">
        <is>
          <t>No</t>
        </is>
      </c>
      <c r="J1113" t="inlineStr">
        <is>
          <t>0</t>
        </is>
      </c>
      <c r="K1113" t="inlineStr">
        <is>
          <t>Glatthorn, Allan A., 1924-</t>
        </is>
      </c>
      <c r="L1113" t="inlineStr">
        <is>
          <t>Washington, D.C. : NEA Professional Library, National Education Association, c1992.</t>
        </is>
      </c>
      <c r="M1113" t="inlineStr">
        <is>
          <t>1992</t>
        </is>
      </c>
      <c r="O1113" t="inlineStr">
        <is>
          <t>eng</t>
        </is>
      </c>
      <c r="P1113" t="inlineStr">
        <is>
          <t>dcu</t>
        </is>
      </c>
      <c r="Q1113" t="inlineStr">
        <is>
          <t>NEA school restructuring series</t>
        </is>
      </c>
      <c r="R1113" t="inlineStr">
        <is>
          <t xml:space="preserve">LB </t>
        </is>
      </c>
      <c r="S1113" t="n">
        <v>5</v>
      </c>
      <c r="T1113" t="n">
        <v>5</v>
      </c>
      <c r="U1113" t="inlineStr">
        <is>
          <t>1994-11-27</t>
        </is>
      </c>
      <c r="V1113" t="inlineStr">
        <is>
          <t>1994-11-27</t>
        </is>
      </c>
      <c r="W1113" t="inlineStr">
        <is>
          <t>1992-12-11</t>
        </is>
      </c>
      <c r="X1113" t="inlineStr">
        <is>
          <t>1992-12-11</t>
        </is>
      </c>
      <c r="Y1113" t="n">
        <v>397</v>
      </c>
      <c r="Z1113" t="n">
        <v>380</v>
      </c>
      <c r="AA1113" t="n">
        <v>384</v>
      </c>
      <c r="AB1113" t="n">
        <v>9</v>
      </c>
      <c r="AC1113" t="n">
        <v>9</v>
      </c>
      <c r="AD1113" t="n">
        <v>20</v>
      </c>
      <c r="AE1113" t="n">
        <v>20</v>
      </c>
      <c r="AF1113" t="n">
        <v>8</v>
      </c>
      <c r="AG1113" t="n">
        <v>8</v>
      </c>
      <c r="AH1113" t="n">
        <v>4</v>
      </c>
      <c r="AI1113" t="n">
        <v>4</v>
      </c>
      <c r="AJ1113" t="n">
        <v>7</v>
      </c>
      <c r="AK1113" t="n">
        <v>7</v>
      </c>
      <c r="AL1113" t="n">
        <v>7</v>
      </c>
      <c r="AM1113" t="n">
        <v>7</v>
      </c>
      <c r="AN1113" t="n">
        <v>0</v>
      </c>
      <c r="AO1113" t="n">
        <v>0</v>
      </c>
      <c r="AP1113" t="inlineStr">
        <is>
          <t>No</t>
        </is>
      </c>
      <c r="AQ1113" t="inlineStr">
        <is>
          <t>Yes</t>
        </is>
      </c>
      <c r="AR1113">
        <f>HYPERLINK("http://catalog.hathitrust.org/Record/002617991","HathiTrust Record")</f>
        <v/>
      </c>
      <c r="AS1113">
        <f>HYPERLINK("https://creighton-primo.hosted.exlibrisgroup.com/primo-explore/search?tab=default_tab&amp;search_scope=EVERYTHING&amp;vid=01CRU&amp;lang=en_US&amp;offset=0&amp;query=any,contains,991002073079702656","Catalog Record")</f>
        <v/>
      </c>
      <c r="AT1113">
        <f>HYPERLINK("http://www.worldcat.org/oclc/26552895","WorldCat Record")</f>
        <v/>
      </c>
      <c r="AU1113" t="inlineStr">
        <is>
          <t>329230956:eng</t>
        </is>
      </c>
      <c r="AV1113" t="inlineStr">
        <is>
          <t>26552895</t>
        </is>
      </c>
      <c r="AW1113" t="inlineStr">
        <is>
          <t>991002073079702656</t>
        </is>
      </c>
      <c r="AX1113" t="inlineStr">
        <is>
          <t>991002073079702656</t>
        </is>
      </c>
      <c r="AY1113" t="inlineStr">
        <is>
          <t>2259226500002656</t>
        </is>
      </c>
      <c r="AZ1113" t="inlineStr">
        <is>
          <t>BOOK</t>
        </is>
      </c>
      <c r="BB1113" t="inlineStr">
        <is>
          <t>9780810618534</t>
        </is>
      </c>
      <c r="BC1113" t="inlineStr">
        <is>
          <t>32285001464329</t>
        </is>
      </c>
      <c r="BD1113" t="inlineStr">
        <is>
          <t>893340998</t>
        </is>
      </c>
    </row>
    <row r="1114">
      <c r="A1114" t="inlineStr">
        <is>
          <t>No</t>
        </is>
      </c>
      <c r="B1114" t="inlineStr">
        <is>
          <t>LB2805 .G5394 2006</t>
        </is>
      </c>
      <c r="C1114" t="inlineStr">
        <is>
          <t>0                      LB 2805000G  5394        2006</t>
        </is>
      </c>
      <c r="D1114" t="inlineStr">
        <is>
          <t>Insider's guide to school leadership : getting things done without losing your mind / Mark F. Goldberg.</t>
        </is>
      </c>
      <c r="F1114" t="inlineStr">
        <is>
          <t>No</t>
        </is>
      </c>
      <c r="G1114" t="inlineStr">
        <is>
          <t>1</t>
        </is>
      </c>
      <c r="H1114" t="inlineStr">
        <is>
          <t>No</t>
        </is>
      </c>
      <c r="I1114" t="inlineStr">
        <is>
          <t>No</t>
        </is>
      </c>
      <c r="J1114" t="inlineStr">
        <is>
          <t>0</t>
        </is>
      </c>
      <c r="K1114" t="inlineStr">
        <is>
          <t>Goldberg, Mark F., 1938-</t>
        </is>
      </c>
      <c r="L1114" t="inlineStr">
        <is>
          <t>San Francisco, Calif. : Jossey-Bass, 2006.</t>
        </is>
      </c>
      <c r="M1114" t="inlineStr">
        <is>
          <t>2006</t>
        </is>
      </c>
      <c r="N1114" t="inlineStr">
        <is>
          <t>1st ed.</t>
        </is>
      </c>
      <c r="O1114" t="inlineStr">
        <is>
          <t>eng</t>
        </is>
      </c>
      <c r="P1114" t="inlineStr">
        <is>
          <t>cau</t>
        </is>
      </c>
      <c r="R1114" t="inlineStr">
        <is>
          <t xml:space="preserve">LB </t>
        </is>
      </c>
      <c r="S1114" t="n">
        <v>3</v>
      </c>
      <c r="T1114" t="n">
        <v>3</v>
      </c>
      <c r="U1114" t="inlineStr">
        <is>
          <t>2006-02-06</t>
        </is>
      </c>
      <c r="V1114" t="inlineStr">
        <is>
          <t>2006-02-06</t>
        </is>
      </c>
      <c r="W1114" t="inlineStr">
        <is>
          <t>2006-02-01</t>
        </is>
      </c>
      <c r="X1114" t="inlineStr">
        <is>
          <t>2006-02-01</t>
        </is>
      </c>
      <c r="Y1114" t="n">
        <v>250</v>
      </c>
      <c r="Z1114" t="n">
        <v>201</v>
      </c>
      <c r="AA1114" t="n">
        <v>203</v>
      </c>
      <c r="AB1114" t="n">
        <v>1</v>
      </c>
      <c r="AC1114" t="n">
        <v>1</v>
      </c>
      <c r="AD1114" t="n">
        <v>8</v>
      </c>
      <c r="AE1114" t="n">
        <v>8</v>
      </c>
      <c r="AF1114" t="n">
        <v>3</v>
      </c>
      <c r="AG1114" t="n">
        <v>3</v>
      </c>
      <c r="AH1114" t="n">
        <v>2</v>
      </c>
      <c r="AI1114" t="n">
        <v>2</v>
      </c>
      <c r="AJ1114" t="n">
        <v>4</v>
      </c>
      <c r="AK1114" t="n">
        <v>4</v>
      </c>
      <c r="AL1114" t="n">
        <v>0</v>
      </c>
      <c r="AM1114" t="n">
        <v>0</v>
      </c>
      <c r="AN1114" t="n">
        <v>0</v>
      </c>
      <c r="AO1114" t="n">
        <v>0</v>
      </c>
      <c r="AP1114" t="inlineStr">
        <is>
          <t>No</t>
        </is>
      </c>
      <c r="AQ1114" t="inlineStr">
        <is>
          <t>Yes</t>
        </is>
      </c>
      <c r="AR1114">
        <f>HYPERLINK("http://catalog.hathitrust.org/Record/005131297","HathiTrust Record")</f>
        <v/>
      </c>
      <c r="AS1114">
        <f>HYPERLINK("https://creighton-primo.hosted.exlibrisgroup.com/primo-explore/search?tab=default_tab&amp;search_scope=EVERYTHING&amp;vid=01CRU&amp;lang=en_US&amp;offset=0&amp;query=any,contains,991004729999702656","Catalog Record")</f>
        <v/>
      </c>
      <c r="AT1114">
        <f>HYPERLINK("http://www.worldcat.org/oclc/62344281","WorldCat Record")</f>
        <v/>
      </c>
      <c r="AU1114" t="inlineStr">
        <is>
          <t>46717174:eng</t>
        </is>
      </c>
      <c r="AV1114" t="inlineStr">
        <is>
          <t>62344281</t>
        </is>
      </c>
      <c r="AW1114" t="inlineStr">
        <is>
          <t>991004729999702656</t>
        </is>
      </c>
      <c r="AX1114" t="inlineStr">
        <is>
          <t>991004729999702656</t>
        </is>
      </c>
      <c r="AY1114" t="inlineStr">
        <is>
          <t>2260991710002656</t>
        </is>
      </c>
      <c r="AZ1114" t="inlineStr">
        <is>
          <t>BOOK</t>
        </is>
      </c>
      <c r="BB1114" t="inlineStr">
        <is>
          <t>9780787982089</t>
        </is>
      </c>
      <c r="BC1114" t="inlineStr">
        <is>
          <t>32285005157341</t>
        </is>
      </c>
      <c r="BD1114" t="inlineStr">
        <is>
          <t>893882866</t>
        </is>
      </c>
    </row>
    <row r="1115">
      <c r="A1115" t="inlineStr">
        <is>
          <t>No</t>
        </is>
      </c>
      <c r="B1115" t="inlineStr">
        <is>
          <t>LB2805 .G855 2008</t>
        </is>
      </c>
      <c r="C1115" t="inlineStr">
        <is>
          <t>0                      LB 2805000G  855         2008</t>
        </is>
      </c>
      <c r="D1115" t="inlineStr">
        <is>
          <t>Hidden dangers : subtle signs of failing schools / Betsy Gunzelmann.</t>
        </is>
      </c>
      <c r="F1115" t="inlineStr">
        <is>
          <t>No</t>
        </is>
      </c>
      <c r="G1115" t="inlineStr">
        <is>
          <t>1</t>
        </is>
      </c>
      <c r="H1115" t="inlineStr">
        <is>
          <t>No</t>
        </is>
      </c>
      <c r="I1115" t="inlineStr">
        <is>
          <t>No</t>
        </is>
      </c>
      <c r="J1115" t="inlineStr">
        <is>
          <t>0</t>
        </is>
      </c>
      <c r="K1115" t="inlineStr">
        <is>
          <t>Gunzelmann, Betsy, 1952-</t>
        </is>
      </c>
      <c r="L1115" t="inlineStr">
        <is>
          <t>Lanham, Md. : Rowman &amp; Littlefield Education, 2008.</t>
        </is>
      </c>
      <c r="M1115" t="inlineStr">
        <is>
          <t>2008</t>
        </is>
      </c>
      <c r="O1115" t="inlineStr">
        <is>
          <t>eng</t>
        </is>
      </c>
      <c r="P1115" t="inlineStr">
        <is>
          <t>mdu</t>
        </is>
      </c>
      <c r="R1115" t="inlineStr">
        <is>
          <t xml:space="preserve">LB </t>
        </is>
      </c>
      <c r="S1115" t="n">
        <v>1</v>
      </c>
      <c r="T1115" t="n">
        <v>1</v>
      </c>
      <c r="U1115" t="inlineStr">
        <is>
          <t>2008-01-16</t>
        </is>
      </c>
      <c r="V1115" t="inlineStr">
        <is>
          <t>2008-01-16</t>
        </is>
      </c>
      <c r="W1115" t="inlineStr">
        <is>
          <t>2008-01-16</t>
        </is>
      </c>
      <c r="X1115" t="inlineStr">
        <is>
          <t>2008-01-16</t>
        </is>
      </c>
      <c r="Y1115" t="n">
        <v>215</v>
      </c>
      <c r="Z1115" t="n">
        <v>192</v>
      </c>
      <c r="AA1115" t="n">
        <v>277</v>
      </c>
      <c r="AB1115" t="n">
        <v>3</v>
      </c>
      <c r="AC1115" t="n">
        <v>3</v>
      </c>
      <c r="AD1115" t="n">
        <v>11</v>
      </c>
      <c r="AE1115" t="n">
        <v>16</v>
      </c>
      <c r="AF1115" t="n">
        <v>2</v>
      </c>
      <c r="AG1115" t="n">
        <v>6</v>
      </c>
      <c r="AH1115" t="n">
        <v>1</v>
      </c>
      <c r="AI1115" t="n">
        <v>3</v>
      </c>
      <c r="AJ1115" t="n">
        <v>7</v>
      </c>
      <c r="AK1115" t="n">
        <v>9</v>
      </c>
      <c r="AL1115" t="n">
        <v>2</v>
      </c>
      <c r="AM1115" t="n">
        <v>2</v>
      </c>
      <c r="AN1115" t="n">
        <v>0</v>
      </c>
      <c r="AO1115" t="n">
        <v>0</v>
      </c>
      <c r="AP1115" t="inlineStr">
        <is>
          <t>No</t>
        </is>
      </c>
      <c r="AQ1115" t="inlineStr">
        <is>
          <t>Yes</t>
        </is>
      </c>
      <c r="AR1115">
        <f>HYPERLINK("http://catalog.hathitrust.org/Record/005627265","HathiTrust Record")</f>
        <v/>
      </c>
      <c r="AS1115">
        <f>HYPERLINK("https://creighton-primo.hosted.exlibrisgroup.com/primo-explore/search?tab=default_tab&amp;search_scope=EVERYTHING&amp;vid=01CRU&amp;lang=en_US&amp;offset=0&amp;query=any,contains,991005172919702656","Catalog Record")</f>
        <v/>
      </c>
      <c r="AT1115">
        <f>HYPERLINK("http://www.worldcat.org/oclc/166391287","WorldCat Record")</f>
        <v/>
      </c>
      <c r="AU1115" t="inlineStr">
        <is>
          <t>1038713787:eng</t>
        </is>
      </c>
      <c r="AV1115" t="inlineStr">
        <is>
          <t>166391287</t>
        </is>
      </c>
      <c r="AW1115" t="inlineStr">
        <is>
          <t>991005172919702656</t>
        </is>
      </c>
      <c r="AX1115" t="inlineStr">
        <is>
          <t>991005172919702656</t>
        </is>
      </c>
      <c r="AY1115" t="inlineStr">
        <is>
          <t>2272638990002656</t>
        </is>
      </c>
      <c r="AZ1115" t="inlineStr">
        <is>
          <t>BOOK</t>
        </is>
      </c>
      <c r="BB1115" t="inlineStr">
        <is>
          <t>9781578866892</t>
        </is>
      </c>
      <c r="BC1115" t="inlineStr">
        <is>
          <t>32285005378327</t>
        </is>
      </c>
      <c r="BD1115" t="inlineStr">
        <is>
          <t>893625559</t>
        </is>
      </c>
    </row>
    <row r="1116">
      <c r="A1116" t="inlineStr">
        <is>
          <t>No</t>
        </is>
      </c>
      <c r="B1116" t="inlineStr">
        <is>
          <t>LB2805 .H7155 1985</t>
        </is>
      </c>
      <c r="C1116" t="inlineStr">
        <is>
          <t>0                      LB 2805000H  7155        1985</t>
        </is>
      </c>
      <c r="D1116" t="inlineStr">
        <is>
          <t>Skills for successful school leaders / John R. Hoyle, Fenwick English, Betty Steffy.</t>
        </is>
      </c>
      <c r="F1116" t="inlineStr">
        <is>
          <t>No</t>
        </is>
      </c>
      <c r="G1116" t="inlineStr">
        <is>
          <t>1</t>
        </is>
      </c>
      <c r="H1116" t="inlineStr">
        <is>
          <t>No</t>
        </is>
      </c>
      <c r="I1116" t="inlineStr">
        <is>
          <t>No</t>
        </is>
      </c>
      <c r="J1116" t="inlineStr">
        <is>
          <t>0</t>
        </is>
      </c>
      <c r="K1116" t="inlineStr">
        <is>
          <t>Hoyle, John.</t>
        </is>
      </c>
      <c r="L1116" t="inlineStr">
        <is>
          <t>Arlington, VA : American Association of School Administrators, c1985.</t>
        </is>
      </c>
      <c r="M1116" t="inlineStr">
        <is>
          <t>1985</t>
        </is>
      </c>
      <c r="O1116" t="inlineStr">
        <is>
          <t>eng</t>
        </is>
      </c>
      <c r="P1116" t="inlineStr">
        <is>
          <t>vau</t>
        </is>
      </c>
      <c r="R1116" t="inlineStr">
        <is>
          <t xml:space="preserve">LB </t>
        </is>
      </c>
      <c r="S1116" t="n">
        <v>3</v>
      </c>
      <c r="T1116" t="n">
        <v>3</v>
      </c>
      <c r="U1116" t="inlineStr">
        <is>
          <t>2003-06-09</t>
        </is>
      </c>
      <c r="V1116" t="inlineStr">
        <is>
          <t>2003-06-09</t>
        </is>
      </c>
      <c r="W1116" t="inlineStr">
        <is>
          <t>1992-08-10</t>
        </is>
      </c>
      <c r="X1116" t="inlineStr">
        <is>
          <t>1992-08-10</t>
        </is>
      </c>
      <c r="Y1116" t="n">
        <v>217</v>
      </c>
      <c r="Z1116" t="n">
        <v>197</v>
      </c>
      <c r="AA1116" t="n">
        <v>266</v>
      </c>
      <c r="AB1116" t="n">
        <v>4</v>
      </c>
      <c r="AC1116" t="n">
        <v>5</v>
      </c>
      <c r="AD1116" t="n">
        <v>10</v>
      </c>
      <c r="AE1116" t="n">
        <v>17</v>
      </c>
      <c r="AF1116" t="n">
        <v>2</v>
      </c>
      <c r="AG1116" t="n">
        <v>4</v>
      </c>
      <c r="AH1116" t="n">
        <v>2</v>
      </c>
      <c r="AI1116" t="n">
        <v>5</v>
      </c>
      <c r="AJ1116" t="n">
        <v>5</v>
      </c>
      <c r="AK1116" t="n">
        <v>8</v>
      </c>
      <c r="AL1116" t="n">
        <v>3</v>
      </c>
      <c r="AM1116" t="n">
        <v>4</v>
      </c>
      <c r="AN1116" t="n">
        <v>0</v>
      </c>
      <c r="AO1116" t="n">
        <v>0</v>
      </c>
      <c r="AP1116" t="inlineStr">
        <is>
          <t>No</t>
        </is>
      </c>
      <c r="AQ1116" t="inlineStr">
        <is>
          <t>No</t>
        </is>
      </c>
      <c r="AS1116">
        <f>HYPERLINK("https://creighton-primo.hosted.exlibrisgroup.com/primo-explore/search?tab=default_tab&amp;search_scope=EVERYTHING&amp;vid=01CRU&amp;lang=en_US&amp;offset=0&amp;query=any,contains,991000608449702656","Catalog Record")</f>
        <v/>
      </c>
      <c r="AT1116">
        <f>HYPERLINK("http://www.worldcat.org/oclc/11876743","WorldCat Record")</f>
        <v/>
      </c>
      <c r="AU1116" t="inlineStr">
        <is>
          <t>4543083:eng</t>
        </is>
      </c>
      <c r="AV1116" t="inlineStr">
        <is>
          <t>11876743</t>
        </is>
      </c>
      <c r="AW1116" t="inlineStr">
        <is>
          <t>991000608449702656</t>
        </is>
      </c>
      <c r="AX1116" t="inlineStr">
        <is>
          <t>991000608449702656</t>
        </is>
      </c>
      <c r="AY1116" t="inlineStr">
        <is>
          <t>2264981960002656</t>
        </is>
      </c>
      <c r="AZ1116" t="inlineStr">
        <is>
          <t>BOOK</t>
        </is>
      </c>
      <c r="BC1116" t="inlineStr">
        <is>
          <t>32285001253094</t>
        </is>
      </c>
      <c r="BD1116" t="inlineStr">
        <is>
          <t>893802920</t>
        </is>
      </c>
    </row>
    <row r="1117">
      <c r="A1117" t="inlineStr">
        <is>
          <t>No</t>
        </is>
      </c>
      <c r="B1117" t="inlineStr">
        <is>
          <t>LB2805 .K38 1991</t>
        </is>
      </c>
      <c r="C1117" t="inlineStr">
        <is>
          <t>0                      LB 2805000K  38          1991</t>
        </is>
      </c>
      <c r="D1117" t="inlineStr">
        <is>
          <t>Education, management, and participation : new directions in educational administration / Sherry Keith, Robert Henriques Girling.</t>
        </is>
      </c>
      <c r="F1117" t="inlineStr">
        <is>
          <t>No</t>
        </is>
      </c>
      <c r="G1117" t="inlineStr">
        <is>
          <t>1</t>
        </is>
      </c>
      <c r="H1117" t="inlineStr">
        <is>
          <t>No</t>
        </is>
      </c>
      <c r="I1117" t="inlineStr">
        <is>
          <t>No</t>
        </is>
      </c>
      <c r="J1117" t="inlineStr">
        <is>
          <t>0</t>
        </is>
      </c>
      <c r="K1117" t="inlineStr">
        <is>
          <t>Keith, Sherry.</t>
        </is>
      </c>
      <c r="L1117" t="inlineStr">
        <is>
          <t>Needham, Mass. : Allyn and Bacon, c1991.</t>
        </is>
      </c>
      <c r="M1117" t="inlineStr">
        <is>
          <t>1991</t>
        </is>
      </c>
      <c r="O1117" t="inlineStr">
        <is>
          <t>eng</t>
        </is>
      </c>
      <c r="P1117" t="inlineStr">
        <is>
          <t>mau</t>
        </is>
      </c>
      <c r="R1117" t="inlineStr">
        <is>
          <t xml:space="preserve">LB </t>
        </is>
      </c>
      <c r="S1117" t="n">
        <v>8</v>
      </c>
      <c r="T1117" t="n">
        <v>8</v>
      </c>
      <c r="U1117" t="inlineStr">
        <is>
          <t>1997-04-05</t>
        </is>
      </c>
      <c r="V1117" t="inlineStr">
        <is>
          <t>1997-04-05</t>
        </is>
      </c>
      <c r="W1117" t="inlineStr">
        <is>
          <t>1991-03-18</t>
        </is>
      </c>
      <c r="X1117" t="inlineStr">
        <is>
          <t>1991-03-18</t>
        </is>
      </c>
      <c r="Y1117" t="n">
        <v>301</v>
      </c>
      <c r="Z1117" t="n">
        <v>234</v>
      </c>
      <c r="AA1117" t="n">
        <v>236</v>
      </c>
      <c r="AB1117" t="n">
        <v>4</v>
      </c>
      <c r="AC1117" t="n">
        <v>4</v>
      </c>
      <c r="AD1117" t="n">
        <v>13</v>
      </c>
      <c r="AE1117" t="n">
        <v>13</v>
      </c>
      <c r="AF1117" t="n">
        <v>4</v>
      </c>
      <c r="AG1117" t="n">
        <v>4</v>
      </c>
      <c r="AH1117" t="n">
        <v>2</v>
      </c>
      <c r="AI1117" t="n">
        <v>2</v>
      </c>
      <c r="AJ1117" t="n">
        <v>8</v>
      </c>
      <c r="AK1117" t="n">
        <v>8</v>
      </c>
      <c r="AL1117" t="n">
        <v>3</v>
      </c>
      <c r="AM1117" t="n">
        <v>3</v>
      </c>
      <c r="AN1117" t="n">
        <v>0</v>
      </c>
      <c r="AO1117" t="n">
        <v>0</v>
      </c>
      <c r="AP1117" t="inlineStr">
        <is>
          <t>No</t>
        </is>
      </c>
      <c r="AQ1117" t="inlineStr">
        <is>
          <t>Yes</t>
        </is>
      </c>
      <c r="AR1117">
        <f>HYPERLINK("http://catalog.hathitrust.org/Record/002450114","HathiTrust Record")</f>
        <v/>
      </c>
      <c r="AS1117">
        <f>HYPERLINK("https://creighton-primo.hosted.exlibrisgroup.com/primo-explore/search?tab=default_tab&amp;search_scope=EVERYTHING&amp;vid=01CRU&amp;lang=en_US&amp;offset=0&amp;query=any,contains,991001742209702656","Catalog Record")</f>
        <v/>
      </c>
      <c r="AT1117">
        <f>HYPERLINK("http://www.worldcat.org/oclc/22006067","WorldCat Record")</f>
        <v/>
      </c>
      <c r="AU1117" t="inlineStr">
        <is>
          <t>311810342:eng</t>
        </is>
      </c>
      <c r="AV1117" t="inlineStr">
        <is>
          <t>22006067</t>
        </is>
      </c>
      <c r="AW1117" t="inlineStr">
        <is>
          <t>991001742209702656</t>
        </is>
      </c>
      <c r="AX1117" t="inlineStr">
        <is>
          <t>991001742209702656</t>
        </is>
      </c>
      <c r="AY1117" t="inlineStr">
        <is>
          <t>2265088460002656</t>
        </is>
      </c>
      <c r="AZ1117" t="inlineStr">
        <is>
          <t>BOOK</t>
        </is>
      </c>
      <c r="BB1117" t="inlineStr">
        <is>
          <t>9780205126231</t>
        </is>
      </c>
      <c r="BC1117" t="inlineStr">
        <is>
          <t>32285000512094</t>
        </is>
      </c>
      <c r="BD1117" t="inlineStr">
        <is>
          <t>893797787</t>
        </is>
      </c>
    </row>
    <row r="1118">
      <c r="A1118" t="inlineStr">
        <is>
          <t>No</t>
        </is>
      </c>
      <c r="B1118" t="inlineStr">
        <is>
          <t>LB2805 .K4</t>
        </is>
      </c>
      <c r="C1118" t="inlineStr">
        <is>
          <t>0                      LB 2805000K  4</t>
        </is>
      </c>
      <c r="D1118" t="inlineStr">
        <is>
          <t>Improving school climate : leadership techniques for principals / by Edgar A. Kelley.</t>
        </is>
      </c>
      <c r="F1118" t="inlineStr">
        <is>
          <t>No</t>
        </is>
      </c>
      <c r="G1118" t="inlineStr">
        <is>
          <t>1</t>
        </is>
      </c>
      <c r="H1118" t="inlineStr">
        <is>
          <t>No</t>
        </is>
      </c>
      <c r="I1118" t="inlineStr">
        <is>
          <t>No</t>
        </is>
      </c>
      <c r="J1118" t="inlineStr">
        <is>
          <t>0</t>
        </is>
      </c>
      <c r="K1118" t="inlineStr">
        <is>
          <t>Kelley, Edgar A.</t>
        </is>
      </c>
      <c r="L1118" t="inlineStr">
        <is>
          <t>Reston, VA : National Association of Secondary School Principals, 1980.</t>
        </is>
      </c>
      <c r="M1118" t="inlineStr">
        <is>
          <t>1980</t>
        </is>
      </c>
      <c r="O1118" t="inlineStr">
        <is>
          <t>eng</t>
        </is>
      </c>
      <c r="P1118" t="inlineStr">
        <is>
          <t>vau</t>
        </is>
      </c>
      <c r="R1118" t="inlineStr">
        <is>
          <t xml:space="preserve">LB </t>
        </is>
      </c>
      <c r="S1118" t="n">
        <v>1</v>
      </c>
      <c r="T1118" t="n">
        <v>1</v>
      </c>
      <c r="U1118" t="inlineStr">
        <is>
          <t>2002-07-10</t>
        </is>
      </c>
      <c r="V1118" t="inlineStr">
        <is>
          <t>2002-07-10</t>
        </is>
      </c>
      <c r="W1118" t="inlineStr">
        <is>
          <t>1992-08-12</t>
        </is>
      </c>
      <c r="X1118" t="inlineStr">
        <is>
          <t>1992-08-12</t>
        </is>
      </c>
      <c r="Y1118" t="n">
        <v>496</v>
      </c>
      <c r="Z1118" t="n">
        <v>451</v>
      </c>
      <c r="AA1118" t="n">
        <v>454</v>
      </c>
      <c r="AB1118" t="n">
        <v>4</v>
      </c>
      <c r="AC1118" t="n">
        <v>4</v>
      </c>
      <c r="AD1118" t="n">
        <v>19</v>
      </c>
      <c r="AE1118" t="n">
        <v>19</v>
      </c>
      <c r="AF1118" t="n">
        <v>7</v>
      </c>
      <c r="AG1118" t="n">
        <v>7</v>
      </c>
      <c r="AH1118" t="n">
        <v>5</v>
      </c>
      <c r="AI1118" t="n">
        <v>5</v>
      </c>
      <c r="AJ1118" t="n">
        <v>12</v>
      </c>
      <c r="AK1118" t="n">
        <v>12</v>
      </c>
      <c r="AL1118" t="n">
        <v>3</v>
      </c>
      <c r="AM1118" t="n">
        <v>3</v>
      </c>
      <c r="AN1118" t="n">
        <v>0</v>
      </c>
      <c r="AO1118" t="n">
        <v>0</v>
      </c>
      <c r="AP1118" t="inlineStr">
        <is>
          <t>No</t>
        </is>
      </c>
      <c r="AQ1118" t="inlineStr">
        <is>
          <t>Yes</t>
        </is>
      </c>
      <c r="AR1118">
        <f>HYPERLINK("http://catalog.hathitrust.org/Record/000128493","HathiTrust Record")</f>
        <v/>
      </c>
      <c r="AS1118">
        <f>HYPERLINK("https://creighton-primo.hosted.exlibrisgroup.com/primo-explore/search?tab=default_tab&amp;search_scope=EVERYTHING&amp;vid=01CRU&amp;lang=en_US&amp;offset=0&amp;query=any,contains,991005071949702656","Catalog Record")</f>
        <v/>
      </c>
      <c r="AT1118">
        <f>HYPERLINK("http://www.worldcat.org/oclc/7041462","WorldCat Record")</f>
        <v/>
      </c>
      <c r="AU1118" t="inlineStr">
        <is>
          <t>197849164:eng</t>
        </is>
      </c>
      <c r="AV1118" t="inlineStr">
        <is>
          <t>7041462</t>
        </is>
      </c>
      <c r="AW1118" t="inlineStr">
        <is>
          <t>991005071949702656</t>
        </is>
      </c>
      <c r="AX1118" t="inlineStr">
        <is>
          <t>991005071949702656</t>
        </is>
      </c>
      <c r="AY1118" t="inlineStr">
        <is>
          <t>2271321660002656</t>
        </is>
      </c>
      <c r="AZ1118" t="inlineStr">
        <is>
          <t>BOOK</t>
        </is>
      </c>
      <c r="BC1118" t="inlineStr">
        <is>
          <t>32285001253953</t>
        </is>
      </c>
      <c r="BD1118" t="inlineStr">
        <is>
          <t>893625405</t>
        </is>
      </c>
    </row>
    <row r="1119">
      <c r="A1119" t="inlineStr">
        <is>
          <t>No</t>
        </is>
      </c>
      <c r="B1119" t="inlineStr">
        <is>
          <t>LB2805 .K518 1996</t>
        </is>
      </c>
      <c r="C1119" t="inlineStr">
        <is>
          <t>0                      LB 2805000K  518         1996</t>
        </is>
      </c>
      <c r="D1119" t="inlineStr">
        <is>
          <t>Educational administration : a collection of case studies / by Robert E. Kirschmann.</t>
        </is>
      </c>
      <c r="F1119" t="inlineStr">
        <is>
          <t>No</t>
        </is>
      </c>
      <c r="G1119" t="inlineStr">
        <is>
          <t>1</t>
        </is>
      </c>
      <c r="H1119" t="inlineStr">
        <is>
          <t>No</t>
        </is>
      </c>
      <c r="I1119" t="inlineStr">
        <is>
          <t>No</t>
        </is>
      </c>
      <c r="J1119" t="inlineStr">
        <is>
          <t>0</t>
        </is>
      </c>
      <c r="K1119" t="inlineStr">
        <is>
          <t>Kirschmann, Robert E., 1946-</t>
        </is>
      </c>
      <c r="L1119" t="inlineStr">
        <is>
          <t>Englewood Cliffs, N.J. : Merrill, 1996.</t>
        </is>
      </c>
      <c r="M1119" t="inlineStr">
        <is>
          <t>1996</t>
        </is>
      </c>
      <c r="O1119" t="inlineStr">
        <is>
          <t>eng</t>
        </is>
      </c>
      <c r="P1119" t="inlineStr">
        <is>
          <t>nju</t>
        </is>
      </c>
      <c r="R1119" t="inlineStr">
        <is>
          <t xml:space="preserve">LB </t>
        </is>
      </c>
      <c r="S1119" t="n">
        <v>9</v>
      </c>
      <c r="T1119" t="n">
        <v>9</v>
      </c>
      <c r="U1119" t="inlineStr">
        <is>
          <t>2003-03-06</t>
        </is>
      </c>
      <c r="V1119" t="inlineStr">
        <is>
          <t>2003-03-06</t>
        </is>
      </c>
      <c r="W1119" t="inlineStr">
        <is>
          <t>1996-02-16</t>
        </is>
      </c>
      <c r="X1119" t="inlineStr">
        <is>
          <t>1996-02-16</t>
        </is>
      </c>
      <c r="Y1119" t="n">
        <v>186</v>
      </c>
      <c r="Z1119" t="n">
        <v>157</v>
      </c>
      <c r="AA1119" t="n">
        <v>164</v>
      </c>
      <c r="AB1119" t="n">
        <v>2</v>
      </c>
      <c r="AC1119" t="n">
        <v>2</v>
      </c>
      <c r="AD1119" t="n">
        <v>8</v>
      </c>
      <c r="AE1119" t="n">
        <v>8</v>
      </c>
      <c r="AF1119" t="n">
        <v>3</v>
      </c>
      <c r="AG1119" t="n">
        <v>3</v>
      </c>
      <c r="AH1119" t="n">
        <v>1</v>
      </c>
      <c r="AI1119" t="n">
        <v>1</v>
      </c>
      <c r="AJ1119" t="n">
        <v>6</v>
      </c>
      <c r="AK1119" t="n">
        <v>6</v>
      </c>
      <c r="AL1119" t="n">
        <v>1</v>
      </c>
      <c r="AM1119" t="n">
        <v>1</v>
      </c>
      <c r="AN1119" t="n">
        <v>0</v>
      </c>
      <c r="AO1119" t="n">
        <v>0</v>
      </c>
      <c r="AP1119" t="inlineStr">
        <is>
          <t>No</t>
        </is>
      </c>
      <c r="AQ1119" t="inlineStr">
        <is>
          <t>Yes</t>
        </is>
      </c>
      <c r="AR1119">
        <f>HYPERLINK("http://catalog.hathitrust.org/Record/003034513","HathiTrust Record")</f>
        <v/>
      </c>
      <c r="AS1119">
        <f>HYPERLINK("https://creighton-primo.hosted.exlibrisgroup.com/primo-explore/search?tab=default_tab&amp;search_scope=EVERYTHING&amp;vid=01CRU&amp;lang=en_US&amp;offset=0&amp;query=any,contains,991005420809702656","Catalog Record")</f>
        <v/>
      </c>
      <c r="AT1119">
        <f>HYPERLINK("http://www.worldcat.org/oclc/32272677","WorldCat Record")</f>
        <v/>
      </c>
      <c r="AU1119" t="inlineStr">
        <is>
          <t>836898256:eng</t>
        </is>
      </c>
      <c r="AV1119" t="inlineStr">
        <is>
          <t>32272677</t>
        </is>
      </c>
      <c r="AW1119" t="inlineStr">
        <is>
          <t>991005420809702656</t>
        </is>
      </c>
      <c r="AX1119" t="inlineStr">
        <is>
          <t>991005420809702656</t>
        </is>
      </c>
      <c r="AY1119" t="inlineStr">
        <is>
          <t>2261081370002656</t>
        </is>
      </c>
      <c r="AZ1119" t="inlineStr">
        <is>
          <t>BOOK</t>
        </is>
      </c>
      <c r="BB1119" t="inlineStr">
        <is>
          <t>9780133526356</t>
        </is>
      </c>
      <c r="BC1119" t="inlineStr">
        <is>
          <t>32285004756648</t>
        </is>
      </c>
      <c r="BD1119" t="inlineStr">
        <is>
          <t>893890207</t>
        </is>
      </c>
    </row>
    <row r="1120">
      <c r="A1120" t="inlineStr">
        <is>
          <t>No</t>
        </is>
      </c>
      <c r="B1120" t="inlineStr">
        <is>
          <t>LB2805 .O33 1995</t>
        </is>
      </c>
      <c r="C1120" t="inlineStr">
        <is>
          <t>0                      LB 2805000O  33          1995</t>
        </is>
      </c>
      <c r="D1120" t="inlineStr">
        <is>
          <t>Educational leadership for America's schools / Allan R. Odden, with the assistance of Eleanor R. Odden.</t>
        </is>
      </c>
      <c r="F1120" t="inlineStr">
        <is>
          <t>No</t>
        </is>
      </c>
      <c r="G1120" t="inlineStr">
        <is>
          <t>1</t>
        </is>
      </c>
      <c r="H1120" t="inlineStr">
        <is>
          <t>No</t>
        </is>
      </c>
      <c r="I1120" t="inlineStr">
        <is>
          <t>No</t>
        </is>
      </c>
      <c r="J1120" t="inlineStr">
        <is>
          <t>0</t>
        </is>
      </c>
      <c r="K1120" t="inlineStr">
        <is>
          <t>Odden, Allan.</t>
        </is>
      </c>
      <c r="L1120" t="inlineStr">
        <is>
          <t>New York : McGraw-Hill, c1995.</t>
        </is>
      </c>
      <c r="M1120" t="inlineStr">
        <is>
          <t>1995</t>
        </is>
      </c>
      <c r="O1120" t="inlineStr">
        <is>
          <t>eng</t>
        </is>
      </c>
      <c r="P1120" t="inlineStr">
        <is>
          <t>nyu</t>
        </is>
      </c>
      <c r="R1120" t="inlineStr">
        <is>
          <t xml:space="preserve">LB </t>
        </is>
      </c>
      <c r="S1120" t="n">
        <v>3</v>
      </c>
      <c r="T1120" t="n">
        <v>3</v>
      </c>
      <c r="U1120" t="inlineStr">
        <is>
          <t>2001-09-28</t>
        </is>
      </c>
      <c r="V1120" t="inlineStr">
        <is>
          <t>2001-09-28</t>
        </is>
      </c>
      <c r="W1120" t="inlineStr">
        <is>
          <t>1996-02-26</t>
        </is>
      </c>
      <c r="X1120" t="inlineStr">
        <is>
          <t>1996-02-26</t>
        </is>
      </c>
      <c r="Y1120" t="n">
        <v>121</v>
      </c>
      <c r="Z1120" t="n">
        <v>100</v>
      </c>
      <c r="AA1120" t="n">
        <v>100</v>
      </c>
      <c r="AB1120" t="n">
        <v>2</v>
      </c>
      <c r="AC1120" t="n">
        <v>2</v>
      </c>
      <c r="AD1120" t="n">
        <v>6</v>
      </c>
      <c r="AE1120" t="n">
        <v>6</v>
      </c>
      <c r="AF1120" t="n">
        <v>2</v>
      </c>
      <c r="AG1120" t="n">
        <v>2</v>
      </c>
      <c r="AH1120" t="n">
        <v>0</v>
      </c>
      <c r="AI1120" t="n">
        <v>0</v>
      </c>
      <c r="AJ1120" t="n">
        <v>3</v>
      </c>
      <c r="AK1120" t="n">
        <v>3</v>
      </c>
      <c r="AL1120" t="n">
        <v>1</v>
      </c>
      <c r="AM1120" t="n">
        <v>1</v>
      </c>
      <c r="AN1120" t="n">
        <v>0</v>
      </c>
      <c r="AO1120" t="n">
        <v>0</v>
      </c>
      <c r="AP1120" t="inlineStr">
        <is>
          <t>No</t>
        </is>
      </c>
      <c r="AQ1120" t="inlineStr">
        <is>
          <t>No</t>
        </is>
      </c>
      <c r="AS1120">
        <f>HYPERLINK("https://creighton-primo.hosted.exlibrisgroup.com/primo-explore/search?tab=default_tab&amp;search_scope=EVERYTHING&amp;vid=01CRU&amp;lang=en_US&amp;offset=0&amp;query=any,contains,991002406199702656","Catalog Record")</f>
        <v/>
      </c>
      <c r="AT1120">
        <f>HYPERLINK("http://www.worldcat.org/oclc/31291986","WorldCat Record")</f>
        <v/>
      </c>
      <c r="AU1120" t="inlineStr">
        <is>
          <t>2281083785:eng</t>
        </is>
      </c>
      <c r="AV1120" t="inlineStr">
        <is>
          <t>31291986</t>
        </is>
      </c>
      <c r="AW1120" t="inlineStr">
        <is>
          <t>991002406199702656</t>
        </is>
      </c>
      <c r="AX1120" t="inlineStr">
        <is>
          <t>991002406199702656</t>
        </is>
      </c>
      <c r="AY1120" t="inlineStr">
        <is>
          <t>2268337860002656</t>
        </is>
      </c>
      <c r="AZ1120" t="inlineStr">
        <is>
          <t>BOOK</t>
        </is>
      </c>
      <c r="BB1120" t="inlineStr">
        <is>
          <t>9780070474895</t>
        </is>
      </c>
      <c r="BC1120" t="inlineStr">
        <is>
          <t>32285002138161</t>
        </is>
      </c>
      <c r="BD1120" t="inlineStr">
        <is>
          <t>893867173</t>
        </is>
      </c>
    </row>
    <row r="1121">
      <c r="A1121" t="inlineStr">
        <is>
          <t>No</t>
        </is>
      </c>
      <c r="B1121" t="inlineStr">
        <is>
          <t>LB2805 .R18752 2007</t>
        </is>
      </c>
      <c r="C1121" t="inlineStr">
        <is>
          <t>0                      LB 2805000R  18752       2007</t>
        </is>
      </c>
      <c r="D1121" t="inlineStr">
        <is>
          <t>An existentialist curriculum of action : creating a language of freedom and possibility / Shaireen Rasheed.</t>
        </is>
      </c>
      <c r="F1121" t="inlineStr">
        <is>
          <t>No</t>
        </is>
      </c>
      <c r="G1121" t="inlineStr">
        <is>
          <t>1</t>
        </is>
      </c>
      <c r="H1121" t="inlineStr">
        <is>
          <t>No</t>
        </is>
      </c>
      <c r="I1121" t="inlineStr">
        <is>
          <t>No</t>
        </is>
      </c>
      <c r="J1121" t="inlineStr">
        <is>
          <t>0</t>
        </is>
      </c>
      <c r="K1121" t="inlineStr">
        <is>
          <t>Rasheed, Shaireen, 1968-</t>
        </is>
      </c>
      <c r="L1121" t="inlineStr">
        <is>
          <t>Lanham, Maryland : University Press of America, c2007.</t>
        </is>
      </c>
      <c r="M1121" t="inlineStr">
        <is>
          <t>2007</t>
        </is>
      </c>
      <c r="O1121" t="inlineStr">
        <is>
          <t>eng</t>
        </is>
      </c>
      <c r="P1121" t="inlineStr">
        <is>
          <t>mdu</t>
        </is>
      </c>
      <c r="R1121" t="inlineStr">
        <is>
          <t xml:space="preserve">LB </t>
        </is>
      </c>
      <c r="S1121" t="n">
        <v>1</v>
      </c>
      <c r="T1121" t="n">
        <v>1</v>
      </c>
      <c r="U1121" t="inlineStr">
        <is>
          <t>2007-03-29</t>
        </is>
      </c>
      <c r="V1121" t="inlineStr">
        <is>
          <t>2007-03-29</t>
        </is>
      </c>
      <c r="W1121" t="inlineStr">
        <is>
          <t>2007-03-29</t>
        </is>
      </c>
      <c r="X1121" t="inlineStr">
        <is>
          <t>2007-03-29</t>
        </is>
      </c>
      <c r="Y1121" t="n">
        <v>101</v>
      </c>
      <c r="Z1121" t="n">
        <v>76</v>
      </c>
      <c r="AA1121" t="n">
        <v>80</v>
      </c>
      <c r="AB1121" t="n">
        <v>2</v>
      </c>
      <c r="AC1121" t="n">
        <v>2</v>
      </c>
      <c r="AD1121" t="n">
        <v>2</v>
      </c>
      <c r="AE1121" t="n">
        <v>2</v>
      </c>
      <c r="AF1121" t="n">
        <v>0</v>
      </c>
      <c r="AG1121" t="n">
        <v>0</v>
      </c>
      <c r="AH1121" t="n">
        <v>0</v>
      </c>
      <c r="AI1121" t="n">
        <v>0</v>
      </c>
      <c r="AJ1121" t="n">
        <v>1</v>
      </c>
      <c r="AK1121" t="n">
        <v>1</v>
      </c>
      <c r="AL1121" t="n">
        <v>1</v>
      </c>
      <c r="AM1121" t="n">
        <v>1</v>
      </c>
      <c r="AN1121" t="n">
        <v>0</v>
      </c>
      <c r="AO1121" t="n">
        <v>0</v>
      </c>
      <c r="AP1121" t="inlineStr">
        <is>
          <t>No</t>
        </is>
      </c>
      <c r="AQ1121" t="inlineStr">
        <is>
          <t>Yes</t>
        </is>
      </c>
      <c r="AR1121">
        <f>HYPERLINK("http://catalog.hathitrust.org/Record/102050711","HathiTrust Record")</f>
        <v/>
      </c>
      <c r="AS1121">
        <f>HYPERLINK("https://creighton-primo.hosted.exlibrisgroup.com/primo-explore/search?tab=default_tab&amp;search_scope=EVERYTHING&amp;vid=01CRU&amp;lang=en_US&amp;offset=0&amp;query=any,contains,991005065409702656","Catalog Record")</f>
        <v/>
      </c>
      <c r="AT1121">
        <f>HYPERLINK("http://www.worldcat.org/oclc/122337671","WorldCat Record")</f>
        <v/>
      </c>
      <c r="AU1121" t="inlineStr">
        <is>
          <t>37330508:eng</t>
        </is>
      </c>
      <c r="AV1121" t="inlineStr">
        <is>
          <t>122337671</t>
        </is>
      </c>
      <c r="AW1121" t="inlineStr">
        <is>
          <t>991005065409702656</t>
        </is>
      </c>
      <c r="AX1121" t="inlineStr">
        <is>
          <t>991005065409702656</t>
        </is>
      </c>
      <c r="AY1121" t="inlineStr">
        <is>
          <t>2264794320002656</t>
        </is>
      </c>
      <c r="AZ1121" t="inlineStr">
        <is>
          <t>BOOK</t>
        </is>
      </c>
      <c r="BB1121" t="inlineStr">
        <is>
          <t>9780761835912</t>
        </is>
      </c>
      <c r="BC1121" t="inlineStr">
        <is>
          <t>32285005284350</t>
        </is>
      </c>
      <c r="BD1121" t="inlineStr">
        <is>
          <t>893876867</t>
        </is>
      </c>
    </row>
    <row r="1122">
      <c r="A1122" t="inlineStr">
        <is>
          <t>No</t>
        </is>
      </c>
      <c r="B1122" t="inlineStr">
        <is>
          <t>LB2805 .R26 2005</t>
        </is>
      </c>
      <c r="C1122" t="inlineStr">
        <is>
          <t>0                      LB 2805000R  26          2005</t>
        </is>
      </c>
      <c r="D1122" t="inlineStr">
        <is>
          <t>What matters most for school leaders : 25 reminders of what is really important / Robert D. Ramsey.</t>
        </is>
      </c>
      <c r="F1122" t="inlineStr">
        <is>
          <t>No</t>
        </is>
      </c>
      <c r="G1122" t="inlineStr">
        <is>
          <t>1</t>
        </is>
      </c>
      <c r="H1122" t="inlineStr">
        <is>
          <t>No</t>
        </is>
      </c>
      <c r="I1122" t="inlineStr">
        <is>
          <t>No</t>
        </is>
      </c>
      <c r="J1122" t="inlineStr">
        <is>
          <t>0</t>
        </is>
      </c>
      <c r="K1122" t="inlineStr">
        <is>
          <t>Ramsey, Robert D.</t>
        </is>
      </c>
      <c r="L1122" t="inlineStr">
        <is>
          <t>Thousand Oaks, Calif. : Corwin Press, c2005.</t>
        </is>
      </c>
      <c r="M1122" t="inlineStr">
        <is>
          <t>2005</t>
        </is>
      </c>
      <c r="O1122" t="inlineStr">
        <is>
          <t>eng</t>
        </is>
      </c>
      <c r="P1122" t="inlineStr">
        <is>
          <t>cau</t>
        </is>
      </c>
      <c r="R1122" t="inlineStr">
        <is>
          <t xml:space="preserve">LB </t>
        </is>
      </c>
      <c r="S1122" t="n">
        <v>3</v>
      </c>
      <c r="T1122" t="n">
        <v>3</v>
      </c>
      <c r="U1122" t="inlineStr">
        <is>
          <t>2008-02-04</t>
        </is>
      </c>
      <c r="V1122" t="inlineStr">
        <is>
          <t>2008-02-04</t>
        </is>
      </c>
      <c r="W1122" t="inlineStr">
        <is>
          <t>2005-03-16</t>
        </is>
      </c>
      <c r="X1122" t="inlineStr">
        <is>
          <t>2005-03-16</t>
        </is>
      </c>
      <c r="Y1122" t="n">
        <v>231</v>
      </c>
      <c r="Z1122" t="n">
        <v>195</v>
      </c>
      <c r="AA1122" t="n">
        <v>212</v>
      </c>
      <c r="AB1122" t="n">
        <v>3</v>
      </c>
      <c r="AC1122" t="n">
        <v>4</v>
      </c>
      <c r="AD1122" t="n">
        <v>7</v>
      </c>
      <c r="AE1122" t="n">
        <v>9</v>
      </c>
      <c r="AF1122" t="n">
        <v>1</v>
      </c>
      <c r="AG1122" t="n">
        <v>2</v>
      </c>
      <c r="AH1122" t="n">
        <v>1</v>
      </c>
      <c r="AI1122" t="n">
        <v>2</v>
      </c>
      <c r="AJ1122" t="n">
        <v>5</v>
      </c>
      <c r="AK1122" t="n">
        <v>5</v>
      </c>
      <c r="AL1122" t="n">
        <v>2</v>
      </c>
      <c r="AM1122" t="n">
        <v>3</v>
      </c>
      <c r="AN1122" t="n">
        <v>0</v>
      </c>
      <c r="AO1122" t="n">
        <v>0</v>
      </c>
      <c r="AP1122" t="inlineStr">
        <is>
          <t>No</t>
        </is>
      </c>
      <c r="AQ1122" t="inlineStr">
        <is>
          <t>No</t>
        </is>
      </c>
      <c r="AS1122">
        <f>HYPERLINK("https://creighton-primo.hosted.exlibrisgroup.com/primo-explore/search?tab=default_tab&amp;search_scope=EVERYTHING&amp;vid=01CRU&amp;lang=en_US&amp;offset=0&amp;query=any,contains,991004497719702656","Catalog Record")</f>
        <v/>
      </c>
      <c r="AT1122">
        <f>HYPERLINK("http://www.worldcat.org/oclc/55228615","WorldCat Record")</f>
        <v/>
      </c>
      <c r="AU1122" t="inlineStr">
        <is>
          <t>970250:eng</t>
        </is>
      </c>
      <c r="AV1122" t="inlineStr">
        <is>
          <t>55228615</t>
        </is>
      </c>
      <c r="AW1122" t="inlineStr">
        <is>
          <t>991004497719702656</t>
        </is>
      </c>
      <c r="AX1122" t="inlineStr">
        <is>
          <t>991004497719702656</t>
        </is>
      </c>
      <c r="AY1122" t="inlineStr">
        <is>
          <t>2270425510002656</t>
        </is>
      </c>
      <c r="AZ1122" t="inlineStr">
        <is>
          <t>BOOK</t>
        </is>
      </c>
      <c r="BB1122" t="inlineStr">
        <is>
          <t>9781412904513</t>
        </is>
      </c>
      <c r="BC1122" t="inlineStr">
        <is>
          <t>32285005042097</t>
        </is>
      </c>
      <c r="BD1122" t="inlineStr">
        <is>
          <t>893350078</t>
        </is>
      </c>
    </row>
    <row r="1123">
      <c r="A1123" t="inlineStr">
        <is>
          <t>No</t>
        </is>
      </c>
      <c r="B1123" t="inlineStr">
        <is>
          <t>LB2805 .R475 2010</t>
        </is>
      </c>
      <c r="C1123" t="inlineStr">
        <is>
          <t>0                      LB 2805000R  475         2010</t>
        </is>
      </c>
      <c r="D1123" t="inlineStr">
        <is>
          <t>RESULTS coaching : the new essential for school leaders / Kathryn Kee ... [et al.] ; foreword by Dennis Sparks.</t>
        </is>
      </c>
      <c r="F1123" t="inlineStr">
        <is>
          <t>No</t>
        </is>
      </c>
      <c r="G1123" t="inlineStr">
        <is>
          <t>1</t>
        </is>
      </c>
      <c r="H1123" t="inlineStr">
        <is>
          <t>No</t>
        </is>
      </c>
      <c r="I1123" t="inlineStr">
        <is>
          <t>No</t>
        </is>
      </c>
      <c r="J1123" t="inlineStr">
        <is>
          <t>0</t>
        </is>
      </c>
      <c r="L1123" t="inlineStr">
        <is>
          <t>Thousand Oaks, Calif. : Corwin Press, c2010.</t>
        </is>
      </c>
      <c r="M1123" t="inlineStr">
        <is>
          <t>2010</t>
        </is>
      </c>
      <c r="O1123" t="inlineStr">
        <is>
          <t>eng</t>
        </is>
      </c>
      <c r="P1123" t="inlineStr">
        <is>
          <t>cau</t>
        </is>
      </c>
      <c r="R1123" t="inlineStr">
        <is>
          <t xml:space="preserve">LB </t>
        </is>
      </c>
      <c r="S1123" t="n">
        <v>1</v>
      </c>
      <c r="T1123" t="n">
        <v>1</v>
      </c>
      <c r="U1123" t="inlineStr">
        <is>
          <t>2010-10-05</t>
        </is>
      </c>
      <c r="V1123" t="inlineStr">
        <is>
          <t>2010-10-05</t>
        </is>
      </c>
      <c r="W1123" t="inlineStr">
        <is>
          <t>2010-10-05</t>
        </is>
      </c>
      <c r="X1123" t="inlineStr">
        <is>
          <t>2010-10-05</t>
        </is>
      </c>
      <c r="Y1123" t="n">
        <v>122</v>
      </c>
      <c r="Z1123" t="n">
        <v>89</v>
      </c>
      <c r="AA1123" t="n">
        <v>233</v>
      </c>
      <c r="AB1123" t="n">
        <v>2</v>
      </c>
      <c r="AC1123" t="n">
        <v>4</v>
      </c>
      <c r="AD1123" t="n">
        <v>4</v>
      </c>
      <c r="AE1123" t="n">
        <v>13</v>
      </c>
      <c r="AF1123" t="n">
        <v>3</v>
      </c>
      <c r="AG1123" t="n">
        <v>7</v>
      </c>
      <c r="AH1123" t="n">
        <v>0</v>
      </c>
      <c r="AI1123" t="n">
        <v>3</v>
      </c>
      <c r="AJ1123" t="n">
        <v>3</v>
      </c>
      <c r="AK1123" t="n">
        <v>5</v>
      </c>
      <c r="AL1123" t="n">
        <v>0</v>
      </c>
      <c r="AM1123" t="n">
        <v>2</v>
      </c>
      <c r="AN1123" t="n">
        <v>0</v>
      </c>
      <c r="AO1123" t="n">
        <v>0</v>
      </c>
      <c r="AP1123" t="inlineStr">
        <is>
          <t>No</t>
        </is>
      </c>
      <c r="AQ1123" t="inlineStr">
        <is>
          <t>No</t>
        </is>
      </c>
      <c r="AS1123">
        <f>HYPERLINK("https://creighton-primo.hosted.exlibrisgroup.com/primo-explore/search?tab=default_tab&amp;search_scope=EVERYTHING&amp;vid=01CRU&amp;lang=en_US&amp;offset=0&amp;query=any,contains,991000165069702656","Catalog Record")</f>
        <v/>
      </c>
      <c r="AT1123">
        <f>HYPERLINK("http://www.worldcat.org/oclc/515612767","WorldCat Record")</f>
        <v/>
      </c>
      <c r="AU1123" t="inlineStr">
        <is>
          <t>796466476:eng</t>
        </is>
      </c>
      <c r="AV1123" t="inlineStr">
        <is>
          <t>515612767</t>
        </is>
      </c>
      <c r="AW1123" t="inlineStr">
        <is>
          <t>991000165069702656</t>
        </is>
      </c>
      <c r="AX1123" t="inlineStr">
        <is>
          <t>991000165069702656</t>
        </is>
      </c>
      <c r="AY1123" t="inlineStr">
        <is>
          <t>2260001410002656</t>
        </is>
      </c>
      <c r="AZ1123" t="inlineStr">
        <is>
          <t>BOOK</t>
        </is>
      </c>
      <c r="BB1123" t="inlineStr">
        <is>
          <t>9781412986748</t>
        </is>
      </c>
      <c r="BC1123" t="inlineStr">
        <is>
          <t>32285005598239</t>
        </is>
      </c>
      <c r="BD1123" t="inlineStr">
        <is>
          <t>893521460</t>
        </is>
      </c>
    </row>
    <row r="1124">
      <c r="A1124" t="inlineStr">
        <is>
          <t>No</t>
        </is>
      </c>
      <c r="B1124" t="inlineStr">
        <is>
          <t>LB2805 .S34 1993</t>
        </is>
      </c>
      <c r="C1124" t="inlineStr">
        <is>
          <t>0                      LB 2805000S  34          1993</t>
        </is>
      </c>
      <c r="D1124" t="inlineStr">
        <is>
          <t>Quality connections : transforming schools through Total Quality Management / Randy Schenkat.</t>
        </is>
      </c>
      <c r="F1124" t="inlineStr">
        <is>
          <t>No</t>
        </is>
      </c>
      <c r="G1124" t="inlineStr">
        <is>
          <t>1</t>
        </is>
      </c>
      <c r="H1124" t="inlineStr">
        <is>
          <t>No</t>
        </is>
      </c>
      <c r="I1124" t="inlineStr">
        <is>
          <t>No</t>
        </is>
      </c>
      <c r="J1124" t="inlineStr">
        <is>
          <t>0</t>
        </is>
      </c>
      <c r="K1124" t="inlineStr">
        <is>
          <t>Schenkat, Randy.</t>
        </is>
      </c>
      <c r="L1124" t="inlineStr">
        <is>
          <t>Alexandria, Va. : Association for Supervision and Curriculum Development, c1993.</t>
        </is>
      </c>
      <c r="M1124" t="inlineStr">
        <is>
          <t>1993</t>
        </is>
      </c>
      <c r="O1124" t="inlineStr">
        <is>
          <t>eng</t>
        </is>
      </c>
      <c r="P1124" t="inlineStr">
        <is>
          <t>vau</t>
        </is>
      </c>
      <c r="R1124" t="inlineStr">
        <is>
          <t xml:space="preserve">LB </t>
        </is>
      </c>
      <c r="S1124" t="n">
        <v>5</v>
      </c>
      <c r="T1124" t="n">
        <v>5</v>
      </c>
      <c r="U1124" t="inlineStr">
        <is>
          <t>2004-04-05</t>
        </is>
      </c>
      <c r="V1124" t="inlineStr">
        <is>
          <t>2004-04-05</t>
        </is>
      </c>
      <c r="W1124" t="inlineStr">
        <is>
          <t>1994-05-24</t>
        </is>
      </c>
      <c r="X1124" t="inlineStr">
        <is>
          <t>1994-05-24</t>
        </is>
      </c>
      <c r="Y1124" t="n">
        <v>264</v>
      </c>
      <c r="Z1124" t="n">
        <v>233</v>
      </c>
      <c r="AA1124" t="n">
        <v>237</v>
      </c>
      <c r="AB1124" t="n">
        <v>4</v>
      </c>
      <c r="AC1124" t="n">
        <v>4</v>
      </c>
      <c r="AD1124" t="n">
        <v>12</v>
      </c>
      <c r="AE1124" t="n">
        <v>12</v>
      </c>
      <c r="AF1124" t="n">
        <v>6</v>
      </c>
      <c r="AG1124" t="n">
        <v>6</v>
      </c>
      <c r="AH1124" t="n">
        <v>0</v>
      </c>
      <c r="AI1124" t="n">
        <v>0</v>
      </c>
      <c r="AJ1124" t="n">
        <v>7</v>
      </c>
      <c r="AK1124" t="n">
        <v>7</v>
      </c>
      <c r="AL1124" t="n">
        <v>3</v>
      </c>
      <c r="AM1124" t="n">
        <v>3</v>
      </c>
      <c r="AN1124" t="n">
        <v>0</v>
      </c>
      <c r="AO1124" t="n">
        <v>0</v>
      </c>
      <c r="AP1124" t="inlineStr">
        <is>
          <t>No</t>
        </is>
      </c>
      <c r="AQ1124" t="inlineStr">
        <is>
          <t>Yes</t>
        </is>
      </c>
      <c r="AR1124">
        <f>HYPERLINK("http://catalog.hathitrust.org/Record/002809873","HathiTrust Record")</f>
        <v/>
      </c>
      <c r="AS1124">
        <f>HYPERLINK("https://creighton-primo.hosted.exlibrisgroup.com/primo-explore/search?tab=default_tab&amp;search_scope=EVERYTHING&amp;vid=01CRU&amp;lang=en_US&amp;offset=0&amp;query=any,contains,991002149419702656","Catalog Record")</f>
        <v/>
      </c>
      <c r="AT1124">
        <f>HYPERLINK("http://www.worldcat.org/oclc/27684796","WorldCat Record")</f>
        <v/>
      </c>
      <c r="AU1124" t="inlineStr">
        <is>
          <t>899138168:eng</t>
        </is>
      </c>
      <c r="AV1124" t="inlineStr">
        <is>
          <t>27684796</t>
        </is>
      </c>
      <c r="AW1124" t="inlineStr">
        <is>
          <t>991002149419702656</t>
        </is>
      </c>
      <c r="AX1124" t="inlineStr">
        <is>
          <t>991002149419702656</t>
        </is>
      </c>
      <c r="AY1124" t="inlineStr">
        <is>
          <t>2258669340002656</t>
        </is>
      </c>
      <c r="AZ1124" t="inlineStr">
        <is>
          <t>BOOK</t>
        </is>
      </c>
      <c r="BB1124" t="inlineStr">
        <is>
          <t>9780871202031</t>
        </is>
      </c>
      <c r="BC1124" t="inlineStr">
        <is>
          <t>32285001880821</t>
        </is>
      </c>
      <c r="BD1124" t="inlineStr">
        <is>
          <t>893529604</t>
        </is>
      </c>
    </row>
    <row r="1125">
      <c r="A1125" t="inlineStr">
        <is>
          <t>No</t>
        </is>
      </c>
      <c r="B1125" t="inlineStr">
        <is>
          <t>LB2805 .S3825 1988</t>
        </is>
      </c>
      <c r="C1125" t="inlineStr">
        <is>
          <t>0                      LB 2805000S  3825        1988</t>
        </is>
      </c>
      <c r="D1125" t="inlineStr">
        <is>
          <t>The handbook of organization development in schools / Richard A. Schmuck, Philip J. Runkel.</t>
        </is>
      </c>
      <c r="F1125" t="inlineStr">
        <is>
          <t>No</t>
        </is>
      </c>
      <c r="G1125" t="inlineStr">
        <is>
          <t>1</t>
        </is>
      </c>
      <c r="H1125" t="inlineStr">
        <is>
          <t>No</t>
        </is>
      </c>
      <c r="I1125" t="inlineStr">
        <is>
          <t>No</t>
        </is>
      </c>
      <c r="J1125" t="inlineStr">
        <is>
          <t>0</t>
        </is>
      </c>
      <c r="K1125" t="inlineStr">
        <is>
          <t>Schmuck, Richard A.</t>
        </is>
      </c>
      <c r="L1125" t="inlineStr">
        <is>
          <t>Prospect Heights, Ill. : Waveland Press, 1988, c1985.</t>
        </is>
      </c>
      <c r="M1125" t="inlineStr">
        <is>
          <t>1988</t>
        </is>
      </c>
      <c r="N1125" t="inlineStr">
        <is>
          <t>3rd ed.</t>
        </is>
      </c>
      <c r="O1125" t="inlineStr">
        <is>
          <t>eng</t>
        </is>
      </c>
      <c r="P1125" t="inlineStr">
        <is>
          <t>ilu</t>
        </is>
      </c>
      <c r="R1125" t="inlineStr">
        <is>
          <t xml:space="preserve">LB </t>
        </is>
      </c>
      <c r="S1125" t="n">
        <v>3</v>
      </c>
      <c r="T1125" t="n">
        <v>3</v>
      </c>
      <c r="U1125" t="inlineStr">
        <is>
          <t>2003-09-17</t>
        </is>
      </c>
      <c r="V1125" t="inlineStr">
        <is>
          <t>2003-09-17</t>
        </is>
      </c>
      <c r="W1125" t="inlineStr">
        <is>
          <t>1990-01-14</t>
        </is>
      </c>
      <c r="X1125" t="inlineStr">
        <is>
          <t>1990-01-14</t>
        </is>
      </c>
      <c r="Y1125" t="n">
        <v>120</v>
      </c>
      <c r="Z1125" t="n">
        <v>100</v>
      </c>
      <c r="AA1125" t="n">
        <v>380</v>
      </c>
      <c r="AB1125" t="n">
        <v>2</v>
      </c>
      <c r="AC1125" t="n">
        <v>5</v>
      </c>
      <c r="AD1125" t="n">
        <v>8</v>
      </c>
      <c r="AE1125" t="n">
        <v>19</v>
      </c>
      <c r="AF1125" t="n">
        <v>5</v>
      </c>
      <c r="AG1125" t="n">
        <v>9</v>
      </c>
      <c r="AH1125" t="n">
        <v>1</v>
      </c>
      <c r="AI1125" t="n">
        <v>2</v>
      </c>
      <c r="AJ1125" t="n">
        <v>4</v>
      </c>
      <c r="AK1125" t="n">
        <v>9</v>
      </c>
      <c r="AL1125" t="n">
        <v>1</v>
      </c>
      <c r="AM1125" t="n">
        <v>4</v>
      </c>
      <c r="AN1125" t="n">
        <v>0</v>
      </c>
      <c r="AO1125" t="n">
        <v>0</v>
      </c>
      <c r="AP1125" t="inlineStr">
        <is>
          <t>No</t>
        </is>
      </c>
      <c r="AQ1125" t="inlineStr">
        <is>
          <t>No</t>
        </is>
      </c>
      <c r="AS1125">
        <f>HYPERLINK("https://creighton-primo.hosted.exlibrisgroup.com/primo-explore/search?tab=default_tab&amp;search_scope=EVERYTHING&amp;vid=01CRU&amp;lang=en_US&amp;offset=0&amp;query=any,contains,991001258139702656","Catalog Record")</f>
        <v/>
      </c>
      <c r="AT1125">
        <f>HYPERLINK("http://www.worldcat.org/oclc/17746094","WorldCat Record")</f>
        <v/>
      </c>
      <c r="AU1125" t="inlineStr">
        <is>
          <t>4749827:eng</t>
        </is>
      </c>
      <c r="AV1125" t="inlineStr">
        <is>
          <t>17746094</t>
        </is>
      </c>
      <c r="AW1125" t="inlineStr">
        <is>
          <t>991001258139702656</t>
        </is>
      </c>
      <c r="AX1125" t="inlineStr">
        <is>
          <t>991001258139702656</t>
        </is>
      </c>
      <c r="AY1125" t="inlineStr">
        <is>
          <t>2261932820002656</t>
        </is>
      </c>
      <c r="AZ1125" t="inlineStr">
        <is>
          <t>BOOK</t>
        </is>
      </c>
      <c r="BB1125" t="inlineStr">
        <is>
          <t>9780881333220</t>
        </is>
      </c>
      <c r="BC1125" t="inlineStr">
        <is>
          <t>32285000027101</t>
        </is>
      </c>
      <c r="BD1125" t="inlineStr">
        <is>
          <t>893885184</t>
        </is>
      </c>
    </row>
    <row r="1126">
      <c r="A1126" t="inlineStr">
        <is>
          <t>No</t>
        </is>
      </c>
      <c r="B1126" t="inlineStr">
        <is>
          <t>LB2805 .S415 1992</t>
        </is>
      </c>
      <c r="C1126" t="inlineStr">
        <is>
          <t>0                      LB 2805000S  415         1992</t>
        </is>
      </c>
      <c r="D1126" t="inlineStr">
        <is>
          <t>School leadership : a blueprint for change / Scott D. Thomson, editor.</t>
        </is>
      </c>
      <c r="F1126" t="inlineStr">
        <is>
          <t>No</t>
        </is>
      </c>
      <c r="G1126" t="inlineStr">
        <is>
          <t>1</t>
        </is>
      </c>
      <c r="H1126" t="inlineStr">
        <is>
          <t>No</t>
        </is>
      </c>
      <c r="I1126" t="inlineStr">
        <is>
          <t>No</t>
        </is>
      </c>
      <c r="J1126" t="inlineStr">
        <is>
          <t>0</t>
        </is>
      </c>
      <c r="L1126" t="inlineStr">
        <is>
          <t>Newbury Park, CA : Corwin Press, 1992.</t>
        </is>
      </c>
      <c r="M1126" t="inlineStr">
        <is>
          <t>1992</t>
        </is>
      </c>
      <c r="O1126" t="inlineStr">
        <is>
          <t>eng</t>
        </is>
      </c>
      <c r="P1126" t="inlineStr">
        <is>
          <t>cau</t>
        </is>
      </c>
      <c r="R1126" t="inlineStr">
        <is>
          <t xml:space="preserve">LB </t>
        </is>
      </c>
      <c r="S1126" t="n">
        <v>6</v>
      </c>
      <c r="T1126" t="n">
        <v>6</v>
      </c>
      <c r="U1126" t="inlineStr">
        <is>
          <t>2003-02-28</t>
        </is>
      </c>
      <c r="V1126" t="inlineStr">
        <is>
          <t>2003-02-28</t>
        </is>
      </c>
      <c r="W1126" t="inlineStr">
        <is>
          <t>1992-04-30</t>
        </is>
      </c>
      <c r="X1126" t="inlineStr">
        <is>
          <t>1992-04-30</t>
        </is>
      </c>
      <c r="Y1126" t="n">
        <v>177</v>
      </c>
      <c r="Z1126" t="n">
        <v>164</v>
      </c>
      <c r="AA1126" t="n">
        <v>204</v>
      </c>
      <c r="AB1126" t="n">
        <v>2</v>
      </c>
      <c r="AC1126" t="n">
        <v>2</v>
      </c>
      <c r="AD1126" t="n">
        <v>12</v>
      </c>
      <c r="AE1126" t="n">
        <v>13</v>
      </c>
      <c r="AF1126" t="n">
        <v>4</v>
      </c>
      <c r="AG1126" t="n">
        <v>4</v>
      </c>
      <c r="AH1126" t="n">
        <v>2</v>
      </c>
      <c r="AI1126" t="n">
        <v>3</v>
      </c>
      <c r="AJ1126" t="n">
        <v>7</v>
      </c>
      <c r="AK1126" t="n">
        <v>8</v>
      </c>
      <c r="AL1126" t="n">
        <v>1</v>
      </c>
      <c r="AM1126" t="n">
        <v>1</v>
      </c>
      <c r="AN1126" t="n">
        <v>0</v>
      </c>
      <c r="AO1126" t="n">
        <v>0</v>
      </c>
      <c r="AP1126" t="inlineStr">
        <is>
          <t>No</t>
        </is>
      </c>
      <c r="AQ1126" t="inlineStr">
        <is>
          <t>No</t>
        </is>
      </c>
      <c r="AS1126">
        <f>HYPERLINK("https://creighton-primo.hosted.exlibrisgroup.com/primo-explore/search?tab=default_tab&amp;search_scope=EVERYTHING&amp;vid=01CRU&amp;lang=en_US&amp;offset=0&amp;query=any,contains,991001934909702656","Catalog Record")</f>
        <v/>
      </c>
      <c r="AT1126">
        <f>HYPERLINK("http://www.worldcat.org/oclc/24430946","WorldCat Record")</f>
        <v/>
      </c>
      <c r="AU1126" t="inlineStr">
        <is>
          <t>836736405:eng</t>
        </is>
      </c>
      <c r="AV1126" t="inlineStr">
        <is>
          <t>24430946</t>
        </is>
      </c>
      <c r="AW1126" t="inlineStr">
        <is>
          <t>991001934909702656</t>
        </is>
      </c>
      <c r="AX1126" t="inlineStr">
        <is>
          <t>991001934909702656</t>
        </is>
      </c>
      <c r="AY1126" t="inlineStr">
        <is>
          <t>2268037080002656</t>
        </is>
      </c>
      <c r="AZ1126" t="inlineStr">
        <is>
          <t>BOOK</t>
        </is>
      </c>
      <c r="BB1126" t="inlineStr">
        <is>
          <t>9780803960138</t>
        </is>
      </c>
      <c r="BC1126" t="inlineStr">
        <is>
          <t>32285001037455</t>
        </is>
      </c>
      <c r="BD1126" t="inlineStr">
        <is>
          <t>893885654</t>
        </is>
      </c>
    </row>
    <row r="1127">
      <c r="A1127" t="inlineStr">
        <is>
          <t>No</t>
        </is>
      </c>
      <c r="B1127" t="inlineStr">
        <is>
          <t>LB2806 .C316 1999</t>
        </is>
      </c>
      <c r="C1127" t="inlineStr">
        <is>
          <t>0                      LB 2806000C  316         1999</t>
        </is>
      </c>
      <c r="D1127" t="inlineStr">
        <is>
          <t>Case studies for school administrators : managing change in education / [edited by] Maenette K. P. Ah Nee-Benham.</t>
        </is>
      </c>
      <c r="F1127" t="inlineStr">
        <is>
          <t>No</t>
        </is>
      </c>
      <c r="G1127" t="inlineStr">
        <is>
          <t>1</t>
        </is>
      </c>
      <c r="H1127" t="inlineStr">
        <is>
          <t>No</t>
        </is>
      </c>
      <c r="I1127" t="inlineStr">
        <is>
          <t>No</t>
        </is>
      </c>
      <c r="J1127" t="inlineStr">
        <is>
          <t>0</t>
        </is>
      </c>
      <c r="L1127" t="inlineStr">
        <is>
          <t>Lancaster, PA : Technomic Pub. Co., c1999.</t>
        </is>
      </c>
      <c r="M1127" t="inlineStr">
        <is>
          <t>1999</t>
        </is>
      </c>
      <c r="N1127" t="inlineStr">
        <is>
          <t>1st ed.</t>
        </is>
      </c>
      <c r="O1127" t="inlineStr">
        <is>
          <t>eng</t>
        </is>
      </c>
      <c r="P1127" t="inlineStr">
        <is>
          <t>pau</t>
        </is>
      </c>
      <c r="R1127" t="inlineStr">
        <is>
          <t xml:space="preserve">LB </t>
        </is>
      </c>
      <c r="S1127" t="n">
        <v>3</v>
      </c>
      <c r="T1127" t="n">
        <v>3</v>
      </c>
      <c r="U1127" t="inlineStr">
        <is>
          <t>2003-04-09</t>
        </is>
      </c>
      <c r="V1127" t="inlineStr">
        <is>
          <t>2003-04-09</t>
        </is>
      </c>
      <c r="W1127" t="inlineStr">
        <is>
          <t>2000-03-06</t>
        </is>
      </c>
      <c r="X1127" t="inlineStr">
        <is>
          <t>2000-03-06</t>
        </is>
      </c>
      <c r="Y1127" t="n">
        <v>148</v>
      </c>
      <c r="Z1127" t="n">
        <v>133</v>
      </c>
      <c r="AA1127" t="n">
        <v>135</v>
      </c>
      <c r="AB1127" t="n">
        <v>3</v>
      </c>
      <c r="AC1127" t="n">
        <v>3</v>
      </c>
      <c r="AD1127" t="n">
        <v>9</v>
      </c>
      <c r="AE1127" t="n">
        <v>9</v>
      </c>
      <c r="AF1127" t="n">
        <v>1</v>
      </c>
      <c r="AG1127" t="n">
        <v>1</v>
      </c>
      <c r="AH1127" t="n">
        <v>2</v>
      </c>
      <c r="AI1127" t="n">
        <v>2</v>
      </c>
      <c r="AJ1127" t="n">
        <v>6</v>
      </c>
      <c r="AK1127" t="n">
        <v>6</v>
      </c>
      <c r="AL1127" t="n">
        <v>2</v>
      </c>
      <c r="AM1127" t="n">
        <v>2</v>
      </c>
      <c r="AN1127" t="n">
        <v>0</v>
      </c>
      <c r="AO1127" t="n">
        <v>0</v>
      </c>
      <c r="AP1127" t="inlineStr">
        <is>
          <t>No</t>
        </is>
      </c>
      <c r="AQ1127" t="inlineStr">
        <is>
          <t>No</t>
        </is>
      </c>
      <c r="AS1127">
        <f>HYPERLINK("https://creighton-primo.hosted.exlibrisgroup.com/primo-explore/search?tab=default_tab&amp;search_scope=EVERYTHING&amp;vid=01CRU&amp;lang=en_US&amp;offset=0&amp;query=any,contains,991003000389702656","Catalog Record")</f>
        <v/>
      </c>
      <c r="AT1127">
        <f>HYPERLINK("http://www.worldcat.org/oclc/40632674","WorldCat Record")</f>
        <v/>
      </c>
      <c r="AU1127" t="inlineStr">
        <is>
          <t>3740836141:eng</t>
        </is>
      </c>
      <c r="AV1127" t="inlineStr">
        <is>
          <t>40632674</t>
        </is>
      </c>
      <c r="AW1127" t="inlineStr">
        <is>
          <t>991003000389702656</t>
        </is>
      </c>
      <c r="AX1127" t="inlineStr">
        <is>
          <t>991003000389702656</t>
        </is>
      </c>
      <c r="AY1127" t="inlineStr">
        <is>
          <t>2268735490002656</t>
        </is>
      </c>
      <c r="AZ1127" t="inlineStr">
        <is>
          <t>BOOK</t>
        </is>
      </c>
      <c r="BB1127" t="inlineStr">
        <is>
          <t>9781566766890</t>
        </is>
      </c>
      <c r="BC1127" t="inlineStr">
        <is>
          <t>32285003666814</t>
        </is>
      </c>
      <c r="BD1127" t="inlineStr">
        <is>
          <t>893257969</t>
        </is>
      </c>
    </row>
    <row r="1128">
      <c r="A1128" t="inlineStr">
        <is>
          <t>No</t>
        </is>
      </c>
      <c r="B1128" t="inlineStr">
        <is>
          <t>LB2806 .F62</t>
        </is>
      </c>
      <c r="C1128" t="inlineStr">
        <is>
          <t>0                      LB 2806000F  62</t>
        </is>
      </c>
      <c r="D1128" t="inlineStr">
        <is>
          <t>School climate improvement : a challenge to the school administrator / Robert S. Fox, chairman, Herbert E. Boies ... [et al.].</t>
        </is>
      </c>
      <c r="F1128" t="inlineStr">
        <is>
          <t>No</t>
        </is>
      </c>
      <c r="G1128" t="inlineStr">
        <is>
          <t>1</t>
        </is>
      </c>
      <c r="H1128" t="inlineStr">
        <is>
          <t>No</t>
        </is>
      </c>
      <c r="I1128" t="inlineStr">
        <is>
          <t>No</t>
        </is>
      </c>
      <c r="J1128" t="inlineStr">
        <is>
          <t>0</t>
        </is>
      </c>
      <c r="K1128" t="inlineStr">
        <is>
          <t>Fox, Robert S.</t>
        </is>
      </c>
      <c r="L1128" t="inlineStr">
        <is>
          <t>[Bloomington, Ind.] : Phi Delta Kappa, [197-]</t>
        </is>
      </c>
      <c r="M1128" t="inlineStr">
        <is>
          <t>1970</t>
        </is>
      </c>
      <c r="O1128" t="inlineStr">
        <is>
          <t>eng</t>
        </is>
      </c>
      <c r="P1128" t="inlineStr">
        <is>
          <t>inu</t>
        </is>
      </c>
      <c r="R1128" t="inlineStr">
        <is>
          <t xml:space="preserve">LB </t>
        </is>
      </c>
      <c r="S1128" t="n">
        <v>3</v>
      </c>
      <c r="T1128" t="n">
        <v>3</v>
      </c>
      <c r="U1128" t="inlineStr">
        <is>
          <t>2008-03-29</t>
        </is>
      </c>
      <c r="V1128" t="inlineStr">
        <is>
          <t>2008-03-29</t>
        </is>
      </c>
      <c r="W1128" t="inlineStr">
        <is>
          <t>1997-05-20</t>
        </is>
      </c>
      <c r="X1128" t="inlineStr">
        <is>
          <t>1997-05-20</t>
        </is>
      </c>
      <c r="Y1128" t="n">
        <v>250</v>
      </c>
      <c r="Z1128" t="n">
        <v>223</v>
      </c>
      <c r="AA1128" t="n">
        <v>231</v>
      </c>
      <c r="AB1128" t="n">
        <v>3</v>
      </c>
      <c r="AC1128" t="n">
        <v>3</v>
      </c>
      <c r="AD1128" t="n">
        <v>4</v>
      </c>
      <c r="AE1128" t="n">
        <v>6</v>
      </c>
      <c r="AF1128" t="n">
        <v>1</v>
      </c>
      <c r="AG1128" t="n">
        <v>1</v>
      </c>
      <c r="AH1128" t="n">
        <v>0</v>
      </c>
      <c r="AI1128" t="n">
        <v>0</v>
      </c>
      <c r="AJ1128" t="n">
        <v>2</v>
      </c>
      <c r="AK1128" t="n">
        <v>4</v>
      </c>
      <c r="AL1128" t="n">
        <v>1</v>
      </c>
      <c r="AM1128" t="n">
        <v>1</v>
      </c>
      <c r="AN1128" t="n">
        <v>0</v>
      </c>
      <c r="AO1128" t="n">
        <v>0</v>
      </c>
      <c r="AP1128" t="inlineStr">
        <is>
          <t>No</t>
        </is>
      </c>
      <c r="AQ1128" t="inlineStr">
        <is>
          <t>Yes</t>
        </is>
      </c>
      <c r="AR1128">
        <f>HYPERLINK("http://catalog.hathitrust.org/Record/000704891","HathiTrust Record")</f>
        <v/>
      </c>
      <c r="AS1128">
        <f>HYPERLINK("https://creighton-primo.hosted.exlibrisgroup.com/primo-explore/search?tab=default_tab&amp;search_scope=EVERYTHING&amp;vid=01CRU&amp;lang=en_US&amp;offset=0&amp;query=any,contains,991003829439702656","Catalog Record")</f>
        <v/>
      </c>
      <c r="AT1128">
        <f>HYPERLINK("http://www.worldcat.org/oclc/1583051","WorldCat Record")</f>
        <v/>
      </c>
      <c r="AU1128" t="inlineStr">
        <is>
          <t>2464498:eng</t>
        </is>
      </c>
      <c r="AV1128" t="inlineStr">
        <is>
          <t>1583051</t>
        </is>
      </c>
      <c r="AW1128" t="inlineStr">
        <is>
          <t>991003829439702656</t>
        </is>
      </c>
      <c r="AX1128" t="inlineStr">
        <is>
          <t>991003829439702656</t>
        </is>
      </c>
      <c r="AY1128" t="inlineStr">
        <is>
          <t>2269050820002656</t>
        </is>
      </c>
      <c r="AZ1128" t="inlineStr">
        <is>
          <t>BOOK</t>
        </is>
      </c>
      <c r="BC1128" t="inlineStr">
        <is>
          <t>32285002740255</t>
        </is>
      </c>
      <c r="BD1128" t="inlineStr">
        <is>
          <t>893887974</t>
        </is>
      </c>
    </row>
    <row r="1129">
      <c r="A1129" t="inlineStr">
        <is>
          <t>No</t>
        </is>
      </c>
      <c r="B1129" t="inlineStr">
        <is>
          <t>LB2806 .F76 2007</t>
        </is>
      </c>
      <c r="C1129" t="inlineStr">
        <is>
          <t>0                      LB 2806000F  76          2007</t>
        </is>
      </c>
      <c r="D1129" t="inlineStr">
        <is>
          <t>Learning from the best : growing greatness in the Christian school / Gene Frost.</t>
        </is>
      </c>
      <c r="F1129" t="inlineStr">
        <is>
          <t>No</t>
        </is>
      </c>
      <c r="G1129" t="inlineStr">
        <is>
          <t>1</t>
        </is>
      </c>
      <c r="H1129" t="inlineStr">
        <is>
          <t>No</t>
        </is>
      </c>
      <c r="I1129" t="inlineStr">
        <is>
          <t>No</t>
        </is>
      </c>
      <c r="J1129" t="inlineStr">
        <is>
          <t>0</t>
        </is>
      </c>
      <c r="K1129" t="inlineStr">
        <is>
          <t>Frost, Gene.</t>
        </is>
      </c>
      <c r="L1129" t="inlineStr">
        <is>
          <t>Grand Rapids, Mich. : Christian Schools International ; Colorado Springs, Co. : ACSI, c2007.</t>
        </is>
      </c>
      <c r="M1129" t="inlineStr">
        <is>
          <t>2007</t>
        </is>
      </c>
      <c r="O1129" t="inlineStr">
        <is>
          <t>eng</t>
        </is>
      </c>
      <c r="P1129" t="inlineStr">
        <is>
          <t>miu</t>
        </is>
      </c>
      <c r="R1129" t="inlineStr">
        <is>
          <t xml:space="preserve">LB </t>
        </is>
      </c>
      <c r="S1129" t="n">
        <v>1</v>
      </c>
      <c r="T1129" t="n">
        <v>1</v>
      </c>
      <c r="U1129" t="inlineStr">
        <is>
          <t>2009-08-25</t>
        </is>
      </c>
      <c r="V1129" t="inlineStr">
        <is>
          <t>2009-08-25</t>
        </is>
      </c>
      <c r="W1129" t="inlineStr">
        <is>
          <t>2009-08-25</t>
        </is>
      </c>
      <c r="X1129" t="inlineStr">
        <is>
          <t>2009-08-25</t>
        </is>
      </c>
      <c r="Y1129" t="n">
        <v>9</v>
      </c>
      <c r="Z1129" t="n">
        <v>8</v>
      </c>
      <c r="AA1129" t="n">
        <v>8</v>
      </c>
      <c r="AB1129" t="n">
        <v>1</v>
      </c>
      <c r="AC1129" t="n">
        <v>1</v>
      </c>
      <c r="AD1129" t="n">
        <v>0</v>
      </c>
      <c r="AE1129" t="n">
        <v>0</v>
      </c>
      <c r="AF1129" t="n">
        <v>0</v>
      </c>
      <c r="AG1129" t="n">
        <v>0</v>
      </c>
      <c r="AH1129" t="n">
        <v>0</v>
      </c>
      <c r="AI1129" t="n">
        <v>0</v>
      </c>
      <c r="AJ1129" t="n">
        <v>0</v>
      </c>
      <c r="AK1129" t="n">
        <v>0</v>
      </c>
      <c r="AL1129" t="n">
        <v>0</v>
      </c>
      <c r="AM1129" t="n">
        <v>0</v>
      </c>
      <c r="AN1129" t="n">
        <v>0</v>
      </c>
      <c r="AO1129" t="n">
        <v>0</v>
      </c>
      <c r="AP1129" t="inlineStr">
        <is>
          <t>No</t>
        </is>
      </c>
      <c r="AQ1129" t="inlineStr">
        <is>
          <t>No</t>
        </is>
      </c>
      <c r="AS1129">
        <f>HYPERLINK("https://creighton-primo.hosted.exlibrisgroup.com/primo-explore/search?tab=default_tab&amp;search_scope=EVERYTHING&amp;vid=01CRU&amp;lang=en_US&amp;offset=0&amp;query=any,contains,991005330579702656","Catalog Record")</f>
        <v/>
      </c>
      <c r="AT1129">
        <f>HYPERLINK("http://www.worldcat.org/oclc/317545877","WorldCat Record")</f>
        <v/>
      </c>
      <c r="AU1129" t="inlineStr">
        <is>
          <t>194941384:eng</t>
        </is>
      </c>
      <c r="AV1129" t="inlineStr">
        <is>
          <t>317545877</t>
        </is>
      </c>
      <c r="AW1129" t="inlineStr">
        <is>
          <t>991005330579702656</t>
        </is>
      </c>
      <c r="AX1129" t="inlineStr">
        <is>
          <t>991005330579702656</t>
        </is>
      </c>
      <c r="AY1129" t="inlineStr">
        <is>
          <t>2258053820002656</t>
        </is>
      </c>
      <c r="AZ1129" t="inlineStr">
        <is>
          <t>BOOK</t>
        </is>
      </c>
      <c r="BB1129" t="inlineStr">
        <is>
          <t>9780874631609</t>
        </is>
      </c>
      <c r="BC1129" t="inlineStr">
        <is>
          <t>32285005542765</t>
        </is>
      </c>
      <c r="BD1129" t="inlineStr">
        <is>
          <t>893890036</t>
        </is>
      </c>
    </row>
    <row r="1130">
      <c r="A1130" t="inlineStr">
        <is>
          <t>No</t>
        </is>
      </c>
      <c r="B1130" t="inlineStr">
        <is>
          <t>LB2806 .F792 1999</t>
        </is>
      </c>
      <c r="C1130" t="inlineStr">
        <is>
          <t>0                      LB 2806000F  792         1999</t>
        </is>
      </c>
      <c r="D1130" t="inlineStr">
        <is>
          <t>Change forces : the sequel / Michael Fullan.</t>
        </is>
      </c>
      <c r="F1130" t="inlineStr">
        <is>
          <t>No</t>
        </is>
      </c>
      <c r="G1130" t="inlineStr">
        <is>
          <t>1</t>
        </is>
      </c>
      <c r="H1130" t="inlineStr">
        <is>
          <t>No</t>
        </is>
      </c>
      <c r="I1130" t="inlineStr">
        <is>
          <t>No</t>
        </is>
      </c>
      <c r="J1130" t="inlineStr">
        <is>
          <t>0</t>
        </is>
      </c>
      <c r="K1130" t="inlineStr">
        <is>
          <t>Fullan, Michael.</t>
        </is>
      </c>
      <c r="L1130" t="inlineStr">
        <is>
          <t>London ; Philadelphia, Pa. : Falmer Press, c1999.</t>
        </is>
      </c>
      <c r="M1130" t="inlineStr">
        <is>
          <t>1999</t>
        </is>
      </c>
      <c r="O1130" t="inlineStr">
        <is>
          <t>eng</t>
        </is>
      </c>
      <c r="P1130" t="inlineStr">
        <is>
          <t>enk</t>
        </is>
      </c>
      <c r="Q1130" t="inlineStr">
        <is>
          <t>Educational change and development series</t>
        </is>
      </c>
      <c r="R1130" t="inlineStr">
        <is>
          <t xml:space="preserve">LB </t>
        </is>
      </c>
      <c r="S1130" t="n">
        <v>3</v>
      </c>
      <c r="T1130" t="n">
        <v>3</v>
      </c>
      <c r="U1130" t="inlineStr">
        <is>
          <t>2004-04-05</t>
        </is>
      </c>
      <c r="V1130" t="inlineStr">
        <is>
          <t>2004-04-05</t>
        </is>
      </c>
      <c r="W1130" t="inlineStr">
        <is>
          <t>2003-11-24</t>
        </is>
      </c>
      <c r="X1130" t="inlineStr">
        <is>
          <t>2003-11-24</t>
        </is>
      </c>
      <c r="Y1130" t="n">
        <v>471</v>
      </c>
      <c r="Z1130" t="n">
        <v>293</v>
      </c>
      <c r="AA1130" t="n">
        <v>329</v>
      </c>
      <c r="AB1130" t="n">
        <v>4</v>
      </c>
      <c r="AC1130" t="n">
        <v>4</v>
      </c>
      <c r="AD1130" t="n">
        <v>15</v>
      </c>
      <c r="AE1130" t="n">
        <v>15</v>
      </c>
      <c r="AF1130" t="n">
        <v>5</v>
      </c>
      <c r="AG1130" t="n">
        <v>5</v>
      </c>
      <c r="AH1130" t="n">
        <v>1</v>
      </c>
      <c r="AI1130" t="n">
        <v>1</v>
      </c>
      <c r="AJ1130" t="n">
        <v>8</v>
      </c>
      <c r="AK1130" t="n">
        <v>8</v>
      </c>
      <c r="AL1130" t="n">
        <v>3</v>
      </c>
      <c r="AM1130" t="n">
        <v>3</v>
      </c>
      <c r="AN1130" t="n">
        <v>0</v>
      </c>
      <c r="AO1130" t="n">
        <v>0</v>
      </c>
      <c r="AP1130" t="inlineStr">
        <is>
          <t>No</t>
        </is>
      </c>
      <c r="AQ1130" t="inlineStr">
        <is>
          <t>No</t>
        </is>
      </c>
      <c r="AS1130">
        <f>HYPERLINK("https://creighton-primo.hosted.exlibrisgroup.com/primo-explore/search?tab=default_tab&amp;search_scope=EVERYTHING&amp;vid=01CRU&amp;lang=en_US&amp;offset=0&amp;query=any,contains,991004189039702656","Catalog Record")</f>
        <v/>
      </c>
      <c r="AT1130">
        <f>HYPERLINK("http://www.worldcat.org/oclc/41363236","WorldCat Record")</f>
        <v/>
      </c>
      <c r="AU1130" t="inlineStr">
        <is>
          <t>292421067:eng</t>
        </is>
      </c>
      <c r="AV1130" t="inlineStr">
        <is>
          <t>41363236</t>
        </is>
      </c>
      <c r="AW1130" t="inlineStr">
        <is>
          <t>991004189039702656</t>
        </is>
      </c>
      <c r="AX1130" t="inlineStr">
        <is>
          <t>991004189039702656</t>
        </is>
      </c>
      <c r="AY1130" t="inlineStr">
        <is>
          <t>2269304320002656</t>
        </is>
      </c>
      <c r="AZ1130" t="inlineStr">
        <is>
          <t>BOOK</t>
        </is>
      </c>
      <c r="BB1130" t="inlineStr">
        <is>
          <t>9780750707558</t>
        </is>
      </c>
      <c r="BC1130" t="inlineStr">
        <is>
          <t>32285004841283</t>
        </is>
      </c>
      <c r="BD1130" t="inlineStr">
        <is>
          <t>893628025</t>
        </is>
      </c>
    </row>
    <row r="1131">
      <c r="A1131" t="inlineStr">
        <is>
          <t>No</t>
        </is>
      </c>
      <c r="B1131" t="inlineStr">
        <is>
          <t>LB2806 .H68 1987</t>
        </is>
      </c>
      <c r="C1131" t="inlineStr">
        <is>
          <t>0                      LB 2806000H  68          1987</t>
        </is>
      </c>
      <c r="D1131" t="inlineStr">
        <is>
          <t>Handbook for conducting school climate improvement projects / by Eugene Howard, Bruce Howell, and Edward Brainard.</t>
        </is>
      </c>
      <c r="F1131" t="inlineStr">
        <is>
          <t>No</t>
        </is>
      </c>
      <c r="G1131" t="inlineStr">
        <is>
          <t>1</t>
        </is>
      </c>
      <c r="H1131" t="inlineStr">
        <is>
          <t>No</t>
        </is>
      </c>
      <c r="I1131" t="inlineStr">
        <is>
          <t>No</t>
        </is>
      </c>
      <c r="J1131" t="inlineStr">
        <is>
          <t>0</t>
        </is>
      </c>
      <c r="K1131" t="inlineStr">
        <is>
          <t>Howard, Eugene R.</t>
        </is>
      </c>
      <c r="L1131" t="inlineStr">
        <is>
          <t>Bloomington, Ind. : Phi Delta Kappa Educational Foundation, c1987.</t>
        </is>
      </c>
      <c r="M1131" t="inlineStr">
        <is>
          <t>1987</t>
        </is>
      </c>
      <c r="O1131" t="inlineStr">
        <is>
          <t>eng</t>
        </is>
      </c>
      <c r="P1131" t="inlineStr">
        <is>
          <t>inu</t>
        </is>
      </c>
      <c r="R1131" t="inlineStr">
        <is>
          <t xml:space="preserve">LB </t>
        </is>
      </c>
      <c r="S1131" t="n">
        <v>3</v>
      </c>
      <c r="T1131" t="n">
        <v>3</v>
      </c>
      <c r="U1131" t="inlineStr">
        <is>
          <t>2004-04-05</t>
        </is>
      </c>
      <c r="V1131" t="inlineStr">
        <is>
          <t>2004-04-05</t>
        </is>
      </c>
      <c r="W1131" t="inlineStr">
        <is>
          <t>1990-07-23</t>
        </is>
      </c>
      <c r="X1131" t="inlineStr">
        <is>
          <t>1990-07-23</t>
        </is>
      </c>
      <c r="Y1131" t="n">
        <v>448</v>
      </c>
      <c r="Z1131" t="n">
        <v>419</v>
      </c>
      <c r="AA1131" t="n">
        <v>421</v>
      </c>
      <c r="AB1131" t="n">
        <v>7</v>
      </c>
      <c r="AC1131" t="n">
        <v>7</v>
      </c>
      <c r="AD1131" t="n">
        <v>16</v>
      </c>
      <c r="AE1131" t="n">
        <v>16</v>
      </c>
      <c r="AF1131" t="n">
        <v>8</v>
      </c>
      <c r="AG1131" t="n">
        <v>8</v>
      </c>
      <c r="AH1131" t="n">
        <v>2</v>
      </c>
      <c r="AI1131" t="n">
        <v>2</v>
      </c>
      <c r="AJ1131" t="n">
        <v>5</v>
      </c>
      <c r="AK1131" t="n">
        <v>5</v>
      </c>
      <c r="AL1131" t="n">
        <v>4</v>
      </c>
      <c r="AM1131" t="n">
        <v>4</v>
      </c>
      <c r="AN1131" t="n">
        <v>0</v>
      </c>
      <c r="AO1131" t="n">
        <v>0</v>
      </c>
      <c r="AP1131" t="inlineStr">
        <is>
          <t>No</t>
        </is>
      </c>
      <c r="AQ1131" t="inlineStr">
        <is>
          <t>No</t>
        </is>
      </c>
      <c r="AS1131">
        <f>HYPERLINK("https://creighton-primo.hosted.exlibrisgroup.com/primo-explore/search?tab=default_tab&amp;search_scope=EVERYTHING&amp;vid=01CRU&amp;lang=en_US&amp;offset=0&amp;query=any,contains,991001189929702656","Catalog Record")</f>
        <v/>
      </c>
      <c r="AT1131">
        <f>HYPERLINK("http://www.worldcat.org/oclc/17238799","WorldCat Record")</f>
        <v/>
      </c>
      <c r="AU1131" t="inlineStr">
        <is>
          <t>157873116:eng</t>
        </is>
      </c>
      <c r="AV1131" t="inlineStr">
        <is>
          <t>17238799</t>
        </is>
      </c>
      <c r="AW1131" t="inlineStr">
        <is>
          <t>991001189929702656</t>
        </is>
      </c>
      <c r="AX1131" t="inlineStr">
        <is>
          <t>991001189929702656</t>
        </is>
      </c>
      <c r="AY1131" t="inlineStr">
        <is>
          <t>2270336270002656</t>
        </is>
      </c>
      <c r="AZ1131" t="inlineStr">
        <is>
          <t>BOOK</t>
        </is>
      </c>
      <c r="BB1131" t="inlineStr">
        <is>
          <t>9780873677974</t>
        </is>
      </c>
      <c r="BC1131" t="inlineStr">
        <is>
          <t>32285000247477</t>
        </is>
      </c>
      <c r="BD1131" t="inlineStr">
        <is>
          <t>893715254</t>
        </is>
      </c>
    </row>
    <row r="1132">
      <c r="A1132" t="inlineStr">
        <is>
          <t>No</t>
        </is>
      </c>
      <c r="B1132" t="inlineStr">
        <is>
          <t>LB2806 .M434 2011</t>
        </is>
      </c>
      <c r="C1132" t="inlineStr">
        <is>
          <t>0                      LB 2806000M  434         2011</t>
        </is>
      </c>
      <c r="D1132" t="inlineStr">
        <is>
          <t>Case studies for educational leadership : solving administrative dilemmas / Stephen F. Midlock.</t>
        </is>
      </c>
      <c r="F1132" t="inlineStr">
        <is>
          <t>No</t>
        </is>
      </c>
      <c r="G1132" t="inlineStr">
        <is>
          <t>1</t>
        </is>
      </c>
      <c r="H1132" t="inlineStr">
        <is>
          <t>No</t>
        </is>
      </c>
      <c r="I1132" t="inlineStr">
        <is>
          <t>No</t>
        </is>
      </c>
      <c r="J1132" t="inlineStr">
        <is>
          <t>0</t>
        </is>
      </c>
      <c r="K1132" t="inlineStr">
        <is>
          <t>Midlock, Stephen F.</t>
        </is>
      </c>
      <c r="L1132" t="inlineStr">
        <is>
          <t>Upper Saddle River, N.J. : Pearson, c2011.</t>
        </is>
      </c>
      <c r="M1132" t="inlineStr">
        <is>
          <t>2011</t>
        </is>
      </c>
      <c r="O1132" t="inlineStr">
        <is>
          <t>eng</t>
        </is>
      </c>
      <c r="P1132" t="inlineStr">
        <is>
          <t>nju</t>
        </is>
      </c>
      <c r="R1132" t="inlineStr">
        <is>
          <t xml:space="preserve">LB </t>
        </is>
      </c>
      <c r="S1132" t="n">
        <v>1</v>
      </c>
      <c r="T1132" t="n">
        <v>1</v>
      </c>
      <c r="U1132" t="inlineStr">
        <is>
          <t>2010-04-06</t>
        </is>
      </c>
      <c r="V1132" t="inlineStr">
        <is>
          <t>2010-04-06</t>
        </is>
      </c>
      <c r="W1132" t="inlineStr">
        <is>
          <t>2010-04-06</t>
        </is>
      </c>
      <c r="X1132" t="inlineStr">
        <is>
          <t>2010-04-06</t>
        </is>
      </c>
      <c r="Y1132" t="n">
        <v>160</v>
      </c>
      <c r="Z1132" t="n">
        <v>126</v>
      </c>
      <c r="AA1132" t="n">
        <v>127</v>
      </c>
      <c r="AB1132" t="n">
        <v>3</v>
      </c>
      <c r="AC1132" t="n">
        <v>3</v>
      </c>
      <c r="AD1132" t="n">
        <v>10</v>
      </c>
      <c r="AE1132" t="n">
        <v>10</v>
      </c>
      <c r="AF1132" t="n">
        <v>4</v>
      </c>
      <c r="AG1132" t="n">
        <v>4</v>
      </c>
      <c r="AH1132" t="n">
        <v>2</v>
      </c>
      <c r="AI1132" t="n">
        <v>2</v>
      </c>
      <c r="AJ1132" t="n">
        <v>6</v>
      </c>
      <c r="AK1132" t="n">
        <v>6</v>
      </c>
      <c r="AL1132" t="n">
        <v>2</v>
      </c>
      <c r="AM1132" t="n">
        <v>2</v>
      </c>
      <c r="AN1132" t="n">
        <v>0</v>
      </c>
      <c r="AO1132" t="n">
        <v>0</v>
      </c>
      <c r="AP1132" t="inlineStr">
        <is>
          <t>No</t>
        </is>
      </c>
      <c r="AQ1132" t="inlineStr">
        <is>
          <t>No</t>
        </is>
      </c>
      <c r="AS1132">
        <f>HYPERLINK("https://creighton-primo.hosted.exlibrisgroup.com/primo-explore/search?tab=default_tab&amp;search_scope=EVERYTHING&amp;vid=01CRU&amp;lang=en_US&amp;offset=0&amp;query=any,contains,991005378159702656","Catalog Record")</f>
        <v/>
      </c>
      <c r="AT1132">
        <f>HYPERLINK("http://www.worldcat.org/oclc/429816955","WorldCat Record")</f>
        <v/>
      </c>
      <c r="AU1132" t="inlineStr">
        <is>
          <t>353691074:eng</t>
        </is>
      </c>
      <c r="AV1132" t="inlineStr">
        <is>
          <t>429816955</t>
        </is>
      </c>
      <c r="AW1132" t="inlineStr">
        <is>
          <t>991005378159702656</t>
        </is>
      </c>
      <c r="AX1132" t="inlineStr">
        <is>
          <t>991005378159702656</t>
        </is>
      </c>
      <c r="AY1132" t="inlineStr">
        <is>
          <t>2271280720002656</t>
        </is>
      </c>
      <c r="AZ1132" t="inlineStr">
        <is>
          <t>BOOK</t>
        </is>
      </c>
      <c r="BB1132" t="inlineStr">
        <is>
          <t>9780135094044</t>
        </is>
      </c>
      <c r="BC1132" t="inlineStr">
        <is>
          <t>32285005561534</t>
        </is>
      </c>
      <c r="BD1132" t="inlineStr">
        <is>
          <t>893521085</t>
        </is>
      </c>
    </row>
    <row r="1133">
      <c r="A1133" t="inlineStr">
        <is>
          <t>No</t>
        </is>
      </c>
      <c r="B1133" t="inlineStr">
        <is>
          <t>LB2806 .O9 1991</t>
        </is>
      </c>
      <c r="C1133" t="inlineStr">
        <is>
          <t>0                      LB 2806000O  9           1991</t>
        </is>
      </c>
      <c r="D1133" t="inlineStr">
        <is>
          <t>Organizational behavior in education / Robert G. Owens.</t>
        </is>
      </c>
      <c r="F1133" t="inlineStr">
        <is>
          <t>No</t>
        </is>
      </c>
      <c r="G1133" t="inlineStr">
        <is>
          <t>1</t>
        </is>
      </c>
      <c r="H1133" t="inlineStr">
        <is>
          <t>No</t>
        </is>
      </c>
      <c r="I1133" t="inlineStr">
        <is>
          <t>No</t>
        </is>
      </c>
      <c r="J1133" t="inlineStr">
        <is>
          <t>0</t>
        </is>
      </c>
      <c r="K1133" t="inlineStr">
        <is>
          <t>Owens, Robert G.</t>
        </is>
      </c>
      <c r="L1133" t="inlineStr">
        <is>
          <t>Englewood Cliffs, N.J. : Prentice Hall, c1991.</t>
        </is>
      </c>
      <c r="M1133" t="inlineStr">
        <is>
          <t>1991</t>
        </is>
      </c>
      <c r="N1133" t="inlineStr">
        <is>
          <t>4th ed.</t>
        </is>
      </c>
      <c r="O1133" t="inlineStr">
        <is>
          <t>eng</t>
        </is>
      </c>
      <c r="P1133" t="inlineStr">
        <is>
          <t>nju</t>
        </is>
      </c>
      <c r="R1133" t="inlineStr">
        <is>
          <t xml:space="preserve">LB </t>
        </is>
      </c>
      <c r="S1133" t="n">
        <v>2</v>
      </c>
      <c r="T1133" t="n">
        <v>2</v>
      </c>
      <c r="U1133" t="inlineStr">
        <is>
          <t>2009-11-13</t>
        </is>
      </c>
      <c r="V1133" t="inlineStr">
        <is>
          <t>2009-11-13</t>
        </is>
      </c>
      <c r="W1133" t="inlineStr">
        <is>
          <t>1991-12-30</t>
        </is>
      </c>
      <c r="X1133" t="inlineStr">
        <is>
          <t>1991-12-30</t>
        </is>
      </c>
      <c r="Y1133" t="n">
        <v>240</v>
      </c>
      <c r="Z1133" t="n">
        <v>170</v>
      </c>
      <c r="AA1133" t="n">
        <v>671</v>
      </c>
      <c r="AB1133" t="n">
        <v>2</v>
      </c>
      <c r="AC1133" t="n">
        <v>4</v>
      </c>
      <c r="AD1133" t="n">
        <v>6</v>
      </c>
      <c r="AE1133" t="n">
        <v>30</v>
      </c>
      <c r="AF1133" t="n">
        <v>1</v>
      </c>
      <c r="AG1133" t="n">
        <v>16</v>
      </c>
      <c r="AH1133" t="n">
        <v>2</v>
      </c>
      <c r="AI1133" t="n">
        <v>7</v>
      </c>
      <c r="AJ1133" t="n">
        <v>4</v>
      </c>
      <c r="AK1133" t="n">
        <v>14</v>
      </c>
      <c r="AL1133" t="n">
        <v>1</v>
      </c>
      <c r="AM1133" t="n">
        <v>3</v>
      </c>
      <c r="AN1133" t="n">
        <v>0</v>
      </c>
      <c r="AO1133" t="n">
        <v>0</v>
      </c>
      <c r="AP1133" t="inlineStr">
        <is>
          <t>No</t>
        </is>
      </c>
      <c r="AQ1133" t="inlineStr">
        <is>
          <t>Yes</t>
        </is>
      </c>
      <c r="AR1133">
        <f>HYPERLINK("http://catalog.hathitrust.org/Record/002431074","HathiTrust Record")</f>
        <v/>
      </c>
      <c r="AS1133">
        <f>HYPERLINK("https://creighton-primo.hosted.exlibrisgroup.com/primo-explore/search?tab=default_tab&amp;search_scope=EVERYTHING&amp;vid=01CRU&amp;lang=en_US&amp;offset=0&amp;query=any,contains,991001723999702656","Catalog Record")</f>
        <v/>
      </c>
      <c r="AT1133">
        <f>HYPERLINK("http://www.worldcat.org/oclc/21873550","WorldCat Record")</f>
        <v/>
      </c>
      <c r="AU1133" t="inlineStr">
        <is>
          <t>5544807:eng</t>
        </is>
      </c>
      <c r="AV1133" t="inlineStr">
        <is>
          <t>21873550</t>
        </is>
      </c>
      <c r="AW1133" t="inlineStr">
        <is>
          <t>991001723999702656</t>
        </is>
      </c>
      <c r="AX1133" t="inlineStr">
        <is>
          <t>991001723999702656</t>
        </is>
      </c>
      <c r="AY1133" t="inlineStr">
        <is>
          <t>2269106680002656</t>
        </is>
      </c>
      <c r="AZ1133" t="inlineStr">
        <is>
          <t>BOOK</t>
        </is>
      </c>
      <c r="BB1133" t="inlineStr">
        <is>
          <t>9780136425472</t>
        </is>
      </c>
      <c r="BC1133" t="inlineStr">
        <is>
          <t>32285000861897</t>
        </is>
      </c>
      <c r="BD1133" t="inlineStr">
        <is>
          <t>893503621</t>
        </is>
      </c>
    </row>
    <row r="1134">
      <c r="A1134" t="inlineStr">
        <is>
          <t>No</t>
        </is>
      </c>
      <c r="B1134" t="inlineStr">
        <is>
          <t>LB2806 .P764 1987, no.2</t>
        </is>
      </c>
      <c r="C1134" t="inlineStr">
        <is>
          <t>0                      LB 2806000P  764         1987                                        no.2</t>
        </is>
      </c>
      <c r="D1134" t="inlineStr">
        <is>
          <t>How to focus an evaluation / Brian M. Stecher, W. Alan Davis.</t>
        </is>
      </c>
      <c r="E1134" t="inlineStr">
        <is>
          <t>no.2*</t>
        </is>
      </c>
      <c r="F1134" t="inlineStr">
        <is>
          <t>No</t>
        </is>
      </c>
      <c r="G1134" t="inlineStr">
        <is>
          <t>1</t>
        </is>
      </c>
      <c r="H1134" t="inlineStr">
        <is>
          <t>No</t>
        </is>
      </c>
      <c r="I1134" t="inlineStr">
        <is>
          <t>No</t>
        </is>
      </c>
      <c r="J1134" t="inlineStr">
        <is>
          <t>0</t>
        </is>
      </c>
      <c r="K1134" t="inlineStr">
        <is>
          <t>Stecher, Brian M.</t>
        </is>
      </c>
      <c r="L1134" t="inlineStr">
        <is>
          <t>Newbury Park, Calif. : Sage Publications, c1987.</t>
        </is>
      </c>
      <c r="M1134" t="inlineStr">
        <is>
          <t>1987</t>
        </is>
      </c>
      <c r="O1134" t="inlineStr">
        <is>
          <t>eng</t>
        </is>
      </c>
      <c r="P1134" t="inlineStr">
        <is>
          <t>cau</t>
        </is>
      </c>
      <c r="Q1134" t="inlineStr">
        <is>
          <t>Program evaluation kit (2nd ed.) ; 2</t>
        </is>
      </c>
      <c r="R1134" t="inlineStr">
        <is>
          <t xml:space="preserve">LB </t>
        </is>
      </c>
      <c r="S1134" t="n">
        <v>4</v>
      </c>
      <c r="T1134" t="n">
        <v>4</v>
      </c>
      <c r="U1134" t="inlineStr">
        <is>
          <t>2001-06-06</t>
        </is>
      </c>
      <c r="V1134" t="inlineStr">
        <is>
          <t>2001-06-06</t>
        </is>
      </c>
      <c r="W1134" t="inlineStr">
        <is>
          <t>1991-03-21</t>
        </is>
      </c>
      <c r="X1134" t="inlineStr">
        <is>
          <t>1991-03-21</t>
        </is>
      </c>
      <c r="Y1134" t="n">
        <v>690</v>
      </c>
      <c r="Z1134" t="n">
        <v>486</v>
      </c>
      <c r="AA1134" t="n">
        <v>491</v>
      </c>
      <c r="AB1134" t="n">
        <v>2</v>
      </c>
      <c r="AC1134" t="n">
        <v>2</v>
      </c>
      <c r="AD1134" t="n">
        <v>22</v>
      </c>
      <c r="AE1134" t="n">
        <v>23</v>
      </c>
      <c r="AF1134" t="n">
        <v>10</v>
      </c>
      <c r="AG1134" t="n">
        <v>11</v>
      </c>
      <c r="AH1134" t="n">
        <v>5</v>
      </c>
      <c r="AI1134" t="n">
        <v>5</v>
      </c>
      <c r="AJ1134" t="n">
        <v>14</v>
      </c>
      <c r="AK1134" t="n">
        <v>14</v>
      </c>
      <c r="AL1134" t="n">
        <v>1</v>
      </c>
      <c r="AM1134" t="n">
        <v>1</v>
      </c>
      <c r="AN1134" t="n">
        <v>0</v>
      </c>
      <c r="AO1134" t="n">
        <v>0</v>
      </c>
      <c r="AP1134" t="inlineStr">
        <is>
          <t>No</t>
        </is>
      </c>
      <c r="AQ1134" t="inlineStr">
        <is>
          <t>Yes</t>
        </is>
      </c>
      <c r="AR1134">
        <f>HYPERLINK("http://catalog.hathitrust.org/Record/000921735","HathiTrust Record")</f>
        <v/>
      </c>
      <c r="AS1134">
        <f>HYPERLINK("https://creighton-primo.hosted.exlibrisgroup.com/primo-explore/search?tab=default_tab&amp;search_scope=EVERYTHING&amp;vid=01CRU&amp;lang=en_US&amp;offset=0&amp;query=any,contains,991005408779702656","Catalog Record")</f>
        <v/>
      </c>
      <c r="AT1134">
        <f>HYPERLINK("http://www.worldcat.org/oclc/17311039","WorldCat Record")</f>
        <v/>
      </c>
      <c r="AU1134" t="inlineStr">
        <is>
          <t>3740834426:eng</t>
        </is>
      </c>
      <c r="AV1134" t="inlineStr">
        <is>
          <t>17311039</t>
        </is>
      </c>
      <c r="AW1134" t="inlineStr">
        <is>
          <t>991005408779702656</t>
        </is>
      </c>
      <c r="AX1134" t="inlineStr">
        <is>
          <t>991005408779702656</t>
        </is>
      </c>
      <c r="AY1134" t="inlineStr">
        <is>
          <t>2261836910002656</t>
        </is>
      </c>
      <c r="AZ1134" t="inlineStr">
        <is>
          <t>BOOK</t>
        </is>
      </c>
      <c r="BB1134" t="inlineStr">
        <is>
          <t>9780803931275</t>
        </is>
      </c>
      <c r="BC1134" t="inlineStr">
        <is>
          <t>32285000512839</t>
        </is>
      </c>
      <c r="BD1134" t="inlineStr">
        <is>
          <t>893443970</t>
        </is>
      </c>
    </row>
    <row r="1135">
      <c r="A1135" t="inlineStr">
        <is>
          <t>No</t>
        </is>
      </c>
      <c r="B1135" t="inlineStr">
        <is>
          <t>LB2806 .P764 1987, no.4</t>
        </is>
      </c>
      <c r="C1135" t="inlineStr">
        <is>
          <t>0                      LB 2806000P  764         1987                                        no.4</t>
        </is>
      </c>
      <c r="D1135" t="inlineStr">
        <is>
          <t>How to use qualitative methods in evaluation / Michael Quinn Patton.</t>
        </is>
      </c>
      <c r="E1135" t="inlineStr">
        <is>
          <t>no.4*</t>
        </is>
      </c>
      <c r="F1135" t="inlineStr">
        <is>
          <t>No</t>
        </is>
      </c>
      <c r="G1135" t="inlineStr">
        <is>
          <t>1</t>
        </is>
      </c>
      <c r="H1135" t="inlineStr">
        <is>
          <t>No</t>
        </is>
      </c>
      <c r="I1135" t="inlineStr">
        <is>
          <t>No</t>
        </is>
      </c>
      <c r="J1135" t="inlineStr">
        <is>
          <t>0</t>
        </is>
      </c>
      <c r="K1135" t="inlineStr">
        <is>
          <t>Patton, Michael Quinn.</t>
        </is>
      </c>
      <c r="L1135" t="inlineStr">
        <is>
          <t>Newbury Park, Calif. : Sage Publications, c1987.</t>
        </is>
      </c>
      <c r="M1135" t="inlineStr">
        <is>
          <t>1987</t>
        </is>
      </c>
      <c r="O1135" t="inlineStr">
        <is>
          <t>eng</t>
        </is>
      </c>
      <c r="P1135" t="inlineStr">
        <is>
          <t>cau</t>
        </is>
      </c>
      <c r="Q1135" t="inlineStr">
        <is>
          <t>Program evaluation kit (2nd ed.) ; 4</t>
        </is>
      </c>
      <c r="R1135" t="inlineStr">
        <is>
          <t xml:space="preserve">LB </t>
        </is>
      </c>
      <c r="S1135" t="n">
        <v>8</v>
      </c>
      <c r="T1135" t="n">
        <v>8</v>
      </c>
      <c r="U1135" t="inlineStr">
        <is>
          <t>2005-07-06</t>
        </is>
      </c>
      <c r="V1135" t="inlineStr">
        <is>
          <t>2005-07-06</t>
        </is>
      </c>
      <c r="W1135" t="inlineStr">
        <is>
          <t>1991-03-21</t>
        </is>
      </c>
      <c r="X1135" t="inlineStr">
        <is>
          <t>1991-03-21</t>
        </is>
      </c>
      <c r="Y1135" t="n">
        <v>850</v>
      </c>
      <c r="Z1135" t="n">
        <v>584</v>
      </c>
      <c r="AA1135" t="n">
        <v>592</v>
      </c>
      <c r="AB1135" t="n">
        <v>4</v>
      </c>
      <c r="AC1135" t="n">
        <v>4</v>
      </c>
      <c r="AD1135" t="n">
        <v>27</v>
      </c>
      <c r="AE1135" t="n">
        <v>27</v>
      </c>
      <c r="AF1135" t="n">
        <v>13</v>
      </c>
      <c r="AG1135" t="n">
        <v>13</v>
      </c>
      <c r="AH1135" t="n">
        <v>6</v>
      </c>
      <c r="AI1135" t="n">
        <v>6</v>
      </c>
      <c r="AJ1135" t="n">
        <v>15</v>
      </c>
      <c r="AK1135" t="n">
        <v>15</v>
      </c>
      <c r="AL1135" t="n">
        <v>2</v>
      </c>
      <c r="AM1135" t="n">
        <v>2</v>
      </c>
      <c r="AN1135" t="n">
        <v>0</v>
      </c>
      <c r="AO1135" t="n">
        <v>0</v>
      </c>
      <c r="AP1135" t="inlineStr">
        <is>
          <t>No</t>
        </is>
      </c>
      <c r="AQ1135" t="inlineStr">
        <is>
          <t>Yes</t>
        </is>
      </c>
      <c r="AR1135">
        <f>HYPERLINK("http://catalog.hathitrust.org/Record/000921724","HathiTrust Record")</f>
        <v/>
      </c>
      <c r="AS1135">
        <f>HYPERLINK("https://creighton-primo.hosted.exlibrisgroup.com/primo-explore/search?tab=default_tab&amp;search_scope=EVERYTHING&amp;vid=01CRU&amp;lang=en_US&amp;offset=0&amp;query=any,contains,991005408229702656","Catalog Record")</f>
        <v/>
      </c>
      <c r="AT1135">
        <f>HYPERLINK("http://www.worldcat.org/oclc/16582058","WorldCat Record")</f>
        <v/>
      </c>
      <c r="AU1135" t="inlineStr">
        <is>
          <t>5609451592:eng</t>
        </is>
      </c>
      <c r="AV1135" t="inlineStr">
        <is>
          <t>16582058</t>
        </is>
      </c>
      <c r="AW1135" t="inlineStr">
        <is>
          <t>991005408229702656</t>
        </is>
      </c>
      <c r="AX1135" t="inlineStr">
        <is>
          <t>991005408229702656</t>
        </is>
      </c>
      <c r="AY1135" t="inlineStr">
        <is>
          <t>2261576410002656</t>
        </is>
      </c>
      <c r="AZ1135" t="inlineStr">
        <is>
          <t>BOOK</t>
        </is>
      </c>
      <c r="BB1135" t="inlineStr">
        <is>
          <t>9780803931299</t>
        </is>
      </c>
      <c r="BC1135" t="inlineStr">
        <is>
          <t>32285000512847</t>
        </is>
      </c>
      <c r="BD1135" t="inlineStr">
        <is>
          <t>893230654</t>
        </is>
      </c>
    </row>
    <row r="1136">
      <c r="A1136" t="inlineStr">
        <is>
          <t>No</t>
        </is>
      </c>
      <c r="B1136" t="inlineStr">
        <is>
          <t>LB2806 .P764 1987, no.5</t>
        </is>
      </c>
      <c r="C1136" t="inlineStr">
        <is>
          <t>0                      LB 2806000P  764         1987                                        no.5</t>
        </is>
      </c>
      <c r="D1136" t="inlineStr">
        <is>
          <t>How to assess program implementation / Jean A. King, Lynn Lyons Morris, Carol Taylor Fitz-Gibbon.</t>
        </is>
      </c>
      <c r="E1136" t="inlineStr">
        <is>
          <t>no.5*</t>
        </is>
      </c>
      <c r="F1136" t="inlineStr">
        <is>
          <t>No</t>
        </is>
      </c>
      <c r="G1136" t="inlineStr">
        <is>
          <t>1</t>
        </is>
      </c>
      <c r="H1136" t="inlineStr">
        <is>
          <t>No</t>
        </is>
      </c>
      <c r="I1136" t="inlineStr">
        <is>
          <t>No</t>
        </is>
      </c>
      <c r="J1136" t="inlineStr">
        <is>
          <t>0</t>
        </is>
      </c>
      <c r="K1136" t="inlineStr">
        <is>
          <t>King, Jean A.</t>
        </is>
      </c>
      <c r="L1136" t="inlineStr">
        <is>
          <t>Newbury Park, Calif. : Sage Publications, c1987.</t>
        </is>
      </c>
      <c r="M1136" t="inlineStr">
        <is>
          <t>1987</t>
        </is>
      </c>
      <c r="O1136" t="inlineStr">
        <is>
          <t>eng</t>
        </is>
      </c>
      <c r="P1136" t="inlineStr">
        <is>
          <t>cau</t>
        </is>
      </c>
      <c r="Q1136" t="inlineStr">
        <is>
          <t>Program evaluation kit (2nd ed.) ; 5</t>
        </is>
      </c>
      <c r="R1136" t="inlineStr">
        <is>
          <t xml:space="preserve">LB </t>
        </is>
      </c>
      <c r="S1136" t="n">
        <v>7</v>
      </c>
      <c r="T1136" t="n">
        <v>7</v>
      </c>
      <c r="U1136" t="inlineStr">
        <is>
          <t>2003-03-17</t>
        </is>
      </c>
      <c r="V1136" t="inlineStr">
        <is>
          <t>2003-03-17</t>
        </is>
      </c>
      <c r="W1136" t="inlineStr">
        <is>
          <t>1991-03-21</t>
        </is>
      </c>
      <c r="X1136" t="inlineStr">
        <is>
          <t>1991-03-21</t>
        </is>
      </c>
      <c r="Y1136" t="n">
        <v>709</v>
      </c>
      <c r="Z1136" t="n">
        <v>497</v>
      </c>
      <c r="AA1136" t="n">
        <v>500</v>
      </c>
      <c r="AB1136" t="n">
        <v>3</v>
      </c>
      <c r="AC1136" t="n">
        <v>3</v>
      </c>
      <c r="AD1136" t="n">
        <v>22</v>
      </c>
      <c r="AE1136" t="n">
        <v>22</v>
      </c>
      <c r="AF1136" t="n">
        <v>11</v>
      </c>
      <c r="AG1136" t="n">
        <v>11</v>
      </c>
      <c r="AH1136" t="n">
        <v>4</v>
      </c>
      <c r="AI1136" t="n">
        <v>4</v>
      </c>
      <c r="AJ1136" t="n">
        <v>13</v>
      </c>
      <c r="AK1136" t="n">
        <v>13</v>
      </c>
      <c r="AL1136" t="n">
        <v>2</v>
      </c>
      <c r="AM1136" t="n">
        <v>2</v>
      </c>
      <c r="AN1136" t="n">
        <v>0</v>
      </c>
      <c r="AO1136" t="n">
        <v>0</v>
      </c>
      <c r="AP1136" t="inlineStr">
        <is>
          <t>No</t>
        </is>
      </c>
      <c r="AQ1136" t="inlineStr">
        <is>
          <t>Yes</t>
        </is>
      </c>
      <c r="AR1136">
        <f>HYPERLINK("http://catalog.hathitrust.org/Record/000846136","HathiTrust Record")</f>
        <v/>
      </c>
      <c r="AS1136">
        <f>HYPERLINK("https://creighton-primo.hosted.exlibrisgroup.com/primo-explore/search?tab=default_tab&amp;search_scope=EVERYTHING&amp;vid=01CRU&amp;lang=en_US&amp;offset=0&amp;query=any,contains,991005408219702656","Catalog Record")</f>
        <v/>
      </c>
      <c r="AT1136">
        <f>HYPERLINK("http://www.worldcat.org/oclc/16581942","WorldCat Record")</f>
        <v/>
      </c>
      <c r="AU1136" t="inlineStr">
        <is>
          <t>12497672:eng</t>
        </is>
      </c>
      <c r="AV1136" t="inlineStr">
        <is>
          <t>16581942</t>
        </is>
      </c>
      <c r="AW1136" t="inlineStr">
        <is>
          <t>991005408219702656</t>
        </is>
      </c>
      <c r="AX1136" t="inlineStr">
        <is>
          <t>991005408219702656</t>
        </is>
      </c>
      <c r="AY1136" t="inlineStr">
        <is>
          <t>2258439420002656</t>
        </is>
      </c>
      <c r="AZ1136" t="inlineStr">
        <is>
          <t>BOOK</t>
        </is>
      </c>
      <c r="BB1136" t="inlineStr">
        <is>
          <t>9780803931305</t>
        </is>
      </c>
      <c r="BC1136" t="inlineStr">
        <is>
          <t>32285000512854</t>
        </is>
      </c>
      <c r="BD1136" t="inlineStr">
        <is>
          <t>893533798</t>
        </is>
      </c>
    </row>
    <row r="1137">
      <c r="A1137" t="inlineStr">
        <is>
          <t>No</t>
        </is>
      </c>
      <c r="B1137" t="inlineStr">
        <is>
          <t>LB2806 .P764 1987, no.7</t>
        </is>
      </c>
      <c r="C1137" t="inlineStr">
        <is>
          <t>0                      LB 2806000P  764         1987                                        no.7</t>
        </is>
      </c>
      <c r="D1137" t="inlineStr">
        <is>
          <t>How to measure performance and use tests / Lynn Lyons Morris, Carol Taylor Fitz-Gibbon, Elaine Lindheim.</t>
        </is>
      </c>
      <c r="E1137" t="inlineStr">
        <is>
          <t>no.7*</t>
        </is>
      </c>
      <c r="F1137" t="inlineStr">
        <is>
          <t>No</t>
        </is>
      </c>
      <c r="G1137" t="inlineStr">
        <is>
          <t>1</t>
        </is>
      </c>
      <c r="H1137" t="inlineStr">
        <is>
          <t>No</t>
        </is>
      </c>
      <c r="I1137" t="inlineStr">
        <is>
          <t>No</t>
        </is>
      </c>
      <c r="J1137" t="inlineStr">
        <is>
          <t>0</t>
        </is>
      </c>
      <c r="K1137" t="inlineStr">
        <is>
          <t>Morris, Lynn Lyons.</t>
        </is>
      </c>
      <c r="L1137" t="inlineStr">
        <is>
          <t>Newbury Park, Calif. : Sage Publications, c1987.</t>
        </is>
      </c>
      <c r="M1137" t="inlineStr">
        <is>
          <t>1987</t>
        </is>
      </c>
      <c r="O1137" t="inlineStr">
        <is>
          <t>eng</t>
        </is>
      </c>
      <c r="P1137" t="inlineStr">
        <is>
          <t>cau</t>
        </is>
      </c>
      <c r="Q1137" t="inlineStr">
        <is>
          <t>Program evaluation kit (2nd ed.) ; 7</t>
        </is>
      </c>
      <c r="R1137" t="inlineStr">
        <is>
          <t xml:space="preserve">LB </t>
        </is>
      </c>
      <c r="S1137" t="n">
        <v>7</v>
      </c>
      <c r="T1137" t="n">
        <v>7</v>
      </c>
      <c r="U1137" t="inlineStr">
        <is>
          <t>2003-03-17</t>
        </is>
      </c>
      <c r="V1137" t="inlineStr">
        <is>
          <t>2003-03-17</t>
        </is>
      </c>
      <c r="W1137" t="inlineStr">
        <is>
          <t>1991-03-21</t>
        </is>
      </c>
      <c r="X1137" t="inlineStr">
        <is>
          <t>1991-03-21</t>
        </is>
      </c>
      <c r="Y1137" t="n">
        <v>691</v>
      </c>
      <c r="Z1137" t="n">
        <v>479</v>
      </c>
      <c r="AA1137" t="n">
        <v>482</v>
      </c>
      <c r="AB1137" t="n">
        <v>2</v>
      </c>
      <c r="AC1137" t="n">
        <v>2</v>
      </c>
      <c r="AD1137" t="n">
        <v>19</v>
      </c>
      <c r="AE1137" t="n">
        <v>19</v>
      </c>
      <c r="AF1137" t="n">
        <v>9</v>
      </c>
      <c r="AG1137" t="n">
        <v>9</v>
      </c>
      <c r="AH1137" t="n">
        <v>5</v>
      </c>
      <c r="AI1137" t="n">
        <v>5</v>
      </c>
      <c r="AJ1137" t="n">
        <v>12</v>
      </c>
      <c r="AK1137" t="n">
        <v>12</v>
      </c>
      <c r="AL1137" t="n">
        <v>1</v>
      </c>
      <c r="AM1137" t="n">
        <v>1</v>
      </c>
      <c r="AN1137" t="n">
        <v>0</v>
      </c>
      <c r="AO1137" t="n">
        <v>0</v>
      </c>
      <c r="AP1137" t="inlineStr">
        <is>
          <t>No</t>
        </is>
      </c>
      <c r="AQ1137" t="inlineStr">
        <is>
          <t>Yes</t>
        </is>
      </c>
      <c r="AR1137">
        <f>HYPERLINK("http://catalog.hathitrust.org/Record/000921727","HathiTrust Record")</f>
        <v/>
      </c>
      <c r="AS1137">
        <f>HYPERLINK("https://creighton-primo.hosted.exlibrisgroup.com/primo-explore/search?tab=default_tab&amp;search_scope=EVERYTHING&amp;vid=01CRU&amp;lang=en_US&amp;offset=0&amp;query=any,contains,991005408239702656","Catalog Record")</f>
        <v/>
      </c>
      <c r="AT1137">
        <f>HYPERLINK("http://www.worldcat.org/oclc/16646450","WorldCat Record")</f>
        <v/>
      </c>
      <c r="AU1137" t="inlineStr">
        <is>
          <t>8907221604:eng</t>
        </is>
      </c>
      <c r="AV1137" t="inlineStr">
        <is>
          <t>16646450</t>
        </is>
      </c>
      <c r="AW1137" t="inlineStr">
        <is>
          <t>991005408239702656</t>
        </is>
      </c>
      <c r="AX1137" t="inlineStr">
        <is>
          <t>991005408239702656</t>
        </is>
      </c>
      <c r="AY1137" t="inlineStr">
        <is>
          <t>2262934860002656</t>
        </is>
      </c>
      <c r="AZ1137" t="inlineStr">
        <is>
          <t>BOOK</t>
        </is>
      </c>
      <c r="BB1137" t="inlineStr">
        <is>
          <t>9780803931329</t>
        </is>
      </c>
      <c r="BC1137" t="inlineStr">
        <is>
          <t>32285000512862</t>
        </is>
      </c>
      <c r="BD1137" t="inlineStr">
        <is>
          <t>893701532</t>
        </is>
      </c>
    </row>
    <row r="1138">
      <c r="A1138" t="inlineStr">
        <is>
          <t>No</t>
        </is>
      </c>
      <c r="B1138" t="inlineStr">
        <is>
          <t>LB2806 .P764 1987, no.9</t>
        </is>
      </c>
      <c r="C1138" t="inlineStr">
        <is>
          <t>0                      LB 2806000P  764         1987                                        no.9</t>
        </is>
      </c>
      <c r="D1138" t="inlineStr">
        <is>
          <t>How to communicate evaluation findings / Lynn Lyons Morris, Carol Taylor Fitz-Gibbon, Marie E. Freeman.</t>
        </is>
      </c>
      <c r="E1138" t="inlineStr">
        <is>
          <t>no.9*</t>
        </is>
      </c>
      <c r="F1138" t="inlineStr">
        <is>
          <t>No</t>
        </is>
      </c>
      <c r="G1138" t="inlineStr">
        <is>
          <t>1</t>
        </is>
      </c>
      <c r="H1138" t="inlineStr">
        <is>
          <t>No</t>
        </is>
      </c>
      <c r="I1138" t="inlineStr">
        <is>
          <t>No</t>
        </is>
      </c>
      <c r="J1138" t="inlineStr">
        <is>
          <t>0</t>
        </is>
      </c>
      <c r="K1138" t="inlineStr">
        <is>
          <t>Morris, Lynn Lyons.</t>
        </is>
      </c>
      <c r="L1138" t="inlineStr">
        <is>
          <t>Newbury Park, Calif. : Sage Publications, c1987.</t>
        </is>
      </c>
      <c r="M1138" t="inlineStr">
        <is>
          <t>1987</t>
        </is>
      </c>
      <c r="O1138" t="inlineStr">
        <is>
          <t>eng</t>
        </is>
      </c>
      <c r="P1138" t="inlineStr">
        <is>
          <t>cau</t>
        </is>
      </c>
      <c r="Q1138" t="inlineStr">
        <is>
          <t>Program evaluation kit (2nd ed.) ; 9</t>
        </is>
      </c>
      <c r="R1138" t="inlineStr">
        <is>
          <t xml:space="preserve">LB </t>
        </is>
      </c>
      <c r="S1138" t="n">
        <v>3</v>
      </c>
      <c r="T1138" t="n">
        <v>3</v>
      </c>
      <c r="U1138" t="inlineStr">
        <is>
          <t>1996-06-04</t>
        </is>
      </c>
      <c r="V1138" t="inlineStr">
        <is>
          <t>1996-06-04</t>
        </is>
      </c>
      <c r="W1138" t="inlineStr">
        <is>
          <t>1991-03-21</t>
        </is>
      </c>
      <c r="X1138" t="inlineStr">
        <is>
          <t>1991-03-21</t>
        </is>
      </c>
      <c r="Y1138" t="n">
        <v>716</v>
      </c>
      <c r="Z1138" t="n">
        <v>501</v>
      </c>
      <c r="AA1138" t="n">
        <v>508</v>
      </c>
      <c r="AB1138" t="n">
        <v>3</v>
      </c>
      <c r="AC1138" t="n">
        <v>3</v>
      </c>
      <c r="AD1138" t="n">
        <v>22</v>
      </c>
      <c r="AE1138" t="n">
        <v>22</v>
      </c>
      <c r="AF1138" t="n">
        <v>9</v>
      </c>
      <c r="AG1138" t="n">
        <v>9</v>
      </c>
      <c r="AH1138" t="n">
        <v>6</v>
      </c>
      <c r="AI1138" t="n">
        <v>6</v>
      </c>
      <c r="AJ1138" t="n">
        <v>13</v>
      </c>
      <c r="AK1138" t="n">
        <v>13</v>
      </c>
      <c r="AL1138" t="n">
        <v>2</v>
      </c>
      <c r="AM1138" t="n">
        <v>2</v>
      </c>
      <c r="AN1138" t="n">
        <v>0</v>
      </c>
      <c r="AO1138" t="n">
        <v>0</v>
      </c>
      <c r="AP1138" t="inlineStr">
        <is>
          <t>No</t>
        </is>
      </c>
      <c r="AQ1138" t="inlineStr">
        <is>
          <t>Yes</t>
        </is>
      </c>
      <c r="AR1138">
        <f>HYPERLINK("http://catalog.hathitrust.org/Record/000921743","HathiTrust Record")</f>
        <v/>
      </c>
      <c r="AS1138">
        <f>HYPERLINK("https://creighton-primo.hosted.exlibrisgroup.com/primo-explore/search?tab=default_tab&amp;search_scope=EVERYTHING&amp;vid=01CRU&amp;lang=en_US&amp;offset=0&amp;query=any,contains,991001122109702656","Catalog Record")</f>
        <v/>
      </c>
      <c r="AT1138">
        <f>HYPERLINK("http://www.worldcat.org/oclc/16581968","WorldCat Record")</f>
        <v/>
      </c>
      <c r="AU1138" t="inlineStr">
        <is>
          <t>5609250815:eng</t>
        </is>
      </c>
      <c r="AV1138" t="inlineStr">
        <is>
          <t>16581968</t>
        </is>
      </c>
      <c r="AW1138" t="inlineStr">
        <is>
          <t>991001122109702656</t>
        </is>
      </c>
      <c r="AX1138" t="inlineStr">
        <is>
          <t>991001122109702656</t>
        </is>
      </c>
      <c r="AY1138" t="inlineStr">
        <is>
          <t>2258437070002656</t>
        </is>
      </c>
      <c r="AZ1138" t="inlineStr">
        <is>
          <t>BOOK</t>
        </is>
      </c>
      <c r="BB1138" t="inlineStr">
        <is>
          <t>9780803931343</t>
        </is>
      </c>
      <c r="BC1138" t="inlineStr">
        <is>
          <t>32285000512888</t>
        </is>
      </c>
      <c r="BD1138" t="inlineStr">
        <is>
          <t>893249997</t>
        </is>
      </c>
    </row>
    <row r="1139">
      <c r="A1139" t="inlineStr">
        <is>
          <t>No</t>
        </is>
      </c>
      <c r="B1139" t="inlineStr">
        <is>
          <t>LB2806 .P764 no. 2</t>
        </is>
      </c>
      <c r="C1139" t="inlineStr">
        <is>
          <t>0                      LB 2806000P  764                                                     no. 2</t>
        </is>
      </c>
      <c r="D1139" t="inlineStr">
        <is>
          <t>How to deal with goals and objectives / Lynn Lyons Morris and Carol Taylor Fitz-Gibbon. --</t>
        </is>
      </c>
      <c r="E1139" t="inlineStr">
        <is>
          <t>no. 2*</t>
        </is>
      </c>
      <c r="F1139" t="inlineStr">
        <is>
          <t>No</t>
        </is>
      </c>
      <c r="G1139" t="inlineStr">
        <is>
          <t>1</t>
        </is>
      </c>
      <c r="H1139" t="inlineStr">
        <is>
          <t>No</t>
        </is>
      </c>
      <c r="I1139" t="inlineStr">
        <is>
          <t>No</t>
        </is>
      </c>
      <c r="J1139" t="inlineStr">
        <is>
          <t>0</t>
        </is>
      </c>
      <c r="K1139" t="inlineStr">
        <is>
          <t>Morris, Lynn Lyons.</t>
        </is>
      </c>
      <c r="L1139" t="inlineStr">
        <is>
          <t>Beverly Hills, Calif. : Sage Publications, c1978.</t>
        </is>
      </c>
      <c r="M1139" t="inlineStr">
        <is>
          <t>1978</t>
        </is>
      </c>
      <c r="O1139" t="inlineStr">
        <is>
          <t>eng</t>
        </is>
      </c>
      <c r="P1139" t="inlineStr">
        <is>
          <t>cau</t>
        </is>
      </c>
      <c r="Q1139" t="inlineStr">
        <is>
          <t>Program evaluation kit ; no. 2</t>
        </is>
      </c>
      <c r="R1139" t="inlineStr">
        <is>
          <t xml:space="preserve">LB </t>
        </is>
      </c>
      <c r="S1139" t="n">
        <v>3</v>
      </c>
      <c r="T1139" t="n">
        <v>3</v>
      </c>
      <c r="U1139" t="inlineStr">
        <is>
          <t>1996-01-25</t>
        </is>
      </c>
      <c r="V1139" t="inlineStr">
        <is>
          <t>1996-01-25</t>
        </is>
      </c>
      <c r="W1139" t="inlineStr">
        <is>
          <t>1992-08-12</t>
        </is>
      </c>
      <c r="X1139" t="inlineStr">
        <is>
          <t>1992-08-12</t>
        </is>
      </c>
      <c r="Y1139" t="n">
        <v>669</v>
      </c>
      <c r="Z1139" t="n">
        <v>540</v>
      </c>
      <c r="AA1139" t="n">
        <v>542</v>
      </c>
      <c r="AB1139" t="n">
        <v>4</v>
      </c>
      <c r="AC1139" t="n">
        <v>4</v>
      </c>
      <c r="AD1139" t="n">
        <v>19</v>
      </c>
      <c r="AE1139" t="n">
        <v>19</v>
      </c>
      <c r="AF1139" t="n">
        <v>8</v>
      </c>
      <c r="AG1139" t="n">
        <v>8</v>
      </c>
      <c r="AH1139" t="n">
        <v>3</v>
      </c>
      <c r="AI1139" t="n">
        <v>3</v>
      </c>
      <c r="AJ1139" t="n">
        <v>11</v>
      </c>
      <c r="AK1139" t="n">
        <v>11</v>
      </c>
      <c r="AL1139" t="n">
        <v>2</v>
      </c>
      <c r="AM1139" t="n">
        <v>2</v>
      </c>
      <c r="AN1139" t="n">
        <v>0</v>
      </c>
      <c r="AO1139" t="n">
        <v>0</v>
      </c>
      <c r="AP1139" t="inlineStr">
        <is>
          <t>No</t>
        </is>
      </c>
      <c r="AQ1139" t="inlineStr">
        <is>
          <t>Yes</t>
        </is>
      </c>
      <c r="AR1139">
        <f>HYPERLINK("http://catalog.hathitrust.org/Record/007475400","HathiTrust Record")</f>
        <v/>
      </c>
      <c r="AS1139">
        <f>HYPERLINK("https://creighton-primo.hosted.exlibrisgroup.com/primo-explore/search?tab=default_tab&amp;search_scope=EVERYTHING&amp;vid=01CRU&amp;lang=en_US&amp;offset=0&amp;query=any,contains,991005254749702656","Catalog Record")</f>
        <v/>
      </c>
      <c r="AT1139">
        <f>HYPERLINK("http://www.worldcat.org/oclc/4359662","WorldCat Record")</f>
        <v/>
      </c>
      <c r="AU1139" t="inlineStr">
        <is>
          <t>456981:eng</t>
        </is>
      </c>
      <c r="AV1139" t="inlineStr">
        <is>
          <t>4359662</t>
        </is>
      </c>
      <c r="AW1139" t="inlineStr">
        <is>
          <t>991005254749702656</t>
        </is>
      </c>
      <c r="AX1139" t="inlineStr">
        <is>
          <t>991005254749702656</t>
        </is>
      </c>
      <c r="AY1139" t="inlineStr">
        <is>
          <t>2267693600002656</t>
        </is>
      </c>
      <c r="AZ1139" t="inlineStr">
        <is>
          <t>BOOK</t>
        </is>
      </c>
      <c r="BB1139" t="inlineStr">
        <is>
          <t>9780803910652</t>
        </is>
      </c>
      <c r="BC1139" t="inlineStr">
        <is>
          <t>32285001254209</t>
        </is>
      </c>
      <c r="BD1139" t="inlineStr">
        <is>
          <t>893350988</t>
        </is>
      </c>
    </row>
    <row r="1140">
      <c r="A1140" t="inlineStr">
        <is>
          <t>No</t>
        </is>
      </c>
      <c r="B1140" t="inlineStr">
        <is>
          <t>LB2806 .P764 no. 3</t>
        </is>
      </c>
      <c r="C1140" t="inlineStr">
        <is>
          <t>0                      LB 2806000P  764                                                     no. 3</t>
        </is>
      </c>
      <c r="D1140" t="inlineStr">
        <is>
          <t>How to design a program evaluation / Carol Taylor Fitz-Gibbon and Lynn Lyons Morris. --</t>
        </is>
      </c>
      <c r="E1140" t="inlineStr">
        <is>
          <t>no. 3*</t>
        </is>
      </c>
      <c r="F1140" t="inlineStr">
        <is>
          <t>No</t>
        </is>
      </c>
      <c r="G1140" t="inlineStr">
        <is>
          <t>1</t>
        </is>
      </c>
      <c r="H1140" t="inlineStr">
        <is>
          <t>No</t>
        </is>
      </c>
      <c r="I1140" t="inlineStr">
        <is>
          <t>No</t>
        </is>
      </c>
      <c r="J1140" t="inlineStr">
        <is>
          <t>0</t>
        </is>
      </c>
      <c r="K1140" t="inlineStr">
        <is>
          <t>Fitz-Gibbon, Carol Taylor.</t>
        </is>
      </c>
      <c r="L1140" t="inlineStr">
        <is>
          <t>Beverly Hills, Calif. : Sage Publications, c1978.</t>
        </is>
      </c>
      <c r="M1140" t="inlineStr">
        <is>
          <t>1978</t>
        </is>
      </c>
      <c r="O1140" t="inlineStr">
        <is>
          <t>eng</t>
        </is>
      </c>
      <c r="P1140" t="inlineStr">
        <is>
          <t>cau</t>
        </is>
      </c>
      <c r="Q1140" t="inlineStr">
        <is>
          <t>Program evaluation kit ; no. 3</t>
        </is>
      </c>
      <c r="R1140" t="inlineStr">
        <is>
          <t xml:space="preserve">LB </t>
        </is>
      </c>
      <c r="S1140" t="n">
        <v>6</v>
      </c>
      <c r="T1140" t="n">
        <v>6</v>
      </c>
      <c r="U1140" t="inlineStr">
        <is>
          <t>2003-03-17</t>
        </is>
      </c>
      <c r="V1140" t="inlineStr">
        <is>
          <t>2003-03-17</t>
        </is>
      </c>
      <c r="W1140" t="inlineStr">
        <is>
          <t>1992-08-12</t>
        </is>
      </c>
      <c r="X1140" t="inlineStr">
        <is>
          <t>1992-08-12</t>
        </is>
      </c>
      <c r="Y1140" t="n">
        <v>702</v>
      </c>
      <c r="Z1140" t="n">
        <v>573</v>
      </c>
      <c r="AA1140" t="n">
        <v>927</v>
      </c>
      <c r="AB1140" t="n">
        <v>4</v>
      </c>
      <c r="AC1140" t="n">
        <v>5</v>
      </c>
      <c r="AD1140" t="n">
        <v>19</v>
      </c>
      <c r="AE1140" t="n">
        <v>33</v>
      </c>
      <c r="AF1140" t="n">
        <v>8</v>
      </c>
      <c r="AG1140" t="n">
        <v>17</v>
      </c>
      <c r="AH1140" t="n">
        <v>2</v>
      </c>
      <c r="AI1140" t="n">
        <v>7</v>
      </c>
      <c r="AJ1140" t="n">
        <v>12</v>
      </c>
      <c r="AK1140" t="n">
        <v>18</v>
      </c>
      <c r="AL1140" t="n">
        <v>2</v>
      </c>
      <c r="AM1140" t="n">
        <v>3</v>
      </c>
      <c r="AN1140" t="n">
        <v>0</v>
      </c>
      <c r="AO1140" t="n">
        <v>0</v>
      </c>
      <c r="AP1140" t="inlineStr">
        <is>
          <t>No</t>
        </is>
      </c>
      <c r="AQ1140" t="inlineStr">
        <is>
          <t>No</t>
        </is>
      </c>
      <c r="AS1140">
        <f>HYPERLINK("https://creighton-primo.hosted.exlibrisgroup.com/primo-explore/search?tab=default_tab&amp;search_scope=EVERYTHING&amp;vid=01CRU&amp;lang=en_US&amp;offset=0&amp;query=any,contains,991004629099702656","Catalog Record")</f>
        <v/>
      </c>
      <c r="AT1140">
        <f>HYPERLINK("http://www.worldcat.org/oclc/4359673","WorldCat Record")</f>
        <v/>
      </c>
      <c r="AU1140" t="inlineStr">
        <is>
          <t>12222600:eng</t>
        </is>
      </c>
      <c r="AV1140" t="inlineStr">
        <is>
          <t>4359673</t>
        </is>
      </c>
      <c r="AW1140" t="inlineStr">
        <is>
          <t>991004629099702656</t>
        </is>
      </c>
      <c r="AX1140" t="inlineStr">
        <is>
          <t>991004629099702656</t>
        </is>
      </c>
      <c r="AY1140" t="inlineStr">
        <is>
          <t>2267675070002656</t>
        </is>
      </c>
      <c r="AZ1140" t="inlineStr">
        <is>
          <t>BOOK</t>
        </is>
      </c>
      <c r="BB1140" t="inlineStr">
        <is>
          <t>9780803910683</t>
        </is>
      </c>
      <c r="BC1140" t="inlineStr">
        <is>
          <t>32285001254217</t>
        </is>
      </c>
      <c r="BD1140" t="inlineStr">
        <is>
          <t>893507069</t>
        </is>
      </c>
    </row>
    <row r="1141">
      <c r="A1141" t="inlineStr">
        <is>
          <t>No</t>
        </is>
      </c>
      <c r="B1141" t="inlineStr">
        <is>
          <t>LB2806 .P764 no. 4</t>
        </is>
      </c>
      <c r="C1141" t="inlineStr">
        <is>
          <t>0                      LB 2806000P  764                                                     no. 4</t>
        </is>
      </c>
      <c r="D1141" t="inlineStr">
        <is>
          <t>How to measure program implementation / Lynn Lyons Morris and Carol Taylor Fitz-Gibbon. --</t>
        </is>
      </c>
      <c r="E1141" t="inlineStr">
        <is>
          <t>no. 4*</t>
        </is>
      </c>
      <c r="F1141" t="inlineStr">
        <is>
          <t>No</t>
        </is>
      </c>
      <c r="G1141" t="inlineStr">
        <is>
          <t>1</t>
        </is>
      </c>
      <c r="H1141" t="inlineStr">
        <is>
          <t>No</t>
        </is>
      </c>
      <c r="I1141" t="inlineStr">
        <is>
          <t>No</t>
        </is>
      </c>
      <c r="J1141" t="inlineStr">
        <is>
          <t>0</t>
        </is>
      </c>
      <c r="K1141" t="inlineStr">
        <is>
          <t>Morris, Lynn Lyons.</t>
        </is>
      </c>
      <c r="L1141" t="inlineStr">
        <is>
          <t>Beverly Hills, Calif. : Sage Publications, c1978.</t>
        </is>
      </c>
      <c r="M1141" t="inlineStr">
        <is>
          <t>1978</t>
        </is>
      </c>
      <c r="O1141" t="inlineStr">
        <is>
          <t>eng</t>
        </is>
      </c>
      <c r="P1141" t="inlineStr">
        <is>
          <t>cau</t>
        </is>
      </c>
      <c r="Q1141" t="inlineStr">
        <is>
          <t>Program evaluation kit ; no. 4</t>
        </is>
      </c>
      <c r="R1141" t="inlineStr">
        <is>
          <t xml:space="preserve">LB </t>
        </is>
      </c>
      <c r="S1141" t="n">
        <v>1</v>
      </c>
      <c r="T1141" t="n">
        <v>1</v>
      </c>
      <c r="U1141" t="inlineStr">
        <is>
          <t>1997-03-05</t>
        </is>
      </c>
      <c r="V1141" t="inlineStr">
        <is>
          <t>1997-03-05</t>
        </is>
      </c>
      <c r="W1141" t="inlineStr">
        <is>
          <t>1992-08-12</t>
        </is>
      </c>
      <c r="X1141" t="inlineStr">
        <is>
          <t>1992-08-12</t>
        </is>
      </c>
      <c r="Y1141" t="n">
        <v>673</v>
      </c>
      <c r="Z1141" t="n">
        <v>533</v>
      </c>
      <c r="AA1141" t="n">
        <v>551</v>
      </c>
      <c r="AB1141" t="n">
        <v>4</v>
      </c>
      <c r="AC1141" t="n">
        <v>4</v>
      </c>
      <c r="AD1141" t="n">
        <v>20</v>
      </c>
      <c r="AE1141" t="n">
        <v>21</v>
      </c>
      <c r="AF1141" t="n">
        <v>10</v>
      </c>
      <c r="AG1141" t="n">
        <v>11</v>
      </c>
      <c r="AH1141" t="n">
        <v>2</v>
      </c>
      <c r="AI1141" t="n">
        <v>2</v>
      </c>
      <c r="AJ1141" t="n">
        <v>11</v>
      </c>
      <c r="AK1141" t="n">
        <v>11</v>
      </c>
      <c r="AL1141" t="n">
        <v>2</v>
      </c>
      <c r="AM1141" t="n">
        <v>2</v>
      </c>
      <c r="AN1141" t="n">
        <v>0</v>
      </c>
      <c r="AO1141" t="n">
        <v>0</v>
      </c>
      <c r="AP1141" t="inlineStr">
        <is>
          <t>No</t>
        </is>
      </c>
      <c r="AQ1141" t="inlineStr">
        <is>
          <t>No</t>
        </is>
      </c>
      <c r="AS1141">
        <f>HYPERLINK("https://creighton-primo.hosted.exlibrisgroup.com/primo-explore/search?tab=default_tab&amp;search_scope=EVERYTHING&amp;vid=01CRU&amp;lang=en_US&amp;offset=0&amp;query=any,contains,991004629109702656","Catalog Record")</f>
        <v/>
      </c>
      <c r="AT1141">
        <f>HYPERLINK("http://www.worldcat.org/oclc/4359676","WorldCat Record")</f>
        <v/>
      </c>
      <c r="AU1141" t="inlineStr">
        <is>
          <t>14654855:eng</t>
        </is>
      </c>
      <c r="AV1141" t="inlineStr">
        <is>
          <t>4359676</t>
        </is>
      </c>
      <c r="AW1141" t="inlineStr">
        <is>
          <t>991004629109702656</t>
        </is>
      </c>
      <c r="AX1141" t="inlineStr">
        <is>
          <t>991004629109702656</t>
        </is>
      </c>
      <c r="AY1141" t="inlineStr">
        <is>
          <t>2267675790002656</t>
        </is>
      </c>
      <c r="AZ1141" t="inlineStr">
        <is>
          <t>BOOK</t>
        </is>
      </c>
      <c r="BB1141" t="inlineStr">
        <is>
          <t>9780803910669</t>
        </is>
      </c>
      <c r="BC1141" t="inlineStr">
        <is>
          <t>32285001254225</t>
        </is>
      </c>
      <c r="BD1141" t="inlineStr">
        <is>
          <t>893417828</t>
        </is>
      </c>
    </row>
    <row r="1142">
      <c r="A1142" t="inlineStr">
        <is>
          <t>No</t>
        </is>
      </c>
      <c r="B1142" t="inlineStr">
        <is>
          <t>LB2806 .P764 no.5</t>
        </is>
      </c>
      <c r="C1142" t="inlineStr">
        <is>
          <t>0                      LB 2806000P  764                                                     no.5</t>
        </is>
      </c>
      <c r="D1142" t="inlineStr">
        <is>
          <t>How to measure attitudes / Marlene E. Henerson, Lynn Lyons Morris, Carol Taylor Fitz-Gibbon.</t>
        </is>
      </c>
      <c r="E1142" t="inlineStr">
        <is>
          <t>no.5*</t>
        </is>
      </c>
      <c r="F1142" t="inlineStr">
        <is>
          <t>No</t>
        </is>
      </c>
      <c r="G1142" t="inlineStr">
        <is>
          <t>1</t>
        </is>
      </c>
      <c r="H1142" t="inlineStr">
        <is>
          <t>No</t>
        </is>
      </c>
      <c r="I1142" t="inlineStr">
        <is>
          <t>No</t>
        </is>
      </c>
      <c r="J1142" t="inlineStr">
        <is>
          <t>0</t>
        </is>
      </c>
      <c r="K1142" t="inlineStr">
        <is>
          <t>Henerson, Marlene E.</t>
        </is>
      </c>
      <c r="L1142" t="inlineStr">
        <is>
          <t>Beverly Hills, Calif. : Sage Publications, c1978.</t>
        </is>
      </c>
      <c r="M1142" t="inlineStr">
        <is>
          <t>1978</t>
        </is>
      </c>
      <c r="O1142" t="inlineStr">
        <is>
          <t>eng</t>
        </is>
      </c>
      <c r="P1142" t="inlineStr">
        <is>
          <t>cau</t>
        </is>
      </c>
      <c r="Q1142" t="inlineStr">
        <is>
          <t>Program evaluation kit ; no. 5</t>
        </is>
      </c>
      <c r="R1142" t="inlineStr">
        <is>
          <t xml:space="preserve">LB </t>
        </is>
      </c>
      <c r="S1142" t="n">
        <v>1</v>
      </c>
      <c r="T1142" t="n">
        <v>1</v>
      </c>
      <c r="U1142" t="inlineStr">
        <is>
          <t>1997-03-05</t>
        </is>
      </c>
      <c r="V1142" t="inlineStr">
        <is>
          <t>1997-03-05</t>
        </is>
      </c>
      <c r="W1142" t="inlineStr">
        <is>
          <t>1992-08-12</t>
        </is>
      </c>
      <c r="X1142" t="inlineStr">
        <is>
          <t>1992-08-12</t>
        </is>
      </c>
      <c r="Y1142" t="n">
        <v>737</v>
      </c>
      <c r="Z1142" t="n">
        <v>614</v>
      </c>
      <c r="AA1142" t="n">
        <v>976</v>
      </c>
      <c r="AB1142" t="n">
        <v>4</v>
      </c>
      <c r="AC1142" t="n">
        <v>7</v>
      </c>
      <c r="AD1142" t="n">
        <v>22</v>
      </c>
      <c r="AE1142" t="n">
        <v>40</v>
      </c>
      <c r="AF1142" t="n">
        <v>9</v>
      </c>
      <c r="AG1142" t="n">
        <v>18</v>
      </c>
      <c r="AH1142" t="n">
        <v>5</v>
      </c>
      <c r="AI1142" t="n">
        <v>11</v>
      </c>
      <c r="AJ1142" t="n">
        <v>12</v>
      </c>
      <c r="AK1142" t="n">
        <v>20</v>
      </c>
      <c r="AL1142" t="n">
        <v>2</v>
      </c>
      <c r="AM1142" t="n">
        <v>4</v>
      </c>
      <c r="AN1142" t="n">
        <v>0</v>
      </c>
      <c r="AO1142" t="n">
        <v>0</v>
      </c>
      <c r="AP1142" t="inlineStr">
        <is>
          <t>No</t>
        </is>
      </c>
      <c r="AQ1142" t="inlineStr">
        <is>
          <t>Yes</t>
        </is>
      </c>
      <c r="AR1142">
        <f>HYPERLINK("http://catalog.hathitrust.org/Record/007481068","HathiTrust Record")</f>
        <v/>
      </c>
      <c r="AS1142">
        <f>HYPERLINK("https://creighton-primo.hosted.exlibrisgroup.com/primo-explore/search?tab=default_tab&amp;search_scope=EVERYTHING&amp;vid=01CRU&amp;lang=en_US&amp;offset=0&amp;query=any,contains,991004629159702656","Catalog Record")</f>
        <v/>
      </c>
      <c r="AT1142">
        <f>HYPERLINK("http://www.worldcat.org/oclc/4359681","WorldCat Record")</f>
        <v/>
      </c>
      <c r="AU1142" t="inlineStr">
        <is>
          <t>3855488552:eng</t>
        </is>
      </c>
      <c r="AV1142" t="inlineStr">
        <is>
          <t>4359681</t>
        </is>
      </c>
      <c r="AW1142" t="inlineStr">
        <is>
          <t>991004629159702656</t>
        </is>
      </c>
      <c r="AX1142" t="inlineStr">
        <is>
          <t>991004629159702656</t>
        </is>
      </c>
      <c r="AY1142" t="inlineStr">
        <is>
          <t>2267672860002656</t>
        </is>
      </c>
      <c r="AZ1142" t="inlineStr">
        <is>
          <t>BOOK</t>
        </is>
      </c>
      <c r="BB1142" t="inlineStr">
        <is>
          <t>9780803910706</t>
        </is>
      </c>
      <c r="BC1142" t="inlineStr">
        <is>
          <t>32285001254233</t>
        </is>
      </c>
      <c r="BD1142" t="inlineStr">
        <is>
          <t>893776224</t>
        </is>
      </c>
    </row>
    <row r="1143">
      <c r="A1143" t="inlineStr">
        <is>
          <t>No</t>
        </is>
      </c>
      <c r="B1143" t="inlineStr">
        <is>
          <t>LB2806 .Q86 1998</t>
        </is>
      </c>
      <c r="C1143" t="inlineStr">
        <is>
          <t>0                      LB 2806000Q  86          1998</t>
        </is>
      </c>
      <c r="D1143" t="inlineStr">
        <is>
          <t>Values based strategic planning : a dynamic approach for schools / Terry Quong, Allan Walker, Kenneth Stott.</t>
        </is>
      </c>
      <c r="F1143" t="inlineStr">
        <is>
          <t>No</t>
        </is>
      </c>
      <c r="G1143" t="inlineStr">
        <is>
          <t>1</t>
        </is>
      </c>
      <c r="H1143" t="inlineStr">
        <is>
          <t>No</t>
        </is>
      </c>
      <c r="I1143" t="inlineStr">
        <is>
          <t>No</t>
        </is>
      </c>
      <c r="J1143" t="inlineStr">
        <is>
          <t>0</t>
        </is>
      </c>
      <c r="K1143" t="inlineStr">
        <is>
          <t>Quong, Terry.</t>
        </is>
      </c>
      <c r="L1143" t="inlineStr">
        <is>
          <t>Singapore ; New York : Prentice Hall, 1998.</t>
        </is>
      </c>
      <c r="M1143" t="inlineStr">
        <is>
          <t>1998</t>
        </is>
      </c>
      <c r="O1143" t="inlineStr">
        <is>
          <t>eng</t>
        </is>
      </c>
      <c r="P1143" t="inlineStr">
        <is>
          <t xml:space="preserve">si </t>
        </is>
      </c>
      <c r="R1143" t="inlineStr">
        <is>
          <t xml:space="preserve">LB </t>
        </is>
      </c>
      <c r="S1143" t="n">
        <v>2</v>
      </c>
      <c r="T1143" t="n">
        <v>2</v>
      </c>
      <c r="U1143" t="inlineStr">
        <is>
          <t>2003-05-02</t>
        </is>
      </c>
      <c r="V1143" t="inlineStr">
        <is>
          <t>2003-05-02</t>
        </is>
      </c>
      <c r="W1143" t="inlineStr">
        <is>
          <t>2000-03-28</t>
        </is>
      </c>
      <c r="X1143" t="inlineStr">
        <is>
          <t>2000-03-28</t>
        </is>
      </c>
      <c r="Y1143" t="n">
        <v>132</v>
      </c>
      <c r="Z1143" t="n">
        <v>83</v>
      </c>
      <c r="AA1143" t="n">
        <v>84</v>
      </c>
      <c r="AB1143" t="n">
        <v>3</v>
      </c>
      <c r="AC1143" t="n">
        <v>3</v>
      </c>
      <c r="AD1143" t="n">
        <v>4</v>
      </c>
      <c r="AE1143" t="n">
        <v>4</v>
      </c>
      <c r="AF1143" t="n">
        <v>1</v>
      </c>
      <c r="AG1143" t="n">
        <v>1</v>
      </c>
      <c r="AH1143" t="n">
        <v>0</v>
      </c>
      <c r="AI1143" t="n">
        <v>0</v>
      </c>
      <c r="AJ1143" t="n">
        <v>2</v>
      </c>
      <c r="AK1143" t="n">
        <v>2</v>
      </c>
      <c r="AL1143" t="n">
        <v>2</v>
      </c>
      <c r="AM1143" t="n">
        <v>2</v>
      </c>
      <c r="AN1143" t="n">
        <v>0</v>
      </c>
      <c r="AO1143" t="n">
        <v>0</v>
      </c>
      <c r="AP1143" t="inlineStr">
        <is>
          <t>No</t>
        </is>
      </c>
      <c r="AQ1143" t="inlineStr">
        <is>
          <t>Yes</t>
        </is>
      </c>
      <c r="AR1143">
        <f>HYPERLINK("http://catalog.hathitrust.org/Record/102008331","HathiTrust Record")</f>
        <v/>
      </c>
      <c r="AS1143">
        <f>HYPERLINK("https://creighton-primo.hosted.exlibrisgroup.com/primo-explore/search?tab=default_tab&amp;search_scope=EVERYTHING&amp;vid=01CRU&amp;lang=en_US&amp;offset=0&amp;query=any,contains,991003049849702656","Catalog Record")</f>
        <v/>
      </c>
      <c r="AT1143">
        <f>HYPERLINK("http://www.worldcat.org/oclc/42853296","WorldCat Record")</f>
        <v/>
      </c>
      <c r="AU1143" t="inlineStr">
        <is>
          <t>27537646:eng</t>
        </is>
      </c>
      <c r="AV1143" t="inlineStr">
        <is>
          <t>42853296</t>
        </is>
      </c>
      <c r="AW1143" t="inlineStr">
        <is>
          <t>991003049849702656</t>
        </is>
      </c>
      <c r="AX1143" t="inlineStr">
        <is>
          <t>991003049849702656</t>
        </is>
      </c>
      <c r="AY1143" t="inlineStr">
        <is>
          <t>2263059450002656</t>
        </is>
      </c>
      <c r="AZ1143" t="inlineStr">
        <is>
          <t>BOOK</t>
        </is>
      </c>
      <c r="BB1143" t="inlineStr">
        <is>
          <t>9780130819260</t>
        </is>
      </c>
      <c r="BC1143" t="inlineStr">
        <is>
          <t>32285003674024</t>
        </is>
      </c>
      <c r="BD1143" t="inlineStr">
        <is>
          <t>893780563</t>
        </is>
      </c>
    </row>
    <row r="1144">
      <c r="A1144" t="inlineStr">
        <is>
          <t>No</t>
        </is>
      </c>
      <c r="B1144" t="inlineStr">
        <is>
          <t>LB2806.15 .C67 1988</t>
        </is>
      </c>
      <c r="C1144" t="inlineStr">
        <is>
          <t>0                      LB 2806150C  67          1988</t>
        </is>
      </c>
      <c r="D1144" t="inlineStr">
        <is>
          <t>Teachers as curriculum planners : narratives of experience / F. Michael Connelly, D. Jean Clandinin ; foreword by Elliot Eisner.</t>
        </is>
      </c>
      <c r="F1144" t="inlineStr">
        <is>
          <t>No</t>
        </is>
      </c>
      <c r="G1144" t="inlineStr">
        <is>
          <t>1</t>
        </is>
      </c>
      <c r="H1144" t="inlineStr">
        <is>
          <t>No</t>
        </is>
      </c>
      <c r="I1144" t="inlineStr">
        <is>
          <t>No</t>
        </is>
      </c>
      <c r="J1144" t="inlineStr">
        <is>
          <t>0</t>
        </is>
      </c>
      <c r="K1144" t="inlineStr">
        <is>
          <t>Connelly, F. Michael.</t>
        </is>
      </c>
      <c r="L1144" t="inlineStr">
        <is>
          <t>New York, NY : Teachers College Press, Teachers College. Columbia University ; Toronto, Ont. : OISE Press, Ontario Institute for Studies in Education, c1988.</t>
        </is>
      </c>
      <c r="M1144" t="inlineStr">
        <is>
          <t>1988</t>
        </is>
      </c>
      <c r="O1144" t="inlineStr">
        <is>
          <t>eng</t>
        </is>
      </c>
      <c r="P1144" t="inlineStr">
        <is>
          <t>nyu</t>
        </is>
      </c>
      <c r="R1144" t="inlineStr">
        <is>
          <t xml:space="preserve">LB </t>
        </is>
      </c>
      <c r="S1144" t="n">
        <v>1</v>
      </c>
      <c r="T1144" t="n">
        <v>1</v>
      </c>
      <c r="U1144" t="inlineStr">
        <is>
          <t>2006-06-25</t>
        </is>
      </c>
      <c r="V1144" t="inlineStr">
        <is>
          <t>2006-06-25</t>
        </is>
      </c>
      <c r="W1144" t="inlineStr">
        <is>
          <t>1992-08-12</t>
        </is>
      </c>
      <c r="X1144" t="inlineStr">
        <is>
          <t>1992-08-12</t>
        </is>
      </c>
      <c r="Y1144" t="n">
        <v>709</v>
      </c>
      <c r="Z1144" t="n">
        <v>590</v>
      </c>
      <c r="AA1144" t="n">
        <v>611</v>
      </c>
      <c r="AB1144" t="n">
        <v>8</v>
      </c>
      <c r="AC1144" t="n">
        <v>8</v>
      </c>
      <c r="AD1144" t="n">
        <v>31</v>
      </c>
      <c r="AE1144" t="n">
        <v>32</v>
      </c>
      <c r="AF1144" t="n">
        <v>13</v>
      </c>
      <c r="AG1144" t="n">
        <v>13</v>
      </c>
      <c r="AH1144" t="n">
        <v>4</v>
      </c>
      <c r="AI1144" t="n">
        <v>4</v>
      </c>
      <c r="AJ1144" t="n">
        <v>14</v>
      </c>
      <c r="AK1144" t="n">
        <v>15</v>
      </c>
      <c r="AL1144" t="n">
        <v>7</v>
      </c>
      <c r="AM1144" t="n">
        <v>7</v>
      </c>
      <c r="AN1144" t="n">
        <v>0</v>
      </c>
      <c r="AO1144" t="n">
        <v>0</v>
      </c>
      <c r="AP1144" t="inlineStr">
        <is>
          <t>No</t>
        </is>
      </c>
      <c r="AQ1144" t="inlineStr">
        <is>
          <t>No</t>
        </is>
      </c>
      <c r="AS1144">
        <f>HYPERLINK("https://creighton-primo.hosted.exlibrisgroup.com/primo-explore/search?tab=default_tab&amp;search_scope=EVERYTHING&amp;vid=01CRU&amp;lang=en_US&amp;offset=0&amp;query=any,contains,991001236159702656","Catalog Record")</f>
        <v/>
      </c>
      <c r="AT1144">
        <f>HYPERLINK("http://www.worldcat.org/oclc/17550828","WorldCat Record")</f>
        <v/>
      </c>
      <c r="AU1144" t="inlineStr">
        <is>
          <t>15392695:eng</t>
        </is>
      </c>
      <c r="AV1144" t="inlineStr">
        <is>
          <t>17550828</t>
        </is>
      </c>
      <c r="AW1144" t="inlineStr">
        <is>
          <t>991001236159702656</t>
        </is>
      </c>
      <c r="AX1144" t="inlineStr">
        <is>
          <t>991001236159702656</t>
        </is>
      </c>
      <c r="AY1144" t="inlineStr">
        <is>
          <t>2262475250002656</t>
        </is>
      </c>
      <c r="AZ1144" t="inlineStr">
        <is>
          <t>BOOK</t>
        </is>
      </c>
      <c r="BB1144" t="inlineStr">
        <is>
          <t>9780807729076</t>
        </is>
      </c>
      <c r="BC1144" t="inlineStr">
        <is>
          <t>32285001254308</t>
        </is>
      </c>
      <c r="BD1144" t="inlineStr">
        <is>
          <t>893866071</t>
        </is>
      </c>
    </row>
    <row r="1145">
      <c r="A1145" t="inlineStr">
        <is>
          <t>No</t>
        </is>
      </c>
      <c r="B1145" t="inlineStr">
        <is>
          <t>LB2806.15 .C69 1990</t>
        </is>
      </c>
      <c r="C1145" t="inlineStr">
        <is>
          <t>0                      LB 2806150C  69          1990</t>
        </is>
      </c>
      <c r="D1145" t="inlineStr">
        <is>
          <t>Curriculum in context / Catherine Cornbleth.</t>
        </is>
      </c>
      <c r="F1145" t="inlineStr">
        <is>
          <t>No</t>
        </is>
      </c>
      <c r="G1145" t="inlineStr">
        <is>
          <t>1</t>
        </is>
      </c>
      <c r="H1145" t="inlineStr">
        <is>
          <t>No</t>
        </is>
      </c>
      <c r="I1145" t="inlineStr">
        <is>
          <t>No</t>
        </is>
      </c>
      <c r="J1145" t="inlineStr">
        <is>
          <t>0</t>
        </is>
      </c>
      <c r="K1145" t="inlineStr">
        <is>
          <t>Cornbleth, Catherine.</t>
        </is>
      </c>
      <c r="L1145" t="inlineStr">
        <is>
          <t>London ; New York : Falmer Press, 1990.</t>
        </is>
      </c>
      <c r="M1145" t="inlineStr">
        <is>
          <t>1990</t>
        </is>
      </c>
      <c r="O1145" t="inlineStr">
        <is>
          <t>eng</t>
        </is>
      </c>
      <c r="P1145" t="inlineStr">
        <is>
          <t>enk</t>
        </is>
      </c>
      <c r="R1145" t="inlineStr">
        <is>
          <t xml:space="preserve">LB </t>
        </is>
      </c>
      <c r="S1145" t="n">
        <v>1</v>
      </c>
      <c r="T1145" t="n">
        <v>1</v>
      </c>
      <c r="U1145" t="inlineStr">
        <is>
          <t>2009-11-13</t>
        </is>
      </c>
      <c r="V1145" t="inlineStr">
        <is>
          <t>2009-11-13</t>
        </is>
      </c>
      <c r="W1145" t="inlineStr">
        <is>
          <t>1991-07-03</t>
        </is>
      </c>
      <c r="X1145" t="inlineStr">
        <is>
          <t>1991-07-03</t>
        </is>
      </c>
      <c r="Y1145" t="n">
        <v>500</v>
      </c>
      <c r="Z1145" t="n">
        <v>371</v>
      </c>
      <c r="AA1145" t="n">
        <v>378</v>
      </c>
      <c r="AB1145" t="n">
        <v>2</v>
      </c>
      <c r="AC1145" t="n">
        <v>2</v>
      </c>
      <c r="AD1145" t="n">
        <v>16</v>
      </c>
      <c r="AE1145" t="n">
        <v>16</v>
      </c>
      <c r="AF1145" t="n">
        <v>9</v>
      </c>
      <c r="AG1145" t="n">
        <v>9</v>
      </c>
      <c r="AH1145" t="n">
        <v>2</v>
      </c>
      <c r="AI1145" t="n">
        <v>2</v>
      </c>
      <c r="AJ1145" t="n">
        <v>7</v>
      </c>
      <c r="AK1145" t="n">
        <v>7</v>
      </c>
      <c r="AL1145" t="n">
        <v>1</v>
      </c>
      <c r="AM1145" t="n">
        <v>1</v>
      </c>
      <c r="AN1145" t="n">
        <v>0</v>
      </c>
      <c r="AO1145" t="n">
        <v>0</v>
      </c>
      <c r="AP1145" t="inlineStr">
        <is>
          <t>No</t>
        </is>
      </c>
      <c r="AQ1145" t="inlineStr">
        <is>
          <t>Yes</t>
        </is>
      </c>
      <c r="AR1145">
        <f>HYPERLINK("http://catalog.hathitrust.org/Record/002432806","HathiTrust Record")</f>
        <v/>
      </c>
      <c r="AS1145">
        <f>HYPERLINK("https://creighton-primo.hosted.exlibrisgroup.com/primo-explore/search?tab=default_tab&amp;search_scope=EVERYTHING&amp;vid=01CRU&amp;lang=en_US&amp;offset=0&amp;query=any,contains,991001776309702656","Catalog Record")</f>
        <v/>
      </c>
      <c r="AT1145">
        <f>HYPERLINK("http://www.worldcat.org/oclc/22421697","WorldCat Record")</f>
        <v/>
      </c>
      <c r="AU1145" t="inlineStr">
        <is>
          <t>3943553060:eng</t>
        </is>
      </c>
      <c r="AV1145" t="inlineStr">
        <is>
          <t>22421697</t>
        </is>
      </c>
      <c r="AW1145" t="inlineStr">
        <is>
          <t>991001776309702656</t>
        </is>
      </c>
      <c r="AX1145" t="inlineStr">
        <is>
          <t>991001776309702656</t>
        </is>
      </c>
      <c r="AY1145" t="inlineStr">
        <is>
          <t>2268944950002656</t>
        </is>
      </c>
      <c r="AZ1145" t="inlineStr">
        <is>
          <t>BOOK</t>
        </is>
      </c>
      <c r="BB1145" t="inlineStr">
        <is>
          <t>9781850004530</t>
        </is>
      </c>
      <c r="BC1145" t="inlineStr">
        <is>
          <t>32285000660042</t>
        </is>
      </c>
      <c r="BD1145" t="inlineStr">
        <is>
          <t>893238331</t>
        </is>
      </c>
    </row>
    <row r="1146">
      <c r="A1146" t="inlineStr">
        <is>
          <t>No</t>
        </is>
      </c>
      <c r="B1146" t="inlineStr">
        <is>
          <t>LB2806.15 .E29 2002</t>
        </is>
      </c>
      <c r="C1146" t="inlineStr">
        <is>
          <t>0                      LB 2806150E  29          2002</t>
        </is>
      </c>
      <c r="D1146" t="inlineStr">
        <is>
          <t>The other side of curriculum : lessons from learners / Lois Brown Easton.</t>
        </is>
      </c>
      <c r="F1146" t="inlineStr">
        <is>
          <t>No</t>
        </is>
      </c>
      <c r="G1146" t="inlineStr">
        <is>
          <t>1</t>
        </is>
      </c>
      <c r="H1146" t="inlineStr">
        <is>
          <t>No</t>
        </is>
      </c>
      <c r="I1146" t="inlineStr">
        <is>
          <t>No</t>
        </is>
      </c>
      <c r="J1146" t="inlineStr">
        <is>
          <t>0</t>
        </is>
      </c>
      <c r="K1146" t="inlineStr">
        <is>
          <t>Easton, Lois Brown.</t>
        </is>
      </c>
      <c r="L1146" t="inlineStr">
        <is>
          <t>Portsmouth, NH : Heinemann, c2002.</t>
        </is>
      </c>
      <c r="M1146" t="inlineStr">
        <is>
          <t>2002</t>
        </is>
      </c>
      <c r="O1146" t="inlineStr">
        <is>
          <t>eng</t>
        </is>
      </c>
      <c r="P1146" t="inlineStr">
        <is>
          <t>nhu</t>
        </is>
      </c>
      <c r="R1146" t="inlineStr">
        <is>
          <t xml:space="preserve">LB </t>
        </is>
      </c>
      <c r="S1146" t="n">
        <v>4</v>
      </c>
      <c r="T1146" t="n">
        <v>4</v>
      </c>
      <c r="U1146" t="inlineStr">
        <is>
          <t>2005-04-21</t>
        </is>
      </c>
      <c r="V1146" t="inlineStr">
        <is>
          <t>2005-04-21</t>
        </is>
      </c>
      <c r="W1146" t="inlineStr">
        <is>
          <t>2002-08-15</t>
        </is>
      </c>
      <c r="X1146" t="inlineStr">
        <is>
          <t>2002-08-15</t>
        </is>
      </c>
      <c r="Y1146" t="n">
        <v>202</v>
      </c>
      <c r="Z1146" t="n">
        <v>188</v>
      </c>
      <c r="AA1146" t="n">
        <v>194</v>
      </c>
      <c r="AB1146" t="n">
        <v>3</v>
      </c>
      <c r="AC1146" t="n">
        <v>3</v>
      </c>
      <c r="AD1146" t="n">
        <v>11</v>
      </c>
      <c r="AE1146" t="n">
        <v>11</v>
      </c>
      <c r="AF1146" t="n">
        <v>3</v>
      </c>
      <c r="AG1146" t="n">
        <v>3</v>
      </c>
      <c r="AH1146" t="n">
        <v>2</v>
      </c>
      <c r="AI1146" t="n">
        <v>2</v>
      </c>
      <c r="AJ1146" t="n">
        <v>6</v>
      </c>
      <c r="AK1146" t="n">
        <v>6</v>
      </c>
      <c r="AL1146" t="n">
        <v>2</v>
      </c>
      <c r="AM1146" t="n">
        <v>2</v>
      </c>
      <c r="AN1146" t="n">
        <v>0</v>
      </c>
      <c r="AO1146" t="n">
        <v>0</v>
      </c>
      <c r="AP1146" t="inlineStr">
        <is>
          <t>No</t>
        </is>
      </c>
      <c r="AQ1146" t="inlineStr">
        <is>
          <t>Yes</t>
        </is>
      </c>
      <c r="AR1146">
        <f>HYPERLINK("http://catalog.hathitrust.org/Record/004302622","HathiTrust Record")</f>
        <v/>
      </c>
      <c r="AS1146">
        <f>HYPERLINK("https://creighton-primo.hosted.exlibrisgroup.com/primo-explore/search?tab=default_tab&amp;search_scope=EVERYTHING&amp;vid=01CRU&amp;lang=en_US&amp;offset=0&amp;query=any,contains,991003854249702656","Catalog Record")</f>
        <v/>
      </c>
      <c r="AT1146">
        <f>HYPERLINK("http://www.worldcat.org/oclc/48098359","WorldCat Record")</f>
        <v/>
      </c>
      <c r="AU1146" t="inlineStr">
        <is>
          <t>1028199728:eng</t>
        </is>
      </c>
      <c r="AV1146" t="inlineStr">
        <is>
          <t>48098359</t>
        </is>
      </c>
      <c r="AW1146" t="inlineStr">
        <is>
          <t>991003854249702656</t>
        </is>
      </c>
      <c r="AX1146" t="inlineStr">
        <is>
          <t>991003854249702656</t>
        </is>
      </c>
      <c r="AY1146" t="inlineStr">
        <is>
          <t>2257929610002656</t>
        </is>
      </c>
      <c r="AZ1146" t="inlineStr">
        <is>
          <t>BOOK</t>
        </is>
      </c>
      <c r="BB1146" t="inlineStr">
        <is>
          <t>9780867095623</t>
        </is>
      </c>
      <c r="BC1146" t="inlineStr">
        <is>
          <t>32285004643374</t>
        </is>
      </c>
      <c r="BD1146" t="inlineStr">
        <is>
          <t>893693225</t>
        </is>
      </c>
    </row>
    <row r="1147">
      <c r="A1147" t="inlineStr">
        <is>
          <t>No</t>
        </is>
      </c>
      <c r="B1147" t="inlineStr">
        <is>
          <t>LB2806.15 .G587 1994</t>
        </is>
      </c>
      <c r="C1147" t="inlineStr">
        <is>
          <t>0                      LB 2806150G  587         1994</t>
        </is>
      </c>
      <c r="D1147" t="inlineStr">
        <is>
          <t>Developing a quality curriculum / Allan A. Glatthorn.</t>
        </is>
      </c>
      <c r="F1147" t="inlineStr">
        <is>
          <t>No</t>
        </is>
      </c>
      <c r="G1147" t="inlineStr">
        <is>
          <t>1</t>
        </is>
      </c>
      <c r="H1147" t="inlineStr">
        <is>
          <t>No</t>
        </is>
      </c>
      <c r="I1147" t="inlineStr">
        <is>
          <t>No</t>
        </is>
      </c>
      <c r="J1147" t="inlineStr">
        <is>
          <t>0</t>
        </is>
      </c>
      <c r="K1147" t="inlineStr">
        <is>
          <t>Glatthorn, Allan A., 1924-</t>
        </is>
      </c>
      <c r="L1147" t="inlineStr">
        <is>
          <t>Alexandria, Va. : Association for Supervision and Curriculum Development, c1994.</t>
        </is>
      </c>
      <c r="M1147" t="inlineStr">
        <is>
          <t>1994</t>
        </is>
      </c>
      <c r="O1147" t="inlineStr">
        <is>
          <t>eng</t>
        </is>
      </c>
      <c r="P1147" t="inlineStr">
        <is>
          <t>vau</t>
        </is>
      </c>
      <c r="R1147" t="inlineStr">
        <is>
          <t xml:space="preserve">LB </t>
        </is>
      </c>
      <c r="S1147" t="n">
        <v>11</v>
      </c>
      <c r="T1147" t="n">
        <v>11</v>
      </c>
      <c r="U1147" t="inlineStr">
        <is>
          <t>2009-09-14</t>
        </is>
      </c>
      <c r="V1147" t="inlineStr">
        <is>
          <t>2009-09-14</t>
        </is>
      </c>
      <c r="W1147" t="inlineStr">
        <is>
          <t>1994-10-31</t>
        </is>
      </c>
      <c r="X1147" t="inlineStr">
        <is>
          <t>1994-10-31</t>
        </is>
      </c>
      <c r="Y1147" t="n">
        <v>725</v>
      </c>
      <c r="Z1147" t="n">
        <v>639</v>
      </c>
      <c r="AA1147" t="n">
        <v>664</v>
      </c>
      <c r="AB1147" t="n">
        <v>5</v>
      </c>
      <c r="AC1147" t="n">
        <v>6</v>
      </c>
      <c r="AD1147" t="n">
        <v>23</v>
      </c>
      <c r="AE1147" t="n">
        <v>24</v>
      </c>
      <c r="AF1147" t="n">
        <v>11</v>
      </c>
      <c r="AG1147" t="n">
        <v>11</v>
      </c>
      <c r="AH1147" t="n">
        <v>5</v>
      </c>
      <c r="AI1147" t="n">
        <v>5</v>
      </c>
      <c r="AJ1147" t="n">
        <v>14</v>
      </c>
      <c r="AK1147" t="n">
        <v>14</v>
      </c>
      <c r="AL1147" t="n">
        <v>2</v>
      </c>
      <c r="AM1147" t="n">
        <v>3</v>
      </c>
      <c r="AN1147" t="n">
        <v>0</v>
      </c>
      <c r="AO1147" t="n">
        <v>0</v>
      </c>
      <c r="AP1147" t="inlineStr">
        <is>
          <t>No</t>
        </is>
      </c>
      <c r="AQ1147" t="inlineStr">
        <is>
          <t>No</t>
        </is>
      </c>
      <c r="AS1147">
        <f>HYPERLINK("https://creighton-primo.hosted.exlibrisgroup.com/primo-explore/search?tab=default_tab&amp;search_scope=EVERYTHING&amp;vid=01CRU&amp;lang=en_US&amp;offset=0&amp;query=any,contains,991002373949702656","Catalog Record")</f>
        <v/>
      </c>
      <c r="AT1147">
        <f>HYPERLINK("http://www.worldcat.org/oclc/30892664","WorldCat Record")</f>
        <v/>
      </c>
      <c r="AU1147" t="inlineStr">
        <is>
          <t>1055412:eng</t>
        </is>
      </c>
      <c r="AV1147" t="inlineStr">
        <is>
          <t>30892664</t>
        </is>
      </c>
      <c r="AW1147" t="inlineStr">
        <is>
          <t>991002373949702656</t>
        </is>
      </c>
      <c r="AX1147" t="inlineStr">
        <is>
          <t>991002373949702656</t>
        </is>
      </c>
      <c r="AY1147" t="inlineStr">
        <is>
          <t>2270073690002656</t>
        </is>
      </c>
      <c r="AZ1147" t="inlineStr">
        <is>
          <t>BOOK</t>
        </is>
      </c>
      <c r="BB1147" t="inlineStr">
        <is>
          <t>9780871202345</t>
        </is>
      </c>
      <c r="BC1147" t="inlineStr">
        <is>
          <t>32285001869907</t>
        </is>
      </c>
      <c r="BD1147" t="inlineStr">
        <is>
          <t>893867130</t>
        </is>
      </c>
    </row>
    <row r="1148">
      <c r="A1148" t="inlineStr">
        <is>
          <t>No</t>
        </is>
      </c>
      <c r="B1148" t="inlineStr">
        <is>
          <t>LB2806.15 .G5875 1998</t>
        </is>
      </c>
      <c r="C1148" t="inlineStr">
        <is>
          <t>0                      LB 2806150G  5875        1998</t>
        </is>
      </c>
      <c r="D1148" t="inlineStr">
        <is>
          <t>Performance assessment and standards-based curricula : the achievement cycle / Allan A. Glatthorn with Don Bragaw, Karen Dawkins, and John Parker.</t>
        </is>
      </c>
      <c r="F1148" t="inlineStr">
        <is>
          <t>No</t>
        </is>
      </c>
      <c r="G1148" t="inlineStr">
        <is>
          <t>1</t>
        </is>
      </c>
      <c r="H1148" t="inlineStr">
        <is>
          <t>No</t>
        </is>
      </c>
      <c r="I1148" t="inlineStr">
        <is>
          <t>No</t>
        </is>
      </c>
      <c r="J1148" t="inlineStr">
        <is>
          <t>0</t>
        </is>
      </c>
      <c r="K1148" t="inlineStr">
        <is>
          <t>Glatthorn, Allan A., 1924-</t>
        </is>
      </c>
      <c r="L1148" t="inlineStr">
        <is>
          <t>Larchmont, N.Y. : Eye On Education, c1998.</t>
        </is>
      </c>
      <c r="M1148" t="inlineStr">
        <is>
          <t>1998</t>
        </is>
      </c>
      <c r="O1148" t="inlineStr">
        <is>
          <t>eng</t>
        </is>
      </c>
      <c r="P1148" t="inlineStr">
        <is>
          <t>nyu</t>
        </is>
      </c>
      <c r="R1148" t="inlineStr">
        <is>
          <t xml:space="preserve">LB </t>
        </is>
      </c>
      <c r="S1148" t="n">
        <v>6</v>
      </c>
      <c r="T1148" t="n">
        <v>6</v>
      </c>
      <c r="U1148" t="inlineStr">
        <is>
          <t>2009-04-06</t>
        </is>
      </c>
      <c r="V1148" t="inlineStr">
        <is>
          <t>2009-04-06</t>
        </is>
      </c>
      <c r="W1148" t="inlineStr">
        <is>
          <t>1998-11-05</t>
        </is>
      </c>
      <c r="X1148" t="inlineStr">
        <is>
          <t>1998-11-05</t>
        </is>
      </c>
      <c r="Y1148" t="n">
        <v>248</v>
      </c>
      <c r="Z1148" t="n">
        <v>232</v>
      </c>
      <c r="AA1148" t="n">
        <v>235</v>
      </c>
      <c r="AB1148" t="n">
        <v>3</v>
      </c>
      <c r="AC1148" t="n">
        <v>3</v>
      </c>
      <c r="AD1148" t="n">
        <v>11</v>
      </c>
      <c r="AE1148" t="n">
        <v>11</v>
      </c>
      <c r="AF1148" t="n">
        <v>7</v>
      </c>
      <c r="AG1148" t="n">
        <v>7</v>
      </c>
      <c r="AH1148" t="n">
        <v>1</v>
      </c>
      <c r="AI1148" t="n">
        <v>1</v>
      </c>
      <c r="AJ1148" t="n">
        <v>2</v>
      </c>
      <c r="AK1148" t="n">
        <v>2</v>
      </c>
      <c r="AL1148" t="n">
        <v>2</v>
      </c>
      <c r="AM1148" t="n">
        <v>2</v>
      </c>
      <c r="AN1148" t="n">
        <v>0</v>
      </c>
      <c r="AO1148" t="n">
        <v>0</v>
      </c>
      <c r="AP1148" t="inlineStr">
        <is>
          <t>No</t>
        </is>
      </c>
      <c r="AQ1148" t="inlineStr">
        <is>
          <t>Yes</t>
        </is>
      </c>
      <c r="AR1148">
        <f>HYPERLINK("http://catalog.hathitrust.org/Record/005960720","HathiTrust Record")</f>
        <v/>
      </c>
      <c r="AS1148">
        <f>HYPERLINK("https://creighton-primo.hosted.exlibrisgroup.com/primo-explore/search?tab=default_tab&amp;search_scope=EVERYTHING&amp;vid=01CRU&amp;lang=en_US&amp;offset=0&amp;query=any,contains,991002870459702656","Catalog Record")</f>
        <v/>
      </c>
      <c r="AT1148">
        <f>HYPERLINK("http://www.worldcat.org/oclc/37843729","WorldCat Record")</f>
        <v/>
      </c>
      <c r="AU1148" t="inlineStr">
        <is>
          <t>942210213:eng</t>
        </is>
      </c>
      <c r="AV1148" t="inlineStr">
        <is>
          <t>37843729</t>
        </is>
      </c>
      <c r="AW1148" t="inlineStr">
        <is>
          <t>991002870459702656</t>
        </is>
      </c>
      <c r="AX1148" t="inlineStr">
        <is>
          <t>991002870459702656</t>
        </is>
      </c>
      <c r="AY1148" t="inlineStr">
        <is>
          <t>2263774600002656</t>
        </is>
      </c>
      <c r="AZ1148" t="inlineStr">
        <is>
          <t>BOOK</t>
        </is>
      </c>
      <c r="BB1148" t="inlineStr">
        <is>
          <t>9781883001483</t>
        </is>
      </c>
      <c r="BC1148" t="inlineStr">
        <is>
          <t>32285003486320</t>
        </is>
      </c>
      <c r="BD1148" t="inlineStr">
        <is>
          <t>893698370</t>
        </is>
      </c>
    </row>
    <row r="1149">
      <c r="A1149" t="inlineStr">
        <is>
          <t>No</t>
        </is>
      </c>
      <c r="B1149" t="inlineStr">
        <is>
          <t>LB2806.22 .R46 2002</t>
        </is>
      </c>
      <c r="C1149" t="inlineStr">
        <is>
          <t>0                      LB 2806220R  46          2002</t>
        </is>
      </c>
      <c r="D1149" t="inlineStr">
        <is>
          <t>Holistic accountability : serving students, schools, and community / Douglas B. Reeves.</t>
        </is>
      </c>
      <c r="F1149" t="inlineStr">
        <is>
          <t>No</t>
        </is>
      </c>
      <c r="G1149" t="inlineStr">
        <is>
          <t>1</t>
        </is>
      </c>
      <c r="H1149" t="inlineStr">
        <is>
          <t>No</t>
        </is>
      </c>
      <c r="I1149" t="inlineStr">
        <is>
          <t>No</t>
        </is>
      </c>
      <c r="J1149" t="inlineStr">
        <is>
          <t>0</t>
        </is>
      </c>
      <c r="K1149" t="inlineStr">
        <is>
          <t>Reeves, Douglas B., 1953-</t>
        </is>
      </c>
      <c r="L1149" t="inlineStr">
        <is>
          <t>Thousand Oaks, Calif. : Corwin Press, c2002.</t>
        </is>
      </c>
      <c r="M1149" t="inlineStr">
        <is>
          <t>2002</t>
        </is>
      </c>
      <c r="O1149" t="inlineStr">
        <is>
          <t>eng</t>
        </is>
      </c>
      <c r="P1149" t="inlineStr">
        <is>
          <t>cau</t>
        </is>
      </c>
      <c r="Q1149" t="inlineStr">
        <is>
          <t>Experts in assessment</t>
        </is>
      </c>
      <c r="R1149" t="inlineStr">
        <is>
          <t xml:space="preserve">LB </t>
        </is>
      </c>
      <c r="S1149" t="n">
        <v>1</v>
      </c>
      <c r="T1149" t="n">
        <v>1</v>
      </c>
      <c r="U1149" t="inlineStr">
        <is>
          <t>2006-04-04</t>
        </is>
      </c>
      <c r="V1149" t="inlineStr">
        <is>
          <t>2006-04-04</t>
        </is>
      </c>
      <c r="W1149" t="inlineStr">
        <is>
          <t>2006-04-04</t>
        </is>
      </c>
      <c r="X1149" t="inlineStr">
        <is>
          <t>2006-04-04</t>
        </is>
      </c>
      <c r="Y1149" t="n">
        <v>312</v>
      </c>
      <c r="Z1149" t="n">
        <v>277</v>
      </c>
      <c r="AA1149" t="n">
        <v>278</v>
      </c>
      <c r="AB1149" t="n">
        <v>4</v>
      </c>
      <c r="AC1149" t="n">
        <v>4</v>
      </c>
      <c r="AD1149" t="n">
        <v>11</v>
      </c>
      <c r="AE1149" t="n">
        <v>11</v>
      </c>
      <c r="AF1149" t="n">
        <v>2</v>
      </c>
      <c r="AG1149" t="n">
        <v>2</v>
      </c>
      <c r="AH1149" t="n">
        <v>2</v>
      </c>
      <c r="AI1149" t="n">
        <v>2</v>
      </c>
      <c r="AJ1149" t="n">
        <v>5</v>
      </c>
      <c r="AK1149" t="n">
        <v>5</v>
      </c>
      <c r="AL1149" t="n">
        <v>3</v>
      </c>
      <c r="AM1149" t="n">
        <v>3</v>
      </c>
      <c r="AN1149" t="n">
        <v>0</v>
      </c>
      <c r="AO1149" t="n">
        <v>0</v>
      </c>
      <c r="AP1149" t="inlineStr">
        <is>
          <t>No</t>
        </is>
      </c>
      <c r="AQ1149" t="inlineStr">
        <is>
          <t>Yes</t>
        </is>
      </c>
      <c r="AR1149">
        <f>HYPERLINK("http://catalog.hathitrust.org/Record/004214957","HathiTrust Record")</f>
        <v/>
      </c>
      <c r="AS1149">
        <f>HYPERLINK("https://creighton-primo.hosted.exlibrisgroup.com/primo-explore/search?tab=default_tab&amp;search_scope=EVERYTHING&amp;vid=01CRU&amp;lang=en_US&amp;offset=0&amp;query=any,contains,991004765799702656","Catalog Record")</f>
        <v/>
      </c>
      <c r="AT1149">
        <f>HYPERLINK("http://www.worldcat.org/oclc/46969800","WorldCat Record")</f>
        <v/>
      </c>
      <c r="AU1149" t="inlineStr">
        <is>
          <t>836989884:eng</t>
        </is>
      </c>
      <c r="AV1149" t="inlineStr">
        <is>
          <t>46969800</t>
        </is>
      </c>
      <c r="AW1149" t="inlineStr">
        <is>
          <t>991004765799702656</t>
        </is>
      </c>
      <c r="AX1149" t="inlineStr">
        <is>
          <t>991004765799702656</t>
        </is>
      </c>
      <c r="AY1149" t="inlineStr">
        <is>
          <t>2266804670002656</t>
        </is>
      </c>
      <c r="AZ1149" t="inlineStr">
        <is>
          <t>BOOK</t>
        </is>
      </c>
      <c r="BB1149" t="inlineStr">
        <is>
          <t>9780761978312</t>
        </is>
      </c>
      <c r="BC1149" t="inlineStr">
        <is>
          <t>32285005169866</t>
        </is>
      </c>
      <c r="BD1149" t="inlineStr">
        <is>
          <t>893594077</t>
        </is>
      </c>
    </row>
    <row r="1150">
      <c r="A1150" t="inlineStr">
        <is>
          <t>No</t>
        </is>
      </c>
      <c r="B1150" t="inlineStr">
        <is>
          <t>LB2806.35 .D47 1999</t>
        </is>
      </c>
      <c r="C1150" t="inlineStr">
        <is>
          <t>0                      LB 2806350D  47          1999</t>
        </is>
      </c>
      <c r="D1150" t="inlineStr">
        <is>
          <t>Reinventing school-based management : a School Board guide to school-based improvement / by Darrel W. Drury.</t>
        </is>
      </c>
      <c r="F1150" t="inlineStr">
        <is>
          <t>No</t>
        </is>
      </c>
      <c r="G1150" t="inlineStr">
        <is>
          <t>1</t>
        </is>
      </c>
      <c r="H1150" t="inlineStr">
        <is>
          <t>No</t>
        </is>
      </c>
      <c r="I1150" t="inlineStr">
        <is>
          <t>No</t>
        </is>
      </c>
      <c r="J1150" t="inlineStr">
        <is>
          <t>0</t>
        </is>
      </c>
      <c r="K1150" t="inlineStr">
        <is>
          <t>Drury, Darrel W.</t>
        </is>
      </c>
      <c r="L1150" t="inlineStr">
        <is>
          <t>[Alexandria, VA] : National School Boards Association, c1999.</t>
        </is>
      </c>
      <c r="M1150" t="inlineStr">
        <is>
          <t>1999</t>
        </is>
      </c>
      <c r="O1150" t="inlineStr">
        <is>
          <t>eng</t>
        </is>
      </c>
      <c r="P1150" t="inlineStr">
        <is>
          <t>vau</t>
        </is>
      </c>
      <c r="R1150" t="inlineStr">
        <is>
          <t xml:space="preserve">LB </t>
        </is>
      </c>
      <c r="S1150" t="n">
        <v>1</v>
      </c>
      <c r="T1150" t="n">
        <v>1</v>
      </c>
      <c r="U1150" t="inlineStr">
        <is>
          <t>2003-03-29</t>
        </is>
      </c>
      <c r="V1150" t="inlineStr">
        <is>
          <t>2003-03-29</t>
        </is>
      </c>
      <c r="W1150" t="inlineStr">
        <is>
          <t>2000-02-02</t>
        </is>
      </c>
      <c r="X1150" t="inlineStr">
        <is>
          <t>2000-02-02</t>
        </is>
      </c>
      <c r="Y1150" t="n">
        <v>39</v>
      </c>
      <c r="Z1150" t="n">
        <v>34</v>
      </c>
      <c r="AA1150" t="n">
        <v>36</v>
      </c>
      <c r="AB1150" t="n">
        <v>1</v>
      </c>
      <c r="AC1150" t="n">
        <v>1</v>
      </c>
      <c r="AD1150" t="n">
        <v>1</v>
      </c>
      <c r="AE1150" t="n">
        <v>1</v>
      </c>
      <c r="AF1150" t="n">
        <v>1</v>
      </c>
      <c r="AG1150" t="n">
        <v>1</v>
      </c>
      <c r="AH1150" t="n">
        <v>0</v>
      </c>
      <c r="AI1150" t="n">
        <v>0</v>
      </c>
      <c r="AJ1150" t="n">
        <v>0</v>
      </c>
      <c r="AK1150" t="n">
        <v>0</v>
      </c>
      <c r="AL1150" t="n">
        <v>0</v>
      </c>
      <c r="AM1150" t="n">
        <v>0</v>
      </c>
      <c r="AN1150" t="n">
        <v>0</v>
      </c>
      <c r="AO1150" t="n">
        <v>0</v>
      </c>
      <c r="AP1150" t="inlineStr">
        <is>
          <t>No</t>
        </is>
      </c>
      <c r="AQ1150" t="inlineStr">
        <is>
          <t>No</t>
        </is>
      </c>
      <c r="AS1150">
        <f>HYPERLINK("https://creighton-primo.hosted.exlibrisgroup.com/primo-explore/search?tab=default_tab&amp;search_scope=EVERYTHING&amp;vid=01CRU&amp;lang=en_US&amp;offset=0&amp;query=any,contains,991003050569702656","Catalog Record")</f>
        <v/>
      </c>
      <c r="AT1150">
        <f>HYPERLINK("http://www.worldcat.org/oclc/42916560","WorldCat Record")</f>
        <v/>
      </c>
      <c r="AU1150" t="inlineStr">
        <is>
          <t>5550014268:eng</t>
        </is>
      </c>
      <c r="AV1150" t="inlineStr">
        <is>
          <t>42916560</t>
        </is>
      </c>
      <c r="AW1150" t="inlineStr">
        <is>
          <t>991003050569702656</t>
        </is>
      </c>
      <c r="AX1150" t="inlineStr">
        <is>
          <t>991003050569702656</t>
        </is>
      </c>
      <c r="AY1150" t="inlineStr">
        <is>
          <t>2272132440002656</t>
        </is>
      </c>
      <c r="AZ1150" t="inlineStr">
        <is>
          <t>BOOK</t>
        </is>
      </c>
      <c r="BB1150" t="inlineStr">
        <is>
          <t>9780883642214</t>
        </is>
      </c>
      <c r="BC1150" t="inlineStr">
        <is>
          <t>32285003658019</t>
        </is>
      </c>
      <c r="BD1150" t="inlineStr">
        <is>
          <t>893887091</t>
        </is>
      </c>
    </row>
    <row r="1151">
      <c r="A1151" t="inlineStr">
        <is>
          <t>No</t>
        </is>
      </c>
      <c r="B1151" t="inlineStr">
        <is>
          <t>LB2806.36 .C57 2004</t>
        </is>
      </c>
      <c r="C1151" t="inlineStr">
        <is>
          <t>0                      LB 2806360C  57          2004</t>
        </is>
      </c>
      <c r="D1151" t="inlineStr">
        <is>
          <t>Serving our children : charter schools and the reform of American public education / Kevin P. Chavous.</t>
        </is>
      </c>
      <c r="F1151" t="inlineStr">
        <is>
          <t>No</t>
        </is>
      </c>
      <c r="G1151" t="inlineStr">
        <is>
          <t>1</t>
        </is>
      </c>
      <c r="H1151" t="inlineStr">
        <is>
          <t>No</t>
        </is>
      </c>
      <c r="I1151" t="inlineStr">
        <is>
          <t>No</t>
        </is>
      </c>
      <c r="J1151" t="inlineStr">
        <is>
          <t>0</t>
        </is>
      </c>
      <c r="K1151" t="inlineStr">
        <is>
          <t>Chavous, Kevin P.</t>
        </is>
      </c>
      <c r="L1151" t="inlineStr">
        <is>
          <t>Sterling, Va. : Capital Books, c2004.</t>
        </is>
      </c>
      <c r="M1151" t="inlineStr">
        <is>
          <t>2004</t>
        </is>
      </c>
      <c r="N1151" t="inlineStr">
        <is>
          <t>1st ed.</t>
        </is>
      </c>
      <c r="O1151" t="inlineStr">
        <is>
          <t>eng</t>
        </is>
      </c>
      <c r="P1151" t="inlineStr">
        <is>
          <t>vau</t>
        </is>
      </c>
      <c r="Q1151" t="inlineStr">
        <is>
          <t>A Capital currents book</t>
        </is>
      </c>
      <c r="R1151" t="inlineStr">
        <is>
          <t xml:space="preserve">LB </t>
        </is>
      </c>
      <c r="S1151" t="n">
        <v>1</v>
      </c>
      <c r="T1151" t="n">
        <v>1</v>
      </c>
      <c r="U1151" t="inlineStr">
        <is>
          <t>2004-07-21</t>
        </is>
      </c>
      <c r="V1151" t="inlineStr">
        <is>
          <t>2004-07-21</t>
        </is>
      </c>
      <c r="W1151" t="inlineStr">
        <is>
          <t>2004-07-21</t>
        </is>
      </c>
      <c r="X1151" t="inlineStr">
        <is>
          <t>2004-07-21</t>
        </is>
      </c>
      <c r="Y1151" t="n">
        <v>193</v>
      </c>
      <c r="Z1151" t="n">
        <v>189</v>
      </c>
      <c r="AA1151" t="n">
        <v>194</v>
      </c>
      <c r="AB1151" t="n">
        <v>2</v>
      </c>
      <c r="AC1151" t="n">
        <v>2</v>
      </c>
      <c r="AD1151" t="n">
        <v>5</v>
      </c>
      <c r="AE1151" t="n">
        <v>5</v>
      </c>
      <c r="AF1151" t="n">
        <v>2</v>
      </c>
      <c r="AG1151" t="n">
        <v>2</v>
      </c>
      <c r="AH1151" t="n">
        <v>1</v>
      </c>
      <c r="AI1151" t="n">
        <v>1</v>
      </c>
      <c r="AJ1151" t="n">
        <v>1</v>
      </c>
      <c r="AK1151" t="n">
        <v>1</v>
      </c>
      <c r="AL1151" t="n">
        <v>1</v>
      </c>
      <c r="AM1151" t="n">
        <v>1</v>
      </c>
      <c r="AN1151" t="n">
        <v>0</v>
      </c>
      <c r="AO1151" t="n">
        <v>0</v>
      </c>
      <c r="AP1151" t="inlineStr">
        <is>
          <t>No</t>
        </is>
      </c>
      <c r="AQ1151" t="inlineStr">
        <is>
          <t>No</t>
        </is>
      </c>
      <c r="AS1151">
        <f>HYPERLINK("https://creighton-primo.hosted.exlibrisgroup.com/primo-explore/search?tab=default_tab&amp;search_scope=EVERYTHING&amp;vid=01CRU&amp;lang=en_US&amp;offset=0&amp;query=any,contains,991004313069702656","Catalog Record")</f>
        <v/>
      </c>
      <c r="AT1151">
        <f>HYPERLINK("http://www.worldcat.org/oclc/53231231","WorldCat Record")</f>
        <v/>
      </c>
      <c r="AU1151" t="inlineStr">
        <is>
          <t>1876938614:eng</t>
        </is>
      </c>
      <c r="AV1151" t="inlineStr">
        <is>
          <t>53231231</t>
        </is>
      </c>
      <c r="AW1151" t="inlineStr">
        <is>
          <t>991004313069702656</t>
        </is>
      </c>
      <c r="AX1151" t="inlineStr">
        <is>
          <t>991004313069702656</t>
        </is>
      </c>
      <c r="AY1151" t="inlineStr">
        <is>
          <t>2263452920002656</t>
        </is>
      </c>
      <c r="AZ1151" t="inlineStr">
        <is>
          <t>BOOK</t>
        </is>
      </c>
      <c r="BB1151" t="inlineStr">
        <is>
          <t>9781931868693</t>
        </is>
      </c>
      <c r="BC1151" t="inlineStr">
        <is>
          <t>32285004924527</t>
        </is>
      </c>
      <c r="BD1151" t="inlineStr">
        <is>
          <t>893319055</t>
        </is>
      </c>
    </row>
    <row r="1152">
      <c r="A1152" t="inlineStr">
        <is>
          <t>No</t>
        </is>
      </c>
      <c r="B1152" t="inlineStr">
        <is>
          <t>LB2806.36 .J33 2005</t>
        </is>
      </c>
      <c r="C1152" t="inlineStr">
        <is>
          <t>0                      LB 2806360J  33          2005</t>
        </is>
      </c>
      <c r="D1152" t="inlineStr">
        <is>
          <t>Our school : the inspiring story of two teachers, one big idea, and the school that beat the odds / Joanne Jacobs.</t>
        </is>
      </c>
      <c r="F1152" t="inlineStr">
        <is>
          <t>No</t>
        </is>
      </c>
      <c r="G1152" t="inlineStr">
        <is>
          <t>1</t>
        </is>
      </c>
      <c r="H1152" t="inlineStr">
        <is>
          <t>No</t>
        </is>
      </c>
      <c r="I1152" t="inlineStr">
        <is>
          <t>No</t>
        </is>
      </c>
      <c r="J1152" t="inlineStr">
        <is>
          <t>0</t>
        </is>
      </c>
      <c r="K1152" t="inlineStr">
        <is>
          <t>Jacobs, Joanne.</t>
        </is>
      </c>
      <c r="L1152" t="inlineStr">
        <is>
          <t>New York : Palgrave Macmillan, 2005.</t>
        </is>
      </c>
      <c r="M1152" t="inlineStr">
        <is>
          <t>2005</t>
        </is>
      </c>
      <c r="O1152" t="inlineStr">
        <is>
          <t>eng</t>
        </is>
      </c>
      <c r="P1152" t="inlineStr">
        <is>
          <t>nyu</t>
        </is>
      </c>
      <c r="R1152" t="inlineStr">
        <is>
          <t xml:space="preserve">LB </t>
        </is>
      </c>
      <c r="S1152" t="n">
        <v>3</v>
      </c>
      <c r="T1152" t="n">
        <v>3</v>
      </c>
      <c r="U1152" t="inlineStr">
        <is>
          <t>2007-04-16</t>
        </is>
      </c>
      <c r="V1152" t="inlineStr">
        <is>
          <t>2007-04-16</t>
        </is>
      </c>
      <c r="W1152" t="inlineStr">
        <is>
          <t>2006-01-16</t>
        </is>
      </c>
      <c r="X1152" t="inlineStr">
        <is>
          <t>2006-01-16</t>
        </is>
      </c>
      <c r="Y1152" t="n">
        <v>456</v>
      </c>
      <c r="Z1152" t="n">
        <v>438</v>
      </c>
      <c r="AA1152" t="n">
        <v>506</v>
      </c>
      <c r="AB1152" t="n">
        <v>4</v>
      </c>
      <c r="AC1152" t="n">
        <v>4</v>
      </c>
      <c r="AD1152" t="n">
        <v>15</v>
      </c>
      <c r="AE1152" t="n">
        <v>16</v>
      </c>
      <c r="AF1152" t="n">
        <v>4</v>
      </c>
      <c r="AG1152" t="n">
        <v>5</v>
      </c>
      <c r="AH1152" t="n">
        <v>2</v>
      </c>
      <c r="AI1152" t="n">
        <v>3</v>
      </c>
      <c r="AJ1152" t="n">
        <v>9</v>
      </c>
      <c r="AK1152" t="n">
        <v>9</v>
      </c>
      <c r="AL1152" t="n">
        <v>3</v>
      </c>
      <c r="AM1152" t="n">
        <v>3</v>
      </c>
      <c r="AN1152" t="n">
        <v>0</v>
      </c>
      <c r="AO1152" t="n">
        <v>0</v>
      </c>
      <c r="AP1152" t="inlineStr">
        <is>
          <t>No</t>
        </is>
      </c>
      <c r="AQ1152" t="inlineStr">
        <is>
          <t>No</t>
        </is>
      </c>
      <c r="AS1152">
        <f>HYPERLINK("https://creighton-primo.hosted.exlibrisgroup.com/primo-explore/search?tab=default_tab&amp;search_scope=EVERYTHING&amp;vid=01CRU&amp;lang=en_US&amp;offset=0&amp;query=any,contains,991004711429702656","Catalog Record")</f>
        <v/>
      </c>
      <c r="AT1152">
        <f>HYPERLINK("http://www.worldcat.org/oclc/60523039","WorldCat Record")</f>
        <v/>
      </c>
      <c r="AU1152" t="inlineStr">
        <is>
          <t>793982792:eng</t>
        </is>
      </c>
      <c r="AV1152" t="inlineStr">
        <is>
          <t>60523039</t>
        </is>
      </c>
      <c r="AW1152" t="inlineStr">
        <is>
          <t>991004711429702656</t>
        </is>
      </c>
      <c r="AX1152" t="inlineStr">
        <is>
          <t>991004711429702656</t>
        </is>
      </c>
      <c r="AY1152" t="inlineStr">
        <is>
          <t>2267805540002656</t>
        </is>
      </c>
      <c r="AZ1152" t="inlineStr">
        <is>
          <t>BOOK</t>
        </is>
      </c>
      <c r="BB1152" t="inlineStr">
        <is>
          <t>9781403970237</t>
        </is>
      </c>
      <c r="BC1152" t="inlineStr">
        <is>
          <t>32285005155352</t>
        </is>
      </c>
      <c r="BD1152" t="inlineStr">
        <is>
          <t>893325682</t>
        </is>
      </c>
    </row>
    <row r="1153">
      <c r="A1153" t="inlineStr">
        <is>
          <t>No</t>
        </is>
      </c>
      <c r="B1153" t="inlineStr">
        <is>
          <t>LB2806.36 .M47 2009</t>
        </is>
      </c>
      <c r="C1153" t="inlineStr">
        <is>
          <t>0                      LB 2806360M  47          2009</t>
        </is>
      </c>
      <c r="D1153" t="inlineStr">
        <is>
          <t>Inside urban charter schools : promising practices and strategies in five high performing schools / Katherine K. Merseth ; with Kristy Cooper ... [et al.].</t>
        </is>
      </c>
      <c r="F1153" t="inlineStr">
        <is>
          <t>No</t>
        </is>
      </c>
      <c r="G1153" t="inlineStr">
        <is>
          <t>1</t>
        </is>
      </c>
      <c r="H1153" t="inlineStr">
        <is>
          <t>No</t>
        </is>
      </c>
      <c r="I1153" t="inlineStr">
        <is>
          <t>No</t>
        </is>
      </c>
      <c r="J1153" t="inlineStr">
        <is>
          <t>0</t>
        </is>
      </c>
      <c r="K1153" t="inlineStr">
        <is>
          <t>Merseth, Katherine Klippert.</t>
        </is>
      </c>
      <c r="L1153" t="inlineStr">
        <is>
          <t>Cambridge, MA : Harvard Education Press, c2009.</t>
        </is>
      </c>
      <c r="M1153" t="inlineStr">
        <is>
          <t>2009</t>
        </is>
      </c>
      <c r="O1153" t="inlineStr">
        <is>
          <t>eng</t>
        </is>
      </c>
      <c r="P1153" t="inlineStr">
        <is>
          <t>mau</t>
        </is>
      </c>
      <c r="R1153" t="inlineStr">
        <is>
          <t xml:space="preserve">LB </t>
        </is>
      </c>
      <c r="S1153" t="n">
        <v>1</v>
      </c>
      <c r="T1153" t="n">
        <v>1</v>
      </c>
      <c r="U1153" t="inlineStr">
        <is>
          <t>2009-05-20</t>
        </is>
      </c>
      <c r="V1153" t="inlineStr">
        <is>
          <t>2009-05-20</t>
        </is>
      </c>
      <c r="W1153" t="inlineStr">
        <is>
          <t>2009-05-20</t>
        </is>
      </c>
      <c r="X1153" t="inlineStr">
        <is>
          <t>2009-05-20</t>
        </is>
      </c>
      <c r="Y1153" t="n">
        <v>213</v>
      </c>
      <c r="Z1153" t="n">
        <v>201</v>
      </c>
      <c r="AA1153" t="n">
        <v>202</v>
      </c>
      <c r="AB1153" t="n">
        <v>3</v>
      </c>
      <c r="AC1153" t="n">
        <v>3</v>
      </c>
      <c r="AD1153" t="n">
        <v>10</v>
      </c>
      <c r="AE1153" t="n">
        <v>10</v>
      </c>
      <c r="AF1153" t="n">
        <v>5</v>
      </c>
      <c r="AG1153" t="n">
        <v>5</v>
      </c>
      <c r="AH1153" t="n">
        <v>2</v>
      </c>
      <c r="AI1153" t="n">
        <v>2</v>
      </c>
      <c r="AJ1153" t="n">
        <v>4</v>
      </c>
      <c r="AK1153" t="n">
        <v>4</v>
      </c>
      <c r="AL1153" t="n">
        <v>2</v>
      </c>
      <c r="AM1153" t="n">
        <v>2</v>
      </c>
      <c r="AN1153" t="n">
        <v>0</v>
      </c>
      <c r="AO1153" t="n">
        <v>0</v>
      </c>
      <c r="AP1153" t="inlineStr">
        <is>
          <t>No</t>
        </is>
      </c>
      <c r="AQ1153" t="inlineStr">
        <is>
          <t>No</t>
        </is>
      </c>
      <c r="AS1153">
        <f>HYPERLINK("https://creighton-primo.hosted.exlibrisgroup.com/primo-explore/search?tab=default_tab&amp;search_scope=EVERYTHING&amp;vid=01CRU&amp;lang=en_US&amp;offset=0&amp;query=any,contains,991005309349702656","Catalog Record")</f>
        <v/>
      </c>
      <c r="AT1153">
        <f>HYPERLINK("http://www.worldcat.org/oclc/317494750","WorldCat Record")</f>
        <v/>
      </c>
      <c r="AU1153" t="inlineStr">
        <is>
          <t>10640532447:eng</t>
        </is>
      </c>
      <c r="AV1153" t="inlineStr">
        <is>
          <t>317494750</t>
        </is>
      </c>
      <c r="AW1153" t="inlineStr">
        <is>
          <t>991005309349702656</t>
        </is>
      </c>
      <c r="AX1153" t="inlineStr">
        <is>
          <t>991005309349702656</t>
        </is>
      </c>
      <c r="AY1153" t="inlineStr">
        <is>
          <t>2256828340002656</t>
        </is>
      </c>
      <c r="AZ1153" t="inlineStr">
        <is>
          <t>BOOK</t>
        </is>
      </c>
      <c r="BB1153" t="inlineStr">
        <is>
          <t>9781934742105</t>
        </is>
      </c>
      <c r="BC1153" t="inlineStr">
        <is>
          <t>32285005532766</t>
        </is>
      </c>
      <c r="BD1153" t="inlineStr">
        <is>
          <t>893902458</t>
        </is>
      </c>
    </row>
    <row r="1154">
      <c r="A1154" t="inlineStr">
        <is>
          <t>No</t>
        </is>
      </c>
      <c r="B1154" t="inlineStr">
        <is>
          <t>LB2806.36 .M58 2002</t>
        </is>
      </c>
      <c r="C1154" t="inlineStr">
        <is>
          <t>0                      LB 2806360M  58          2002</t>
        </is>
      </c>
      <c r="D1154" t="inlineStr">
        <is>
          <t>What's public about charter schools? : lessons learned about choice and accountability / by Gary Miron and Christopher Nelson.</t>
        </is>
      </c>
      <c r="F1154" t="inlineStr">
        <is>
          <t>No</t>
        </is>
      </c>
      <c r="G1154" t="inlineStr">
        <is>
          <t>1</t>
        </is>
      </c>
      <c r="H1154" t="inlineStr">
        <is>
          <t>No</t>
        </is>
      </c>
      <c r="I1154" t="inlineStr">
        <is>
          <t>No</t>
        </is>
      </c>
      <c r="J1154" t="inlineStr">
        <is>
          <t>0</t>
        </is>
      </c>
      <c r="K1154" t="inlineStr">
        <is>
          <t>Miron, Gary.</t>
        </is>
      </c>
      <c r="L1154" t="inlineStr">
        <is>
          <t>Thousand Oaks, CA : Corwin Press, c2002.</t>
        </is>
      </c>
      <c r="M1154" t="inlineStr">
        <is>
          <t>2002</t>
        </is>
      </c>
      <c r="O1154" t="inlineStr">
        <is>
          <t>eng</t>
        </is>
      </c>
      <c r="P1154" t="inlineStr">
        <is>
          <t>cau</t>
        </is>
      </c>
      <c r="R1154" t="inlineStr">
        <is>
          <t xml:space="preserve">LB </t>
        </is>
      </c>
      <c r="S1154" t="n">
        <v>4</v>
      </c>
      <c r="T1154" t="n">
        <v>4</v>
      </c>
      <c r="U1154" t="inlineStr">
        <is>
          <t>2005-10-25</t>
        </is>
      </c>
      <c r="V1154" t="inlineStr">
        <is>
          <t>2005-10-25</t>
        </is>
      </c>
      <c r="W1154" t="inlineStr">
        <is>
          <t>2002-06-25</t>
        </is>
      </c>
      <c r="X1154" t="inlineStr">
        <is>
          <t>2002-06-25</t>
        </is>
      </c>
      <c r="Y1154" t="n">
        <v>325</v>
      </c>
      <c r="Z1154" t="n">
        <v>290</v>
      </c>
      <c r="AA1154" t="n">
        <v>296</v>
      </c>
      <c r="AB1154" t="n">
        <v>3</v>
      </c>
      <c r="AC1154" t="n">
        <v>3</v>
      </c>
      <c r="AD1154" t="n">
        <v>19</v>
      </c>
      <c r="AE1154" t="n">
        <v>19</v>
      </c>
      <c r="AF1154" t="n">
        <v>9</v>
      </c>
      <c r="AG1154" t="n">
        <v>9</v>
      </c>
      <c r="AH1154" t="n">
        <v>5</v>
      </c>
      <c r="AI1154" t="n">
        <v>5</v>
      </c>
      <c r="AJ1154" t="n">
        <v>8</v>
      </c>
      <c r="AK1154" t="n">
        <v>8</v>
      </c>
      <c r="AL1154" t="n">
        <v>2</v>
      </c>
      <c r="AM1154" t="n">
        <v>2</v>
      </c>
      <c r="AN1154" t="n">
        <v>0</v>
      </c>
      <c r="AO1154" t="n">
        <v>0</v>
      </c>
      <c r="AP1154" t="inlineStr">
        <is>
          <t>No</t>
        </is>
      </c>
      <c r="AQ1154" t="inlineStr">
        <is>
          <t>Yes</t>
        </is>
      </c>
      <c r="AR1154">
        <f>HYPERLINK("http://catalog.hathitrust.org/Record/003615502","HathiTrust Record")</f>
        <v/>
      </c>
      <c r="AS1154">
        <f>HYPERLINK("https://creighton-primo.hosted.exlibrisgroup.com/primo-explore/search?tab=default_tab&amp;search_scope=EVERYTHING&amp;vid=01CRU&amp;lang=en_US&amp;offset=0&amp;query=any,contains,991003830909702656","Catalog Record")</f>
        <v/>
      </c>
      <c r="AT1154">
        <f>HYPERLINK("http://www.worldcat.org/oclc/48966849","WorldCat Record")</f>
        <v/>
      </c>
      <c r="AU1154" t="inlineStr">
        <is>
          <t>1044834:eng</t>
        </is>
      </c>
      <c r="AV1154" t="inlineStr">
        <is>
          <t>48966849</t>
        </is>
      </c>
      <c r="AW1154" t="inlineStr">
        <is>
          <t>991003830909702656</t>
        </is>
      </c>
      <c r="AX1154" t="inlineStr">
        <is>
          <t>991003830909702656</t>
        </is>
      </c>
      <c r="AY1154" t="inlineStr">
        <is>
          <t>2270320350002656</t>
        </is>
      </c>
      <c r="AZ1154" t="inlineStr">
        <is>
          <t>BOOK</t>
        </is>
      </c>
      <c r="BB1154" t="inlineStr">
        <is>
          <t>9780761945376</t>
        </is>
      </c>
      <c r="BC1154" t="inlineStr">
        <is>
          <t>32285004495460</t>
        </is>
      </c>
      <c r="BD1154" t="inlineStr">
        <is>
          <t>893441808</t>
        </is>
      </c>
    </row>
    <row r="1155">
      <c r="A1155" t="inlineStr">
        <is>
          <t>No</t>
        </is>
      </c>
      <c r="B1155" t="inlineStr">
        <is>
          <t>LB2806.36 .P756 2009</t>
        </is>
      </c>
      <c r="C1155" t="inlineStr">
        <is>
          <t>0                      LB 2806360P  756         2009</t>
        </is>
      </c>
      <c r="D1155" t="inlineStr">
        <is>
          <t>Privatizing the public university : perspectives from across the academy / edited by Christopher C. Morphew and Peter D. Eckel.</t>
        </is>
      </c>
      <c r="F1155" t="inlineStr">
        <is>
          <t>No</t>
        </is>
      </c>
      <c r="G1155" t="inlineStr">
        <is>
          <t>1</t>
        </is>
      </c>
      <c r="H1155" t="inlineStr">
        <is>
          <t>No</t>
        </is>
      </c>
      <c r="I1155" t="inlineStr">
        <is>
          <t>No</t>
        </is>
      </c>
      <c r="J1155" t="inlineStr">
        <is>
          <t>0</t>
        </is>
      </c>
      <c r="L1155" t="inlineStr">
        <is>
          <t>Baltimore : Johns Hopkins University Press, 2009.</t>
        </is>
      </c>
      <c r="M1155" t="inlineStr">
        <is>
          <t>2009</t>
        </is>
      </c>
      <c r="O1155" t="inlineStr">
        <is>
          <t>eng</t>
        </is>
      </c>
      <c r="P1155" t="inlineStr">
        <is>
          <t>mdu</t>
        </is>
      </c>
      <c r="R1155" t="inlineStr">
        <is>
          <t xml:space="preserve">LB </t>
        </is>
      </c>
      <c r="S1155" t="n">
        <v>1</v>
      </c>
      <c r="T1155" t="n">
        <v>1</v>
      </c>
      <c r="U1155" t="inlineStr">
        <is>
          <t>2010-05-05</t>
        </is>
      </c>
      <c r="V1155" t="inlineStr">
        <is>
          <t>2010-05-05</t>
        </is>
      </c>
      <c r="W1155" t="inlineStr">
        <is>
          <t>2010-05-05</t>
        </is>
      </c>
      <c r="X1155" t="inlineStr">
        <is>
          <t>2010-05-05</t>
        </is>
      </c>
      <c r="Y1155" t="n">
        <v>252</v>
      </c>
      <c r="Z1155" t="n">
        <v>218</v>
      </c>
      <c r="AA1155" t="n">
        <v>233</v>
      </c>
      <c r="AB1155" t="n">
        <v>3</v>
      </c>
      <c r="AC1155" t="n">
        <v>4</v>
      </c>
      <c r="AD1155" t="n">
        <v>13</v>
      </c>
      <c r="AE1155" t="n">
        <v>14</v>
      </c>
      <c r="AF1155" t="n">
        <v>5</v>
      </c>
      <c r="AG1155" t="n">
        <v>5</v>
      </c>
      <c r="AH1155" t="n">
        <v>3</v>
      </c>
      <c r="AI1155" t="n">
        <v>3</v>
      </c>
      <c r="AJ1155" t="n">
        <v>7</v>
      </c>
      <c r="AK1155" t="n">
        <v>7</v>
      </c>
      <c r="AL1155" t="n">
        <v>2</v>
      </c>
      <c r="AM1155" t="n">
        <v>3</v>
      </c>
      <c r="AN1155" t="n">
        <v>0</v>
      </c>
      <c r="AO1155" t="n">
        <v>0</v>
      </c>
      <c r="AP1155" t="inlineStr">
        <is>
          <t>No</t>
        </is>
      </c>
      <c r="AQ1155" t="inlineStr">
        <is>
          <t>No</t>
        </is>
      </c>
      <c r="AS1155">
        <f>HYPERLINK("https://creighton-primo.hosted.exlibrisgroup.com/primo-explore/search?tab=default_tab&amp;search_scope=EVERYTHING&amp;vid=01CRU&amp;lang=en_US&amp;offset=0&amp;query=any,contains,991005393679702656","Catalog Record")</f>
        <v/>
      </c>
      <c r="AT1155">
        <f>HYPERLINK("http://www.worldcat.org/oclc/244440378","WorldCat Record")</f>
        <v/>
      </c>
      <c r="AU1155" t="inlineStr">
        <is>
          <t>142265978:eng</t>
        </is>
      </c>
      <c r="AV1155" t="inlineStr">
        <is>
          <t>244440378</t>
        </is>
      </c>
      <c r="AW1155" t="inlineStr">
        <is>
          <t>991005393679702656</t>
        </is>
      </c>
      <c r="AX1155" t="inlineStr">
        <is>
          <t>991005393679702656</t>
        </is>
      </c>
      <c r="AY1155" t="inlineStr">
        <is>
          <t>2266859420002656</t>
        </is>
      </c>
      <c r="AZ1155" t="inlineStr">
        <is>
          <t>BOOK</t>
        </is>
      </c>
      <c r="BB1155" t="inlineStr">
        <is>
          <t>9780801891649</t>
        </is>
      </c>
      <c r="BC1155" t="inlineStr">
        <is>
          <t>32285005580633</t>
        </is>
      </c>
      <c r="BD1155" t="inlineStr">
        <is>
          <t>893890164</t>
        </is>
      </c>
    </row>
    <row r="1156">
      <c r="A1156" t="inlineStr">
        <is>
          <t>No</t>
        </is>
      </c>
      <c r="B1156" t="inlineStr">
        <is>
          <t>LB2806.36 .S275 2002</t>
        </is>
      </c>
      <c r="C1156" t="inlineStr">
        <is>
          <t>0                      LB 2806360S  275         2002</t>
        </is>
      </c>
      <c r="D1156" t="inlineStr">
        <is>
          <t>Questions you should ask about charter schools and vouchers / Seymour B. Sarason.</t>
        </is>
      </c>
      <c r="F1156" t="inlineStr">
        <is>
          <t>No</t>
        </is>
      </c>
      <c r="G1156" t="inlineStr">
        <is>
          <t>1</t>
        </is>
      </c>
      <c r="H1156" t="inlineStr">
        <is>
          <t>No</t>
        </is>
      </c>
      <c r="I1156" t="inlineStr">
        <is>
          <t>No</t>
        </is>
      </c>
      <c r="J1156" t="inlineStr">
        <is>
          <t>0</t>
        </is>
      </c>
      <c r="K1156" t="inlineStr">
        <is>
          <t>Sarason, Seymour Bernard, 1919-2010.</t>
        </is>
      </c>
      <c r="L1156" t="inlineStr">
        <is>
          <t>Portsmouth, NH : Heinemann, c2002.</t>
        </is>
      </c>
      <c r="M1156" t="inlineStr">
        <is>
          <t>2002</t>
        </is>
      </c>
      <c r="O1156" t="inlineStr">
        <is>
          <t>eng</t>
        </is>
      </c>
      <c r="P1156" t="inlineStr">
        <is>
          <t>nhu</t>
        </is>
      </c>
      <c r="R1156" t="inlineStr">
        <is>
          <t xml:space="preserve">LB </t>
        </is>
      </c>
      <c r="S1156" t="n">
        <v>4</v>
      </c>
      <c r="T1156" t="n">
        <v>4</v>
      </c>
      <c r="U1156" t="inlineStr">
        <is>
          <t>2006-04-06</t>
        </is>
      </c>
      <c r="V1156" t="inlineStr">
        <is>
          <t>2006-04-06</t>
        </is>
      </c>
      <c r="W1156" t="inlineStr">
        <is>
          <t>2002-08-15</t>
        </is>
      </c>
      <c r="X1156" t="inlineStr">
        <is>
          <t>2002-08-15</t>
        </is>
      </c>
      <c r="Y1156" t="n">
        <v>348</v>
      </c>
      <c r="Z1156" t="n">
        <v>337</v>
      </c>
      <c r="AA1156" t="n">
        <v>342</v>
      </c>
      <c r="AB1156" t="n">
        <v>2</v>
      </c>
      <c r="AC1156" t="n">
        <v>2</v>
      </c>
      <c r="AD1156" t="n">
        <v>14</v>
      </c>
      <c r="AE1156" t="n">
        <v>14</v>
      </c>
      <c r="AF1156" t="n">
        <v>5</v>
      </c>
      <c r="AG1156" t="n">
        <v>5</v>
      </c>
      <c r="AH1156" t="n">
        <v>5</v>
      </c>
      <c r="AI1156" t="n">
        <v>5</v>
      </c>
      <c r="AJ1156" t="n">
        <v>5</v>
      </c>
      <c r="AK1156" t="n">
        <v>5</v>
      </c>
      <c r="AL1156" t="n">
        <v>1</v>
      </c>
      <c r="AM1156" t="n">
        <v>1</v>
      </c>
      <c r="AN1156" t="n">
        <v>1</v>
      </c>
      <c r="AO1156" t="n">
        <v>1</v>
      </c>
      <c r="AP1156" t="inlineStr">
        <is>
          <t>No</t>
        </is>
      </c>
      <c r="AQ1156" t="inlineStr">
        <is>
          <t>No</t>
        </is>
      </c>
      <c r="AS1156">
        <f>HYPERLINK("https://creighton-primo.hosted.exlibrisgroup.com/primo-explore/search?tab=default_tab&amp;search_scope=EVERYTHING&amp;vid=01CRU&amp;lang=en_US&amp;offset=0&amp;query=any,contains,991003854279702656","Catalog Record")</f>
        <v/>
      </c>
      <c r="AT1156">
        <f>HYPERLINK("http://www.worldcat.org/oclc/48100421","WorldCat Record")</f>
        <v/>
      </c>
      <c r="AU1156" t="inlineStr">
        <is>
          <t>383449095:eng</t>
        </is>
      </c>
      <c r="AV1156" t="inlineStr">
        <is>
          <t>48100421</t>
        </is>
      </c>
      <c r="AW1156" t="inlineStr">
        <is>
          <t>991003854279702656</t>
        </is>
      </c>
      <c r="AX1156" t="inlineStr">
        <is>
          <t>991003854279702656</t>
        </is>
      </c>
      <c r="AY1156" t="inlineStr">
        <is>
          <t>2258209080002656</t>
        </is>
      </c>
      <c r="AZ1156" t="inlineStr">
        <is>
          <t>BOOK</t>
        </is>
      </c>
      <c r="BB1156" t="inlineStr">
        <is>
          <t>9780325004051</t>
        </is>
      </c>
      <c r="BC1156" t="inlineStr">
        <is>
          <t>32285004643408</t>
        </is>
      </c>
      <c r="BD1156" t="inlineStr">
        <is>
          <t>893416880</t>
        </is>
      </c>
    </row>
    <row r="1157">
      <c r="A1157" t="inlineStr">
        <is>
          <t>No</t>
        </is>
      </c>
      <c r="B1157" t="inlineStr">
        <is>
          <t>LB2806.4 .B63 1998</t>
        </is>
      </c>
      <c r="C1157" t="inlineStr">
        <is>
          <t>0                      LB 2806400B  63          1998</t>
        </is>
      </c>
      <c r="D1157" t="inlineStr">
        <is>
          <t>Handbook of instructional leadership : how really good principals promote teaching and learning / Jo Blase, Joseph Blase.</t>
        </is>
      </c>
      <c r="F1157" t="inlineStr">
        <is>
          <t>No</t>
        </is>
      </c>
      <c r="G1157" t="inlineStr">
        <is>
          <t>1</t>
        </is>
      </c>
      <c r="H1157" t="inlineStr">
        <is>
          <t>No</t>
        </is>
      </c>
      <c r="I1157" t="inlineStr">
        <is>
          <t>No</t>
        </is>
      </c>
      <c r="J1157" t="inlineStr">
        <is>
          <t>0</t>
        </is>
      </c>
      <c r="K1157" t="inlineStr">
        <is>
          <t>Blase, Jo Roberts.</t>
        </is>
      </c>
      <c r="L1157" t="inlineStr">
        <is>
          <t>Thousand Oaks, Calif. : Corwin Press, c1998.</t>
        </is>
      </c>
      <c r="M1157" t="inlineStr">
        <is>
          <t>1998</t>
        </is>
      </c>
      <c r="O1157" t="inlineStr">
        <is>
          <t>eng</t>
        </is>
      </c>
      <c r="P1157" t="inlineStr">
        <is>
          <t>cau</t>
        </is>
      </c>
      <c r="R1157" t="inlineStr">
        <is>
          <t xml:space="preserve">LB </t>
        </is>
      </c>
      <c r="S1157" t="n">
        <v>4</v>
      </c>
      <c r="T1157" t="n">
        <v>4</v>
      </c>
      <c r="U1157" t="inlineStr">
        <is>
          <t>2004-10-30</t>
        </is>
      </c>
      <c r="V1157" t="inlineStr">
        <is>
          <t>2004-10-30</t>
        </is>
      </c>
      <c r="W1157" t="inlineStr">
        <is>
          <t>1998-10-20</t>
        </is>
      </c>
      <c r="X1157" t="inlineStr">
        <is>
          <t>1998-10-20</t>
        </is>
      </c>
      <c r="Y1157" t="n">
        <v>407</v>
      </c>
      <c r="Z1157" t="n">
        <v>335</v>
      </c>
      <c r="AA1157" t="n">
        <v>496</v>
      </c>
      <c r="AB1157" t="n">
        <v>5</v>
      </c>
      <c r="AC1157" t="n">
        <v>8</v>
      </c>
      <c r="AD1157" t="n">
        <v>20</v>
      </c>
      <c r="AE1157" t="n">
        <v>30</v>
      </c>
      <c r="AF1157" t="n">
        <v>7</v>
      </c>
      <c r="AG1157" t="n">
        <v>12</v>
      </c>
      <c r="AH1157" t="n">
        <v>3</v>
      </c>
      <c r="AI1157" t="n">
        <v>6</v>
      </c>
      <c r="AJ1157" t="n">
        <v>10</v>
      </c>
      <c r="AK1157" t="n">
        <v>13</v>
      </c>
      <c r="AL1157" t="n">
        <v>4</v>
      </c>
      <c r="AM1157" t="n">
        <v>7</v>
      </c>
      <c r="AN1157" t="n">
        <v>0</v>
      </c>
      <c r="AO1157" t="n">
        <v>0</v>
      </c>
      <c r="AP1157" t="inlineStr">
        <is>
          <t>No</t>
        </is>
      </c>
      <c r="AQ1157" t="inlineStr">
        <is>
          <t>Yes</t>
        </is>
      </c>
      <c r="AR1157">
        <f>HYPERLINK("http://catalog.hathitrust.org/Record/003969987","HathiTrust Record")</f>
        <v/>
      </c>
      <c r="AS1157">
        <f>HYPERLINK("https://creighton-primo.hosted.exlibrisgroup.com/primo-explore/search?tab=default_tab&amp;search_scope=EVERYTHING&amp;vid=01CRU&amp;lang=en_US&amp;offset=0&amp;query=any,contains,991002868199702656","Catalog Record")</f>
        <v/>
      </c>
      <c r="AT1157">
        <f>HYPERLINK("http://www.worldcat.org/oclc/37806276","WorldCat Record")</f>
        <v/>
      </c>
      <c r="AU1157" t="inlineStr">
        <is>
          <t>612738:eng</t>
        </is>
      </c>
      <c r="AV1157" t="inlineStr">
        <is>
          <t>37806276</t>
        </is>
      </c>
      <c r="AW1157" t="inlineStr">
        <is>
          <t>991002868199702656</t>
        </is>
      </c>
      <c r="AX1157" t="inlineStr">
        <is>
          <t>991002868199702656</t>
        </is>
      </c>
      <c r="AY1157" t="inlineStr">
        <is>
          <t>2259251800002656</t>
        </is>
      </c>
      <c r="AZ1157" t="inlineStr">
        <is>
          <t>BOOK</t>
        </is>
      </c>
      <c r="BB1157" t="inlineStr">
        <is>
          <t>9780803965539</t>
        </is>
      </c>
      <c r="BC1157" t="inlineStr">
        <is>
          <t>32285003474920</t>
        </is>
      </c>
      <c r="BD1157" t="inlineStr">
        <is>
          <t>893440623</t>
        </is>
      </c>
    </row>
    <row r="1158">
      <c r="A1158" t="inlineStr">
        <is>
          <t>No</t>
        </is>
      </c>
      <c r="B1158" t="inlineStr">
        <is>
          <t>LB2806.4 .G52 1991</t>
        </is>
      </c>
      <c r="C1158" t="inlineStr">
        <is>
          <t>0                      LB 2806400G  52          1991</t>
        </is>
      </c>
      <c r="D1158" t="inlineStr">
        <is>
          <t>Working with teachers effectively : communication, relationship, and problem-solving skills for school principals / by Lawrence L. Giandomenico and Lawrence Shulman.</t>
        </is>
      </c>
      <c r="F1158" t="inlineStr">
        <is>
          <t>No</t>
        </is>
      </c>
      <c r="G1158" t="inlineStr">
        <is>
          <t>1</t>
        </is>
      </c>
      <c r="H1158" t="inlineStr">
        <is>
          <t>No</t>
        </is>
      </c>
      <c r="I1158" t="inlineStr">
        <is>
          <t>No</t>
        </is>
      </c>
      <c r="J1158" t="inlineStr">
        <is>
          <t>0</t>
        </is>
      </c>
      <c r="K1158" t="inlineStr">
        <is>
          <t>Giandomenico, Lawrence L.</t>
        </is>
      </c>
      <c r="L1158" t="inlineStr">
        <is>
          <t>Springfield, Ill., U.S.A. : C.C. Thomas, c1991.</t>
        </is>
      </c>
      <c r="M1158" t="inlineStr">
        <is>
          <t>1991</t>
        </is>
      </c>
      <c r="O1158" t="inlineStr">
        <is>
          <t>eng</t>
        </is>
      </c>
      <c r="P1158" t="inlineStr">
        <is>
          <t>ilu</t>
        </is>
      </c>
      <c r="R1158" t="inlineStr">
        <is>
          <t xml:space="preserve">LB </t>
        </is>
      </c>
      <c r="S1158" t="n">
        <v>3</v>
      </c>
      <c r="T1158" t="n">
        <v>3</v>
      </c>
      <c r="U1158" t="inlineStr">
        <is>
          <t>2000-04-18</t>
        </is>
      </c>
      <c r="V1158" t="inlineStr">
        <is>
          <t>2000-04-18</t>
        </is>
      </c>
      <c r="W1158" t="inlineStr">
        <is>
          <t>1992-04-20</t>
        </is>
      </c>
      <c r="X1158" t="inlineStr">
        <is>
          <t>1992-04-20</t>
        </is>
      </c>
      <c r="Y1158" t="n">
        <v>173</v>
      </c>
      <c r="Z1158" t="n">
        <v>151</v>
      </c>
      <c r="AA1158" t="n">
        <v>152</v>
      </c>
      <c r="AB1158" t="n">
        <v>3</v>
      </c>
      <c r="AC1158" t="n">
        <v>3</v>
      </c>
      <c r="AD1158" t="n">
        <v>10</v>
      </c>
      <c r="AE1158" t="n">
        <v>10</v>
      </c>
      <c r="AF1158" t="n">
        <v>2</v>
      </c>
      <c r="AG1158" t="n">
        <v>2</v>
      </c>
      <c r="AH1158" t="n">
        <v>2</v>
      </c>
      <c r="AI1158" t="n">
        <v>2</v>
      </c>
      <c r="AJ1158" t="n">
        <v>6</v>
      </c>
      <c r="AK1158" t="n">
        <v>6</v>
      </c>
      <c r="AL1158" t="n">
        <v>2</v>
      </c>
      <c r="AM1158" t="n">
        <v>2</v>
      </c>
      <c r="AN1158" t="n">
        <v>0</v>
      </c>
      <c r="AO1158" t="n">
        <v>0</v>
      </c>
      <c r="AP1158" t="inlineStr">
        <is>
          <t>No</t>
        </is>
      </c>
      <c r="AQ1158" t="inlineStr">
        <is>
          <t>Yes</t>
        </is>
      </c>
      <c r="AR1158">
        <f>HYPERLINK("http://catalog.hathitrust.org/Record/101933973","HathiTrust Record")</f>
        <v/>
      </c>
      <c r="AS1158">
        <f>HYPERLINK("https://creighton-primo.hosted.exlibrisgroup.com/primo-explore/search?tab=default_tab&amp;search_scope=EVERYTHING&amp;vid=01CRU&amp;lang=en_US&amp;offset=0&amp;query=any,contains,991001894019702656","Catalog Record")</f>
        <v/>
      </c>
      <c r="AT1158">
        <f>HYPERLINK("http://www.worldcat.org/oclc/23939838","WorldCat Record")</f>
        <v/>
      </c>
      <c r="AU1158" t="inlineStr">
        <is>
          <t>1781337548:eng</t>
        </is>
      </c>
      <c r="AV1158" t="inlineStr">
        <is>
          <t>23939838</t>
        </is>
      </c>
      <c r="AW1158" t="inlineStr">
        <is>
          <t>991001894019702656</t>
        </is>
      </c>
      <c r="AX1158" t="inlineStr">
        <is>
          <t>991001894019702656</t>
        </is>
      </c>
      <c r="AY1158" t="inlineStr">
        <is>
          <t>2258967450002656</t>
        </is>
      </c>
      <c r="AZ1158" t="inlineStr">
        <is>
          <t>BOOK</t>
        </is>
      </c>
      <c r="BB1158" t="inlineStr">
        <is>
          <t>9780398057534</t>
        </is>
      </c>
      <c r="BC1158" t="inlineStr">
        <is>
          <t>32285001035541</t>
        </is>
      </c>
      <c r="BD1158" t="inlineStr">
        <is>
          <t>893516645</t>
        </is>
      </c>
    </row>
    <row r="1159">
      <c r="A1159" t="inlineStr">
        <is>
          <t>No</t>
        </is>
      </c>
      <c r="B1159" t="inlineStr">
        <is>
          <t>LB2806.4 .G56 1995</t>
        </is>
      </c>
      <c r="C1159" t="inlineStr">
        <is>
          <t>0                      LB 2806400G  56          1995</t>
        </is>
      </c>
      <c r="D1159" t="inlineStr">
        <is>
          <t>Supervision of instruction : a developmental approach / Carl D. Glickman, Stephen P. Gordon, Jovita M. Ross-Gordon.</t>
        </is>
      </c>
      <c r="F1159" t="inlineStr">
        <is>
          <t>No</t>
        </is>
      </c>
      <c r="G1159" t="inlineStr">
        <is>
          <t>1</t>
        </is>
      </c>
      <c r="H1159" t="inlineStr">
        <is>
          <t>No</t>
        </is>
      </c>
      <c r="I1159" t="inlineStr">
        <is>
          <t>No</t>
        </is>
      </c>
      <c r="J1159" t="inlineStr">
        <is>
          <t>0</t>
        </is>
      </c>
      <c r="K1159" t="inlineStr">
        <is>
          <t>Glickman, Carl D.</t>
        </is>
      </c>
      <c r="L1159" t="inlineStr">
        <is>
          <t>Boston : Allyn and Bacon, c1995.</t>
        </is>
      </c>
      <c r="M1159" t="inlineStr">
        <is>
          <t>1995</t>
        </is>
      </c>
      <c r="N1159" t="inlineStr">
        <is>
          <t>3rd ed.</t>
        </is>
      </c>
      <c r="O1159" t="inlineStr">
        <is>
          <t>eng</t>
        </is>
      </c>
      <c r="P1159" t="inlineStr">
        <is>
          <t>mau</t>
        </is>
      </c>
      <c r="R1159" t="inlineStr">
        <is>
          <t xml:space="preserve">LB </t>
        </is>
      </c>
      <c r="S1159" t="n">
        <v>4</v>
      </c>
      <c r="T1159" t="n">
        <v>4</v>
      </c>
      <c r="U1159" t="inlineStr">
        <is>
          <t>2010-08-30</t>
        </is>
      </c>
      <c r="V1159" t="inlineStr">
        <is>
          <t>2010-08-30</t>
        </is>
      </c>
      <c r="W1159" t="inlineStr">
        <is>
          <t>1996-05-22</t>
        </is>
      </c>
      <c r="X1159" t="inlineStr">
        <is>
          <t>1996-05-22</t>
        </is>
      </c>
      <c r="Y1159" t="n">
        <v>159</v>
      </c>
      <c r="Z1159" t="n">
        <v>131</v>
      </c>
      <c r="AA1159" t="n">
        <v>604</v>
      </c>
      <c r="AB1159" t="n">
        <v>3</v>
      </c>
      <c r="AC1159" t="n">
        <v>9</v>
      </c>
      <c r="AD1159" t="n">
        <v>6</v>
      </c>
      <c r="AE1159" t="n">
        <v>31</v>
      </c>
      <c r="AF1159" t="n">
        <v>2</v>
      </c>
      <c r="AG1159" t="n">
        <v>14</v>
      </c>
      <c r="AH1159" t="n">
        <v>0</v>
      </c>
      <c r="AI1159" t="n">
        <v>3</v>
      </c>
      <c r="AJ1159" t="n">
        <v>4</v>
      </c>
      <c r="AK1159" t="n">
        <v>13</v>
      </c>
      <c r="AL1159" t="n">
        <v>2</v>
      </c>
      <c r="AM1159" t="n">
        <v>8</v>
      </c>
      <c r="AN1159" t="n">
        <v>0</v>
      </c>
      <c r="AO1159" t="n">
        <v>0</v>
      </c>
      <c r="AP1159" t="inlineStr">
        <is>
          <t>No</t>
        </is>
      </c>
      <c r="AQ1159" t="inlineStr">
        <is>
          <t>Yes</t>
        </is>
      </c>
      <c r="AR1159">
        <f>HYPERLINK("http://catalog.hathitrust.org/Record/008327545","HathiTrust Record")</f>
        <v/>
      </c>
      <c r="AS1159">
        <f>HYPERLINK("https://creighton-primo.hosted.exlibrisgroup.com/primo-explore/search?tab=default_tab&amp;search_scope=EVERYTHING&amp;vid=01CRU&amp;lang=en_US&amp;offset=0&amp;query=any,contains,991002356589702656","Catalog Record")</f>
        <v/>
      </c>
      <c r="AT1159">
        <f>HYPERLINK("http://www.worldcat.org/oclc/30666190","WorldCat Record")</f>
        <v/>
      </c>
      <c r="AU1159" t="inlineStr">
        <is>
          <t>4453910:eng</t>
        </is>
      </c>
      <c r="AV1159" t="inlineStr">
        <is>
          <t>30666190</t>
        </is>
      </c>
      <c r="AW1159" t="inlineStr">
        <is>
          <t>991002356589702656</t>
        </is>
      </c>
      <c r="AX1159" t="inlineStr">
        <is>
          <t>991002356589702656</t>
        </is>
      </c>
      <c r="AY1159" t="inlineStr">
        <is>
          <t>2267758230002656</t>
        </is>
      </c>
      <c r="AZ1159" t="inlineStr">
        <is>
          <t>BOOK</t>
        </is>
      </c>
      <c r="BB1159" t="inlineStr">
        <is>
          <t>9780205163892</t>
        </is>
      </c>
      <c r="BC1159" t="inlineStr">
        <is>
          <t>32285002177078</t>
        </is>
      </c>
      <c r="BD1159" t="inlineStr">
        <is>
          <t>893867108</t>
        </is>
      </c>
    </row>
    <row r="1160">
      <c r="A1160" t="inlineStr">
        <is>
          <t>No</t>
        </is>
      </c>
      <c r="B1160" t="inlineStr">
        <is>
          <t>LB2806.4 .K67 1997</t>
        </is>
      </c>
      <c r="C1160" t="inlineStr">
        <is>
          <t>0                      LB 2806400K  67          1997</t>
        </is>
      </c>
      <c r="D1160" t="inlineStr">
        <is>
          <t>Supervision / Georgia J. Kosmoski.</t>
        </is>
      </c>
      <c r="F1160" t="inlineStr">
        <is>
          <t>No</t>
        </is>
      </c>
      <c r="G1160" t="inlineStr">
        <is>
          <t>1</t>
        </is>
      </c>
      <c r="H1160" t="inlineStr">
        <is>
          <t>No</t>
        </is>
      </c>
      <c r="I1160" t="inlineStr">
        <is>
          <t>No</t>
        </is>
      </c>
      <c r="J1160" t="inlineStr">
        <is>
          <t>0</t>
        </is>
      </c>
      <c r="K1160" t="inlineStr">
        <is>
          <t>Kosmoski, Georgia J.</t>
        </is>
      </c>
      <c r="L1160" t="inlineStr">
        <is>
          <t>Mequon, WI : Stylex Pub. Co., c1997.</t>
        </is>
      </c>
      <c r="M1160" t="inlineStr">
        <is>
          <t>1997</t>
        </is>
      </c>
      <c r="O1160" t="inlineStr">
        <is>
          <t>eng</t>
        </is>
      </c>
      <c r="P1160" t="inlineStr">
        <is>
          <t>wiu</t>
        </is>
      </c>
      <c r="R1160" t="inlineStr">
        <is>
          <t xml:space="preserve">LB </t>
        </is>
      </c>
      <c r="S1160" t="n">
        <v>4</v>
      </c>
      <c r="T1160" t="n">
        <v>4</v>
      </c>
      <c r="U1160" t="inlineStr">
        <is>
          <t>2002-09-18</t>
        </is>
      </c>
      <c r="V1160" t="inlineStr">
        <is>
          <t>2002-09-18</t>
        </is>
      </c>
      <c r="W1160" t="inlineStr">
        <is>
          <t>1997-07-22</t>
        </is>
      </c>
      <c r="X1160" t="inlineStr">
        <is>
          <t>1997-07-22</t>
        </is>
      </c>
      <c r="Y1160" t="n">
        <v>15</v>
      </c>
      <c r="Z1160" t="n">
        <v>15</v>
      </c>
      <c r="AA1160" t="n">
        <v>17</v>
      </c>
      <c r="AB1160" t="n">
        <v>1</v>
      </c>
      <c r="AC1160" t="n">
        <v>1</v>
      </c>
      <c r="AD1160" t="n">
        <v>1</v>
      </c>
      <c r="AE1160" t="n">
        <v>1</v>
      </c>
      <c r="AF1160" t="n">
        <v>1</v>
      </c>
      <c r="AG1160" t="n">
        <v>1</v>
      </c>
      <c r="AH1160" t="n">
        <v>0</v>
      </c>
      <c r="AI1160" t="n">
        <v>0</v>
      </c>
      <c r="AJ1160" t="n">
        <v>0</v>
      </c>
      <c r="AK1160" t="n">
        <v>0</v>
      </c>
      <c r="AL1160" t="n">
        <v>0</v>
      </c>
      <c r="AM1160" t="n">
        <v>0</v>
      </c>
      <c r="AN1160" t="n">
        <v>0</v>
      </c>
      <c r="AO1160" t="n">
        <v>0</v>
      </c>
      <c r="AP1160" t="inlineStr">
        <is>
          <t>No</t>
        </is>
      </c>
      <c r="AQ1160" t="inlineStr">
        <is>
          <t>No</t>
        </is>
      </c>
      <c r="AS1160">
        <f>HYPERLINK("https://creighton-primo.hosted.exlibrisgroup.com/primo-explore/search?tab=default_tab&amp;search_scope=EVERYTHING&amp;vid=01CRU&amp;lang=en_US&amp;offset=0&amp;query=any,contains,991002823749702656","Catalog Record")</f>
        <v/>
      </c>
      <c r="AT1160">
        <f>HYPERLINK("http://www.worldcat.org/oclc/37162483","WorldCat Record")</f>
        <v/>
      </c>
      <c r="AU1160" t="inlineStr">
        <is>
          <t>41183265:eng</t>
        </is>
      </c>
      <c r="AV1160" t="inlineStr">
        <is>
          <t>37162483</t>
        </is>
      </c>
      <c r="AW1160" t="inlineStr">
        <is>
          <t>991002823749702656</t>
        </is>
      </c>
      <c r="AX1160" t="inlineStr">
        <is>
          <t>991002823749702656</t>
        </is>
      </c>
      <c r="AY1160" t="inlineStr">
        <is>
          <t>2257511240002656</t>
        </is>
      </c>
      <c r="AZ1160" t="inlineStr">
        <is>
          <t>BOOK</t>
        </is>
      </c>
      <c r="BB1160" t="inlineStr">
        <is>
          <t>9781878016157</t>
        </is>
      </c>
      <c r="BC1160" t="inlineStr">
        <is>
          <t>32285002883907</t>
        </is>
      </c>
      <c r="BD1160" t="inlineStr">
        <is>
          <t>893524094</t>
        </is>
      </c>
    </row>
    <row r="1161">
      <c r="A1161" t="inlineStr">
        <is>
          <t>No</t>
        </is>
      </c>
      <c r="B1161" t="inlineStr">
        <is>
          <t>LB2806.45 .B78 1997</t>
        </is>
      </c>
      <c r="C1161" t="inlineStr">
        <is>
          <t>0                      LB 2806450B  78          1997</t>
        </is>
      </c>
      <c r="D1161" t="inlineStr">
        <is>
          <t>It's about time : leading school reform in an era of time scarcity / James E. Bruno.</t>
        </is>
      </c>
      <c r="F1161" t="inlineStr">
        <is>
          <t>No</t>
        </is>
      </c>
      <c r="G1161" t="inlineStr">
        <is>
          <t>1</t>
        </is>
      </c>
      <c r="H1161" t="inlineStr">
        <is>
          <t>No</t>
        </is>
      </c>
      <c r="I1161" t="inlineStr">
        <is>
          <t>No</t>
        </is>
      </c>
      <c r="J1161" t="inlineStr">
        <is>
          <t>0</t>
        </is>
      </c>
      <c r="K1161" t="inlineStr">
        <is>
          <t>Bruno, James E.</t>
        </is>
      </c>
      <c r="L1161" t="inlineStr">
        <is>
          <t>Thousand Oaks, Calif. : Corwin Press, c1997.</t>
        </is>
      </c>
      <c r="M1161" t="inlineStr">
        <is>
          <t>1997</t>
        </is>
      </c>
      <c r="O1161" t="inlineStr">
        <is>
          <t>eng</t>
        </is>
      </c>
      <c r="P1161" t="inlineStr">
        <is>
          <t>cau</t>
        </is>
      </c>
      <c r="R1161" t="inlineStr">
        <is>
          <t xml:space="preserve">LB </t>
        </is>
      </c>
      <c r="S1161" t="n">
        <v>1</v>
      </c>
      <c r="T1161" t="n">
        <v>1</v>
      </c>
      <c r="U1161" t="inlineStr">
        <is>
          <t>2010-11-10</t>
        </is>
      </c>
      <c r="V1161" t="inlineStr">
        <is>
          <t>2010-11-10</t>
        </is>
      </c>
      <c r="W1161" t="inlineStr">
        <is>
          <t>1997-11-17</t>
        </is>
      </c>
      <c r="X1161" t="inlineStr">
        <is>
          <t>1997-11-17</t>
        </is>
      </c>
      <c r="Y1161" t="n">
        <v>227</v>
      </c>
      <c r="Z1161" t="n">
        <v>181</v>
      </c>
      <c r="AA1161" t="n">
        <v>183</v>
      </c>
      <c r="AB1161" t="n">
        <v>2</v>
      </c>
      <c r="AC1161" t="n">
        <v>2</v>
      </c>
      <c r="AD1161" t="n">
        <v>8</v>
      </c>
      <c r="AE1161" t="n">
        <v>8</v>
      </c>
      <c r="AF1161" t="n">
        <v>1</v>
      </c>
      <c r="AG1161" t="n">
        <v>1</v>
      </c>
      <c r="AH1161" t="n">
        <v>3</v>
      </c>
      <c r="AI1161" t="n">
        <v>3</v>
      </c>
      <c r="AJ1161" t="n">
        <v>5</v>
      </c>
      <c r="AK1161" t="n">
        <v>5</v>
      </c>
      <c r="AL1161" t="n">
        <v>1</v>
      </c>
      <c r="AM1161" t="n">
        <v>1</v>
      </c>
      <c r="AN1161" t="n">
        <v>0</v>
      </c>
      <c r="AO1161" t="n">
        <v>0</v>
      </c>
      <c r="AP1161" t="inlineStr">
        <is>
          <t>No</t>
        </is>
      </c>
      <c r="AQ1161" t="inlineStr">
        <is>
          <t>Yes</t>
        </is>
      </c>
      <c r="AR1161">
        <f>HYPERLINK("http://catalog.hathitrust.org/Record/003964218","HathiTrust Record")</f>
        <v/>
      </c>
      <c r="AS1161">
        <f>HYPERLINK("https://creighton-primo.hosted.exlibrisgroup.com/primo-explore/search?tab=default_tab&amp;search_scope=EVERYTHING&amp;vid=01CRU&amp;lang=en_US&amp;offset=0&amp;query=any,contains,991002824029702656","Catalog Record")</f>
        <v/>
      </c>
      <c r="AT1161">
        <f>HYPERLINK("http://www.worldcat.org/oclc/37180201","WorldCat Record")</f>
        <v/>
      </c>
      <c r="AU1161" t="inlineStr">
        <is>
          <t>836974430:eng</t>
        </is>
      </c>
      <c r="AV1161" t="inlineStr">
        <is>
          <t>37180201</t>
        </is>
      </c>
      <c r="AW1161" t="inlineStr">
        <is>
          <t>991002824029702656</t>
        </is>
      </c>
      <c r="AX1161" t="inlineStr">
        <is>
          <t>991002824029702656</t>
        </is>
      </c>
      <c r="AY1161" t="inlineStr">
        <is>
          <t>2269955400002656</t>
        </is>
      </c>
      <c r="AZ1161" t="inlineStr">
        <is>
          <t>BOOK</t>
        </is>
      </c>
      <c r="BB1161" t="inlineStr">
        <is>
          <t>9780803965041</t>
        </is>
      </c>
      <c r="BC1161" t="inlineStr">
        <is>
          <t>32285003270435</t>
        </is>
      </c>
      <c r="BD1161" t="inlineStr">
        <is>
          <t>893774072</t>
        </is>
      </c>
    </row>
    <row r="1162">
      <c r="A1162" t="inlineStr">
        <is>
          <t>No</t>
        </is>
      </c>
      <c r="B1162" t="inlineStr">
        <is>
          <t>LB2817.3 .P75 1989</t>
        </is>
      </c>
      <c r="C1162" t="inlineStr">
        <is>
          <t>0                      LB 2817300P  75          1989</t>
        </is>
      </c>
      <c r="D1162" t="inlineStr">
        <is>
          <t>Invisible forces : school reform versus school culture / Julian D. Prince.</t>
        </is>
      </c>
      <c r="F1162" t="inlineStr">
        <is>
          <t>No</t>
        </is>
      </c>
      <c r="G1162" t="inlineStr">
        <is>
          <t>1</t>
        </is>
      </c>
      <c r="H1162" t="inlineStr">
        <is>
          <t>No</t>
        </is>
      </c>
      <c r="I1162" t="inlineStr">
        <is>
          <t>No</t>
        </is>
      </c>
      <c r="J1162" t="inlineStr">
        <is>
          <t>0</t>
        </is>
      </c>
      <c r="K1162" t="inlineStr">
        <is>
          <t>Prince, Julian D.</t>
        </is>
      </c>
      <c r="L1162" t="inlineStr">
        <is>
          <t>Bloomington, Ind. : Phi Delta Kappa's Center on Evaluation, Development, and Research, c1989.</t>
        </is>
      </c>
      <c r="M1162" t="inlineStr">
        <is>
          <t>1989</t>
        </is>
      </c>
      <c r="O1162" t="inlineStr">
        <is>
          <t>eng</t>
        </is>
      </c>
      <c r="P1162" t="inlineStr">
        <is>
          <t>inu</t>
        </is>
      </c>
      <c r="Q1162" t="inlineStr">
        <is>
          <t>Research for the practitioner series</t>
        </is>
      </c>
      <c r="R1162" t="inlineStr">
        <is>
          <t xml:space="preserve">LB </t>
        </is>
      </c>
      <c r="S1162" t="n">
        <v>4</v>
      </c>
      <c r="T1162" t="n">
        <v>4</v>
      </c>
      <c r="U1162" t="inlineStr">
        <is>
          <t>2004-04-05</t>
        </is>
      </c>
      <c r="V1162" t="inlineStr">
        <is>
          <t>2004-04-05</t>
        </is>
      </c>
      <c r="W1162" t="inlineStr">
        <is>
          <t>1992-12-11</t>
        </is>
      </c>
      <c r="X1162" t="inlineStr">
        <is>
          <t>1992-12-11</t>
        </is>
      </c>
      <c r="Y1162" t="n">
        <v>96</v>
      </c>
      <c r="Z1162" t="n">
        <v>94</v>
      </c>
      <c r="AA1162" t="n">
        <v>97</v>
      </c>
      <c r="AB1162" t="n">
        <v>2</v>
      </c>
      <c r="AC1162" t="n">
        <v>2</v>
      </c>
      <c r="AD1162" t="n">
        <v>3</v>
      </c>
      <c r="AE1162" t="n">
        <v>3</v>
      </c>
      <c r="AF1162" t="n">
        <v>2</v>
      </c>
      <c r="AG1162" t="n">
        <v>2</v>
      </c>
      <c r="AH1162" t="n">
        <v>0</v>
      </c>
      <c r="AI1162" t="n">
        <v>0</v>
      </c>
      <c r="AJ1162" t="n">
        <v>0</v>
      </c>
      <c r="AK1162" t="n">
        <v>0</v>
      </c>
      <c r="AL1162" t="n">
        <v>1</v>
      </c>
      <c r="AM1162" t="n">
        <v>1</v>
      </c>
      <c r="AN1162" t="n">
        <v>0</v>
      </c>
      <c r="AO1162" t="n">
        <v>0</v>
      </c>
      <c r="AP1162" t="inlineStr">
        <is>
          <t>No</t>
        </is>
      </c>
      <c r="AQ1162" t="inlineStr">
        <is>
          <t>No</t>
        </is>
      </c>
      <c r="AS1162">
        <f>HYPERLINK("https://creighton-primo.hosted.exlibrisgroup.com/primo-explore/search?tab=default_tab&amp;search_scope=EVERYTHING&amp;vid=01CRU&amp;lang=en_US&amp;offset=0&amp;query=any,contains,991001672429702656","Catalog Record")</f>
        <v/>
      </c>
      <c r="AT1162">
        <f>HYPERLINK("http://www.worldcat.org/oclc/21298406","WorldCat Record")</f>
        <v/>
      </c>
      <c r="AU1162" t="inlineStr">
        <is>
          <t>2288202297:eng</t>
        </is>
      </c>
      <c r="AV1162" t="inlineStr">
        <is>
          <t>21298406</t>
        </is>
      </c>
      <c r="AW1162" t="inlineStr">
        <is>
          <t>991001672429702656</t>
        </is>
      </c>
      <c r="AX1162" t="inlineStr">
        <is>
          <t>991001672429702656</t>
        </is>
      </c>
      <c r="AY1162" t="inlineStr">
        <is>
          <t>2261664750002656</t>
        </is>
      </c>
      <c r="AZ1162" t="inlineStr">
        <is>
          <t>BOOK</t>
        </is>
      </c>
      <c r="BB1162" t="inlineStr">
        <is>
          <t>9780873677257</t>
        </is>
      </c>
      <c r="BC1162" t="inlineStr">
        <is>
          <t>32285001402402</t>
        </is>
      </c>
      <c r="BD1162" t="inlineStr">
        <is>
          <t>893684516</t>
        </is>
      </c>
    </row>
    <row r="1163">
      <c r="A1163" t="inlineStr">
        <is>
          <t>No</t>
        </is>
      </c>
      <c r="B1163" t="inlineStr">
        <is>
          <t>LB2820 .D79 2002</t>
        </is>
      </c>
      <c r="C1163" t="inlineStr">
        <is>
          <t>0                      LB 2820000D  79          2002</t>
        </is>
      </c>
      <c r="D1163" t="inlineStr">
        <is>
          <t>Inside full-service community schools / Joy Dryfoos and Sue Maguire.</t>
        </is>
      </c>
      <c r="F1163" t="inlineStr">
        <is>
          <t>No</t>
        </is>
      </c>
      <c r="G1163" t="inlineStr">
        <is>
          <t>1</t>
        </is>
      </c>
      <c r="H1163" t="inlineStr">
        <is>
          <t>No</t>
        </is>
      </c>
      <c r="I1163" t="inlineStr">
        <is>
          <t>No</t>
        </is>
      </c>
      <c r="J1163" t="inlineStr">
        <is>
          <t>0</t>
        </is>
      </c>
      <c r="K1163" t="inlineStr">
        <is>
          <t>Dryfoos, Joy G.</t>
        </is>
      </c>
      <c r="L1163" t="inlineStr">
        <is>
          <t>Thousand Oaks, CA : Corwin Press, c2002.</t>
        </is>
      </c>
      <c r="M1163" t="inlineStr">
        <is>
          <t>2002</t>
        </is>
      </c>
      <c r="O1163" t="inlineStr">
        <is>
          <t>eng</t>
        </is>
      </c>
      <c r="P1163" t="inlineStr">
        <is>
          <t>cau</t>
        </is>
      </c>
      <c r="R1163" t="inlineStr">
        <is>
          <t xml:space="preserve">LB </t>
        </is>
      </c>
      <c r="S1163" t="n">
        <v>1</v>
      </c>
      <c r="T1163" t="n">
        <v>1</v>
      </c>
      <c r="U1163" t="inlineStr">
        <is>
          <t>2002-08-15</t>
        </is>
      </c>
      <c r="V1163" t="inlineStr">
        <is>
          <t>2002-08-15</t>
        </is>
      </c>
      <c r="W1163" t="inlineStr">
        <is>
          <t>2002-08-15</t>
        </is>
      </c>
      <c r="X1163" t="inlineStr">
        <is>
          <t>2002-08-15</t>
        </is>
      </c>
      <c r="Y1163" t="n">
        <v>242</v>
      </c>
      <c r="Z1163" t="n">
        <v>214</v>
      </c>
      <c r="AA1163" t="n">
        <v>231</v>
      </c>
      <c r="AB1163" t="n">
        <v>3</v>
      </c>
      <c r="AC1163" t="n">
        <v>3</v>
      </c>
      <c r="AD1163" t="n">
        <v>11</v>
      </c>
      <c r="AE1163" t="n">
        <v>11</v>
      </c>
      <c r="AF1163" t="n">
        <v>5</v>
      </c>
      <c r="AG1163" t="n">
        <v>5</v>
      </c>
      <c r="AH1163" t="n">
        <v>2</v>
      </c>
      <c r="AI1163" t="n">
        <v>2</v>
      </c>
      <c r="AJ1163" t="n">
        <v>4</v>
      </c>
      <c r="AK1163" t="n">
        <v>4</v>
      </c>
      <c r="AL1163" t="n">
        <v>2</v>
      </c>
      <c r="AM1163" t="n">
        <v>2</v>
      </c>
      <c r="AN1163" t="n">
        <v>0</v>
      </c>
      <c r="AO1163" t="n">
        <v>0</v>
      </c>
      <c r="AP1163" t="inlineStr">
        <is>
          <t>No</t>
        </is>
      </c>
      <c r="AQ1163" t="inlineStr">
        <is>
          <t>Yes</t>
        </is>
      </c>
      <c r="AR1163">
        <f>HYPERLINK("http://catalog.hathitrust.org/Record/004255305","HathiTrust Record")</f>
        <v/>
      </c>
      <c r="AS1163">
        <f>HYPERLINK("https://creighton-primo.hosted.exlibrisgroup.com/primo-explore/search?tab=default_tab&amp;search_scope=EVERYTHING&amp;vid=01CRU&amp;lang=en_US&amp;offset=0&amp;query=any,contains,991003854099702656","Catalog Record")</f>
        <v/>
      </c>
      <c r="AT1163">
        <f>HYPERLINK("http://www.worldcat.org/oclc/48767622","WorldCat Record")</f>
        <v/>
      </c>
      <c r="AU1163" t="inlineStr">
        <is>
          <t>1044825:eng</t>
        </is>
      </c>
      <c r="AV1163" t="inlineStr">
        <is>
          <t>48767622</t>
        </is>
      </c>
      <c r="AW1163" t="inlineStr">
        <is>
          <t>991003854099702656</t>
        </is>
      </c>
      <c r="AX1163" t="inlineStr">
        <is>
          <t>991003854099702656</t>
        </is>
      </c>
      <c r="AY1163" t="inlineStr">
        <is>
          <t>2256698250002656</t>
        </is>
      </c>
      <c r="AZ1163" t="inlineStr">
        <is>
          <t>BOOK</t>
        </is>
      </c>
      <c r="BB1163" t="inlineStr">
        <is>
          <t>9780761945109</t>
        </is>
      </c>
      <c r="BC1163" t="inlineStr">
        <is>
          <t>32285004643523</t>
        </is>
      </c>
      <c r="BD1163" t="inlineStr">
        <is>
          <t>893887998</t>
        </is>
      </c>
    </row>
    <row r="1164">
      <c r="A1164" t="inlineStr">
        <is>
          <t>No</t>
        </is>
      </c>
      <c r="B1164" t="inlineStr">
        <is>
          <t>LB2822 .H64 2007</t>
        </is>
      </c>
      <c r="C1164" t="inlineStr">
        <is>
          <t>0                      LB 2822000H  64          2007</t>
        </is>
      </c>
      <c r="D1164" t="inlineStr">
        <is>
          <t>Students are stakeholders, too! : including every voice in authentic High School reform / Edie L. Holcomb ; foreword by Shirley M. Hord.</t>
        </is>
      </c>
      <c r="F1164" t="inlineStr">
        <is>
          <t>No</t>
        </is>
      </c>
      <c r="G1164" t="inlineStr">
        <is>
          <t>1</t>
        </is>
      </c>
      <c r="H1164" t="inlineStr">
        <is>
          <t>No</t>
        </is>
      </c>
      <c r="I1164" t="inlineStr">
        <is>
          <t>No</t>
        </is>
      </c>
      <c r="J1164" t="inlineStr">
        <is>
          <t>0</t>
        </is>
      </c>
      <c r="K1164" t="inlineStr">
        <is>
          <t>Holcomb, Edie L.</t>
        </is>
      </c>
      <c r="L1164" t="inlineStr">
        <is>
          <t>Thousand Oaks, CA : Corwin Press ; National Association of Secondary School Principals, c2007.</t>
        </is>
      </c>
      <c r="M1164" t="inlineStr">
        <is>
          <t>2007</t>
        </is>
      </c>
      <c r="O1164" t="inlineStr">
        <is>
          <t>eng</t>
        </is>
      </c>
      <c r="P1164" t="inlineStr">
        <is>
          <t>cau</t>
        </is>
      </c>
      <c r="R1164" t="inlineStr">
        <is>
          <t xml:space="preserve">LB </t>
        </is>
      </c>
      <c r="S1164" t="n">
        <v>1</v>
      </c>
      <c r="T1164" t="n">
        <v>1</v>
      </c>
      <c r="U1164" t="inlineStr">
        <is>
          <t>2007-02-21</t>
        </is>
      </c>
      <c r="V1164" t="inlineStr">
        <is>
          <t>2007-02-21</t>
        </is>
      </c>
      <c r="W1164" t="inlineStr">
        <is>
          <t>2007-02-21</t>
        </is>
      </c>
      <c r="X1164" t="inlineStr">
        <is>
          <t>2007-02-21</t>
        </is>
      </c>
      <c r="Y1164" t="n">
        <v>184</v>
      </c>
      <c r="Z1164" t="n">
        <v>158</v>
      </c>
      <c r="AA1164" t="n">
        <v>158</v>
      </c>
      <c r="AB1164" t="n">
        <v>2</v>
      </c>
      <c r="AC1164" t="n">
        <v>2</v>
      </c>
      <c r="AD1164" t="n">
        <v>11</v>
      </c>
      <c r="AE1164" t="n">
        <v>11</v>
      </c>
      <c r="AF1164" t="n">
        <v>3</v>
      </c>
      <c r="AG1164" t="n">
        <v>3</v>
      </c>
      <c r="AH1164" t="n">
        <v>2</v>
      </c>
      <c r="AI1164" t="n">
        <v>2</v>
      </c>
      <c r="AJ1164" t="n">
        <v>8</v>
      </c>
      <c r="AK1164" t="n">
        <v>8</v>
      </c>
      <c r="AL1164" t="n">
        <v>1</v>
      </c>
      <c r="AM1164" t="n">
        <v>1</v>
      </c>
      <c r="AN1164" t="n">
        <v>0</v>
      </c>
      <c r="AO1164" t="n">
        <v>0</v>
      </c>
      <c r="AP1164" t="inlineStr">
        <is>
          <t>No</t>
        </is>
      </c>
      <c r="AQ1164" t="inlineStr">
        <is>
          <t>No</t>
        </is>
      </c>
      <c r="AS1164">
        <f>HYPERLINK("https://creighton-primo.hosted.exlibrisgroup.com/primo-explore/search?tab=default_tab&amp;search_scope=EVERYTHING&amp;vid=01CRU&amp;lang=en_US&amp;offset=0&amp;query=any,contains,991005040209702656","Catalog Record")</f>
        <v/>
      </c>
      <c r="AT1164">
        <f>HYPERLINK("http://www.worldcat.org/oclc/70267184","WorldCat Record")</f>
        <v/>
      </c>
      <c r="AU1164" t="inlineStr">
        <is>
          <t>1027230265:eng</t>
        </is>
      </c>
      <c r="AV1164" t="inlineStr">
        <is>
          <t>70267184</t>
        </is>
      </c>
      <c r="AW1164" t="inlineStr">
        <is>
          <t>991005040209702656</t>
        </is>
      </c>
      <c r="AX1164" t="inlineStr">
        <is>
          <t>991005040209702656</t>
        </is>
      </c>
      <c r="AY1164" t="inlineStr">
        <is>
          <t>2259869040002656</t>
        </is>
      </c>
      <c r="AZ1164" t="inlineStr">
        <is>
          <t>BOOK</t>
        </is>
      </c>
      <c r="BB1164" t="inlineStr">
        <is>
          <t>9780761929697</t>
        </is>
      </c>
      <c r="BC1164" t="inlineStr">
        <is>
          <t>32285005278113</t>
        </is>
      </c>
      <c r="BD1164" t="inlineStr">
        <is>
          <t>893889588</t>
        </is>
      </c>
    </row>
    <row r="1165">
      <c r="A1165" t="inlineStr">
        <is>
          <t>No</t>
        </is>
      </c>
      <c r="B1165" t="inlineStr">
        <is>
          <t>LB2822.5 .H83 1994</t>
        </is>
      </c>
      <c r="C1165" t="inlineStr">
        <is>
          <t>0                      LB 2822500H  83          1994</t>
        </is>
      </c>
      <c r="D1165" t="inlineStr">
        <is>
          <t>The elementary principal's handbook : a guide to effective action / Larry W. Hughes, Gerald C. Ubben.</t>
        </is>
      </c>
      <c r="F1165" t="inlineStr">
        <is>
          <t>No</t>
        </is>
      </c>
      <c r="G1165" t="inlineStr">
        <is>
          <t>1</t>
        </is>
      </c>
      <c r="H1165" t="inlineStr">
        <is>
          <t>No</t>
        </is>
      </c>
      <c r="I1165" t="inlineStr">
        <is>
          <t>No</t>
        </is>
      </c>
      <c r="J1165" t="inlineStr">
        <is>
          <t>0</t>
        </is>
      </c>
      <c r="K1165" t="inlineStr">
        <is>
          <t>Hughes, Larry W., 1931-</t>
        </is>
      </c>
      <c r="L1165" t="inlineStr">
        <is>
          <t>Boston : Allyn and Bacon, c1994.</t>
        </is>
      </c>
      <c r="M1165" t="inlineStr">
        <is>
          <t>1994</t>
        </is>
      </c>
      <c r="N1165" t="inlineStr">
        <is>
          <t>4th ed.</t>
        </is>
      </c>
      <c r="O1165" t="inlineStr">
        <is>
          <t>eng</t>
        </is>
      </c>
      <c r="P1165" t="inlineStr">
        <is>
          <t>mau</t>
        </is>
      </c>
      <c r="R1165" t="inlineStr">
        <is>
          <t xml:space="preserve">LB </t>
        </is>
      </c>
      <c r="S1165" t="n">
        <v>10</v>
      </c>
      <c r="T1165" t="n">
        <v>10</v>
      </c>
      <c r="U1165" t="inlineStr">
        <is>
          <t>2002-07-10</t>
        </is>
      </c>
      <c r="V1165" t="inlineStr">
        <is>
          <t>2002-07-10</t>
        </is>
      </c>
      <c r="W1165" t="inlineStr">
        <is>
          <t>1994-10-21</t>
        </is>
      </c>
      <c r="X1165" t="inlineStr">
        <is>
          <t>1994-10-21</t>
        </is>
      </c>
      <c r="Y1165" t="n">
        <v>193</v>
      </c>
      <c r="Z1165" t="n">
        <v>174</v>
      </c>
      <c r="AA1165" t="n">
        <v>500</v>
      </c>
      <c r="AB1165" t="n">
        <v>3</v>
      </c>
      <c r="AC1165" t="n">
        <v>8</v>
      </c>
      <c r="AD1165" t="n">
        <v>6</v>
      </c>
      <c r="AE1165" t="n">
        <v>25</v>
      </c>
      <c r="AF1165" t="n">
        <v>0</v>
      </c>
      <c r="AG1165" t="n">
        <v>10</v>
      </c>
      <c r="AH1165" t="n">
        <v>2</v>
      </c>
      <c r="AI1165" t="n">
        <v>5</v>
      </c>
      <c r="AJ1165" t="n">
        <v>3</v>
      </c>
      <c r="AK1165" t="n">
        <v>11</v>
      </c>
      <c r="AL1165" t="n">
        <v>2</v>
      </c>
      <c r="AM1165" t="n">
        <v>7</v>
      </c>
      <c r="AN1165" t="n">
        <v>0</v>
      </c>
      <c r="AO1165" t="n">
        <v>0</v>
      </c>
      <c r="AP1165" t="inlineStr">
        <is>
          <t>No</t>
        </is>
      </c>
      <c r="AQ1165" t="inlineStr">
        <is>
          <t>Yes</t>
        </is>
      </c>
      <c r="AR1165">
        <f>HYPERLINK("http://catalog.hathitrust.org/Record/101954002","HathiTrust Record")</f>
        <v/>
      </c>
      <c r="AS1165">
        <f>HYPERLINK("https://creighton-primo.hosted.exlibrisgroup.com/primo-explore/search?tab=default_tab&amp;search_scope=EVERYTHING&amp;vid=01CRU&amp;lang=en_US&amp;offset=0&amp;query=any,contains,991002209119702656","Catalog Record")</f>
        <v/>
      </c>
      <c r="AT1165">
        <f>HYPERLINK("http://www.worldcat.org/oclc/28418071","WorldCat Record")</f>
        <v/>
      </c>
      <c r="AU1165" t="inlineStr">
        <is>
          <t>11656978:eng</t>
        </is>
      </c>
      <c r="AV1165" t="inlineStr">
        <is>
          <t>28418071</t>
        </is>
      </c>
      <c r="AW1165" t="inlineStr">
        <is>
          <t>991002209119702656</t>
        </is>
      </c>
      <c r="AX1165" t="inlineStr">
        <is>
          <t>991002209119702656</t>
        </is>
      </c>
      <c r="AY1165" t="inlineStr">
        <is>
          <t>2271582820002656</t>
        </is>
      </c>
      <c r="AZ1165" t="inlineStr">
        <is>
          <t>BOOK</t>
        </is>
      </c>
      <c r="BB1165" t="inlineStr">
        <is>
          <t>9780205153688</t>
        </is>
      </c>
      <c r="BC1165" t="inlineStr">
        <is>
          <t>32285001955185</t>
        </is>
      </c>
      <c r="BD1165" t="inlineStr">
        <is>
          <t>893591045</t>
        </is>
      </c>
    </row>
    <row r="1166">
      <c r="A1166" t="inlineStr">
        <is>
          <t>No</t>
        </is>
      </c>
      <c r="B1166" t="inlineStr">
        <is>
          <t>LB2822.75 .A554 2001</t>
        </is>
      </c>
      <c r="C1166" t="inlineStr">
        <is>
          <t>0                      LB 2822750A  554         2001</t>
        </is>
      </c>
      <c r="D1166" t="inlineStr">
        <is>
          <t>Assessment to promote deep learning / Linda Suskie, editor.</t>
        </is>
      </c>
      <c r="F1166" t="inlineStr">
        <is>
          <t>No</t>
        </is>
      </c>
      <c r="G1166" t="inlineStr">
        <is>
          <t>1</t>
        </is>
      </c>
      <c r="H1166" t="inlineStr">
        <is>
          <t>No</t>
        </is>
      </c>
      <c r="I1166" t="inlineStr">
        <is>
          <t>No</t>
        </is>
      </c>
      <c r="J1166" t="inlineStr">
        <is>
          <t>0</t>
        </is>
      </c>
      <c r="L1166" t="inlineStr">
        <is>
          <t>Washington, DC : American Association for Higher Education, 2001.</t>
        </is>
      </c>
      <c r="M1166" t="inlineStr">
        <is>
          <t>2001</t>
        </is>
      </c>
      <c r="O1166" t="inlineStr">
        <is>
          <t>eng</t>
        </is>
      </c>
      <c r="P1166" t="inlineStr">
        <is>
          <t>dcu</t>
        </is>
      </c>
      <c r="R1166" t="inlineStr">
        <is>
          <t xml:space="preserve">LB </t>
        </is>
      </c>
      <c r="S1166" t="n">
        <v>1</v>
      </c>
      <c r="T1166" t="n">
        <v>1</v>
      </c>
      <c r="U1166" t="inlineStr">
        <is>
          <t>2003-12-01</t>
        </is>
      </c>
      <c r="V1166" t="inlineStr">
        <is>
          <t>2003-12-01</t>
        </is>
      </c>
      <c r="W1166" t="inlineStr">
        <is>
          <t>2003-12-01</t>
        </is>
      </c>
      <c r="X1166" t="inlineStr">
        <is>
          <t>2003-12-01</t>
        </is>
      </c>
      <c r="Y1166" t="n">
        <v>118</v>
      </c>
      <c r="Z1166" t="n">
        <v>99</v>
      </c>
      <c r="AA1166" t="n">
        <v>105</v>
      </c>
      <c r="AB1166" t="n">
        <v>1</v>
      </c>
      <c r="AC1166" t="n">
        <v>1</v>
      </c>
      <c r="AD1166" t="n">
        <v>3</v>
      </c>
      <c r="AE1166" t="n">
        <v>4</v>
      </c>
      <c r="AF1166" t="n">
        <v>3</v>
      </c>
      <c r="AG1166" t="n">
        <v>4</v>
      </c>
      <c r="AH1166" t="n">
        <v>0</v>
      </c>
      <c r="AI1166" t="n">
        <v>0</v>
      </c>
      <c r="AJ1166" t="n">
        <v>1</v>
      </c>
      <c r="AK1166" t="n">
        <v>2</v>
      </c>
      <c r="AL1166" t="n">
        <v>0</v>
      </c>
      <c r="AM1166" t="n">
        <v>0</v>
      </c>
      <c r="AN1166" t="n">
        <v>0</v>
      </c>
      <c r="AO1166" t="n">
        <v>0</v>
      </c>
      <c r="AP1166" t="inlineStr">
        <is>
          <t>No</t>
        </is>
      </c>
      <c r="AQ1166" t="inlineStr">
        <is>
          <t>No</t>
        </is>
      </c>
      <c r="AS1166">
        <f>HYPERLINK("https://creighton-primo.hosted.exlibrisgroup.com/primo-explore/search?tab=default_tab&amp;search_scope=EVERYTHING&amp;vid=01CRU&amp;lang=en_US&amp;offset=0&amp;query=any,contains,991004193929702656","Catalog Record")</f>
        <v/>
      </c>
      <c r="AT1166">
        <f>HYPERLINK("http://www.worldcat.org/oclc/45876336","WorldCat Record")</f>
        <v/>
      </c>
      <c r="AU1166" t="inlineStr">
        <is>
          <t>371528171:eng</t>
        </is>
      </c>
      <c r="AV1166" t="inlineStr">
        <is>
          <t>45876336</t>
        </is>
      </c>
      <c r="AW1166" t="inlineStr">
        <is>
          <t>991004193929702656</t>
        </is>
      </c>
      <c r="AX1166" t="inlineStr">
        <is>
          <t>991004193929702656</t>
        </is>
      </c>
      <c r="AY1166" t="inlineStr">
        <is>
          <t>2262251860002656</t>
        </is>
      </c>
      <c r="AZ1166" t="inlineStr">
        <is>
          <t>BOOK</t>
        </is>
      </c>
      <c r="BB1166" t="inlineStr">
        <is>
          <t>9781563770487</t>
        </is>
      </c>
      <c r="BC1166" t="inlineStr">
        <is>
          <t>32285004842539</t>
        </is>
      </c>
      <c r="BD1166" t="inlineStr">
        <is>
          <t>893882167</t>
        </is>
      </c>
    </row>
    <row r="1167">
      <c r="A1167" t="inlineStr">
        <is>
          <t>No</t>
        </is>
      </c>
      <c r="B1167" t="inlineStr">
        <is>
          <t>LB2822.75 .A72 1988</t>
        </is>
      </c>
      <c r="C1167" t="inlineStr">
        <is>
          <t>0                      LB 2822750A  72          1988</t>
        </is>
      </c>
      <c r="D1167" t="inlineStr">
        <is>
          <t>Beyond standardized testing : assessing authentic academic achievement in the secondary school / Doug A. Archbald, Fred M. Newmann.</t>
        </is>
      </c>
      <c r="F1167" t="inlineStr">
        <is>
          <t>No</t>
        </is>
      </c>
      <c r="G1167" t="inlineStr">
        <is>
          <t>1</t>
        </is>
      </c>
      <c r="H1167" t="inlineStr">
        <is>
          <t>No</t>
        </is>
      </c>
      <c r="I1167" t="inlineStr">
        <is>
          <t>No</t>
        </is>
      </c>
      <c r="J1167" t="inlineStr">
        <is>
          <t>0</t>
        </is>
      </c>
      <c r="K1167" t="inlineStr">
        <is>
          <t>Archbald, Douglas A.</t>
        </is>
      </c>
      <c r="L1167" t="inlineStr">
        <is>
          <t>Reston, VA : National Association of Secondary School Principals, c1988.</t>
        </is>
      </c>
      <c r="M1167" t="inlineStr">
        <is>
          <t>1988</t>
        </is>
      </c>
      <c r="O1167" t="inlineStr">
        <is>
          <t>eng</t>
        </is>
      </c>
      <c r="P1167" t="inlineStr">
        <is>
          <t>vau</t>
        </is>
      </c>
      <c r="R1167" t="inlineStr">
        <is>
          <t xml:space="preserve">LB </t>
        </is>
      </c>
      <c r="S1167" t="n">
        <v>3</v>
      </c>
      <c r="T1167" t="n">
        <v>3</v>
      </c>
      <c r="U1167" t="inlineStr">
        <is>
          <t>2007-09-12</t>
        </is>
      </c>
      <c r="V1167" t="inlineStr">
        <is>
          <t>2007-09-12</t>
        </is>
      </c>
      <c r="W1167" t="inlineStr">
        <is>
          <t>1991-11-13</t>
        </is>
      </c>
      <c r="X1167" t="inlineStr">
        <is>
          <t>1991-11-13</t>
        </is>
      </c>
      <c r="Y1167" t="n">
        <v>551</v>
      </c>
      <c r="Z1167" t="n">
        <v>505</v>
      </c>
      <c r="AA1167" t="n">
        <v>552</v>
      </c>
      <c r="AB1167" t="n">
        <v>6</v>
      </c>
      <c r="AC1167" t="n">
        <v>6</v>
      </c>
      <c r="AD1167" t="n">
        <v>26</v>
      </c>
      <c r="AE1167" t="n">
        <v>26</v>
      </c>
      <c r="AF1167" t="n">
        <v>12</v>
      </c>
      <c r="AG1167" t="n">
        <v>12</v>
      </c>
      <c r="AH1167" t="n">
        <v>5</v>
      </c>
      <c r="AI1167" t="n">
        <v>5</v>
      </c>
      <c r="AJ1167" t="n">
        <v>12</v>
      </c>
      <c r="AK1167" t="n">
        <v>12</v>
      </c>
      <c r="AL1167" t="n">
        <v>5</v>
      </c>
      <c r="AM1167" t="n">
        <v>5</v>
      </c>
      <c r="AN1167" t="n">
        <v>0</v>
      </c>
      <c r="AO1167" t="n">
        <v>0</v>
      </c>
      <c r="AP1167" t="inlineStr">
        <is>
          <t>No</t>
        </is>
      </c>
      <c r="AQ1167" t="inlineStr">
        <is>
          <t>No</t>
        </is>
      </c>
      <c r="AS1167">
        <f>HYPERLINK("https://creighton-primo.hosted.exlibrisgroup.com/primo-explore/search?tab=default_tab&amp;search_scope=EVERYTHING&amp;vid=01CRU&amp;lang=en_US&amp;offset=0&amp;query=any,contains,991000022039702656","Catalog Record")</f>
        <v/>
      </c>
      <c r="AT1167">
        <f>HYPERLINK("http://www.worldcat.org/oclc/18517191","WorldCat Record")</f>
        <v/>
      </c>
      <c r="AU1167" t="inlineStr">
        <is>
          <t>894343612:eng</t>
        </is>
      </c>
      <c r="AV1167" t="inlineStr">
        <is>
          <t>18517191</t>
        </is>
      </c>
      <c r="AW1167" t="inlineStr">
        <is>
          <t>991000022039702656</t>
        </is>
      </c>
      <c r="AX1167" t="inlineStr">
        <is>
          <t>991000022039702656</t>
        </is>
      </c>
      <c r="AY1167" t="inlineStr">
        <is>
          <t>2270789330002656</t>
        </is>
      </c>
      <c r="AZ1167" t="inlineStr">
        <is>
          <t>BOOK</t>
        </is>
      </c>
      <c r="BC1167" t="inlineStr">
        <is>
          <t>32285000823996</t>
        </is>
      </c>
      <c r="BD1167" t="inlineStr">
        <is>
          <t>893425341</t>
        </is>
      </c>
    </row>
    <row r="1168">
      <c r="A1168" t="inlineStr">
        <is>
          <t>No</t>
        </is>
      </c>
      <c r="B1168" t="inlineStr">
        <is>
          <t>LB2822.75 .A722 1995</t>
        </is>
      </c>
      <c r="C1168" t="inlineStr">
        <is>
          <t>0                      LB 2822750A  722         1995</t>
        </is>
      </c>
      <c r="D1168" t="inlineStr">
        <is>
          <t>The Baldridge Award for education: how to measure and document quality improvement / by Jerome S. Arcaro.</t>
        </is>
      </c>
      <c r="F1168" t="inlineStr">
        <is>
          <t>No</t>
        </is>
      </c>
      <c r="G1168" t="inlineStr">
        <is>
          <t>1</t>
        </is>
      </c>
      <c r="H1168" t="inlineStr">
        <is>
          <t>No</t>
        </is>
      </c>
      <c r="I1168" t="inlineStr">
        <is>
          <t>No</t>
        </is>
      </c>
      <c r="J1168" t="inlineStr">
        <is>
          <t>0</t>
        </is>
      </c>
      <c r="K1168" t="inlineStr">
        <is>
          <t>Arcaro, Jerome S.</t>
        </is>
      </c>
      <c r="L1168" t="inlineStr">
        <is>
          <t>Delray Beach, Fl : St. Lucie Press 1995.</t>
        </is>
      </c>
      <c r="M1168" t="inlineStr">
        <is>
          <t>1995</t>
        </is>
      </c>
      <c r="O1168" t="inlineStr">
        <is>
          <t>eng</t>
        </is>
      </c>
      <c r="P1168" t="inlineStr">
        <is>
          <t>flu</t>
        </is>
      </c>
      <c r="R1168" t="inlineStr">
        <is>
          <t xml:space="preserve">LB </t>
        </is>
      </c>
      <c r="S1168" t="n">
        <v>4</v>
      </c>
      <c r="T1168" t="n">
        <v>4</v>
      </c>
      <c r="U1168" t="inlineStr">
        <is>
          <t>2002-10-07</t>
        </is>
      </c>
      <c r="V1168" t="inlineStr">
        <is>
          <t>2002-10-07</t>
        </is>
      </c>
      <c r="W1168" t="inlineStr">
        <is>
          <t>1995-07-29</t>
        </is>
      </c>
      <c r="X1168" t="inlineStr">
        <is>
          <t>1995-07-29</t>
        </is>
      </c>
      <c r="Y1168" t="n">
        <v>353</v>
      </c>
      <c r="Z1168" t="n">
        <v>303</v>
      </c>
      <c r="AA1168" t="n">
        <v>306</v>
      </c>
      <c r="AB1168" t="n">
        <v>4</v>
      </c>
      <c r="AC1168" t="n">
        <v>4</v>
      </c>
      <c r="AD1168" t="n">
        <v>17</v>
      </c>
      <c r="AE1168" t="n">
        <v>17</v>
      </c>
      <c r="AF1168" t="n">
        <v>6</v>
      </c>
      <c r="AG1168" t="n">
        <v>6</v>
      </c>
      <c r="AH1168" t="n">
        <v>4</v>
      </c>
      <c r="AI1168" t="n">
        <v>4</v>
      </c>
      <c r="AJ1168" t="n">
        <v>6</v>
      </c>
      <c r="AK1168" t="n">
        <v>6</v>
      </c>
      <c r="AL1168" t="n">
        <v>3</v>
      </c>
      <c r="AM1168" t="n">
        <v>3</v>
      </c>
      <c r="AN1168" t="n">
        <v>0</v>
      </c>
      <c r="AO1168" t="n">
        <v>0</v>
      </c>
      <c r="AP1168" t="inlineStr">
        <is>
          <t>No</t>
        </is>
      </c>
      <c r="AQ1168" t="inlineStr">
        <is>
          <t>Yes</t>
        </is>
      </c>
      <c r="AR1168">
        <f>HYPERLINK("http://catalog.hathitrust.org/Record/002973555","HathiTrust Record")</f>
        <v/>
      </c>
      <c r="AS1168">
        <f>HYPERLINK("https://creighton-primo.hosted.exlibrisgroup.com/primo-explore/search?tab=default_tab&amp;search_scope=EVERYTHING&amp;vid=01CRU&amp;lang=en_US&amp;offset=0&amp;query=any,contains,991002490919702656","Catalog Record")</f>
        <v/>
      </c>
      <c r="AT1168">
        <f>HYPERLINK("http://www.worldcat.org/oclc/32405223","WorldCat Record")</f>
        <v/>
      </c>
      <c r="AU1168" t="inlineStr">
        <is>
          <t>806464631:eng</t>
        </is>
      </c>
      <c r="AV1168" t="inlineStr">
        <is>
          <t>32405223</t>
        </is>
      </c>
      <c r="AW1168" t="inlineStr">
        <is>
          <t>991002490919702656</t>
        </is>
      </c>
      <c r="AX1168" t="inlineStr">
        <is>
          <t>991002490919702656</t>
        </is>
      </c>
      <c r="AY1168" t="inlineStr">
        <is>
          <t>2267867990002656</t>
        </is>
      </c>
      <c r="AZ1168" t="inlineStr">
        <is>
          <t>BOOK</t>
        </is>
      </c>
      <c r="BB1168" t="inlineStr">
        <is>
          <t>9781884015755</t>
        </is>
      </c>
      <c r="BC1168" t="inlineStr">
        <is>
          <t>32285002076726</t>
        </is>
      </c>
      <c r="BD1168" t="inlineStr">
        <is>
          <t>893779875</t>
        </is>
      </c>
    </row>
    <row r="1169">
      <c r="A1169" t="inlineStr">
        <is>
          <t>No</t>
        </is>
      </c>
      <c r="B1169" t="inlineStr">
        <is>
          <t>LB2822.75 .B76 1999</t>
        </is>
      </c>
      <c r="C1169" t="inlineStr">
        <is>
          <t>0                      LB 2822750B  76          1999</t>
        </is>
      </c>
      <c r="D1169" t="inlineStr">
        <is>
          <t>The art and science of classroom assessment : the missing part of pedagogy / Susan M. Brookhart.</t>
        </is>
      </c>
      <c r="F1169" t="inlineStr">
        <is>
          <t>No</t>
        </is>
      </c>
      <c r="G1169" t="inlineStr">
        <is>
          <t>1</t>
        </is>
      </c>
      <c r="H1169" t="inlineStr">
        <is>
          <t>No</t>
        </is>
      </c>
      <c r="I1169" t="inlineStr">
        <is>
          <t>No</t>
        </is>
      </c>
      <c r="J1169" t="inlineStr">
        <is>
          <t>0</t>
        </is>
      </c>
      <c r="K1169" t="inlineStr">
        <is>
          <t>Brookhart, Susan M.</t>
        </is>
      </c>
      <c r="L1169" t="inlineStr">
        <is>
          <t>Washington, DC : Graduate School of Education and Human Development, the George Washington University, [1999].</t>
        </is>
      </c>
      <c r="M1169" t="inlineStr">
        <is>
          <t>1999</t>
        </is>
      </c>
      <c r="O1169" t="inlineStr">
        <is>
          <t>eng</t>
        </is>
      </c>
      <c r="P1169" t="inlineStr">
        <is>
          <t>dcu</t>
        </is>
      </c>
      <c r="Q1169" t="inlineStr">
        <is>
          <t>ASHE-ERIC higher education report, 0884-0040 ; vol. 27, no. 1</t>
        </is>
      </c>
      <c r="R1169" t="inlineStr">
        <is>
          <t xml:space="preserve">LB </t>
        </is>
      </c>
      <c r="S1169" t="n">
        <v>1</v>
      </c>
      <c r="T1169" t="n">
        <v>1</v>
      </c>
      <c r="U1169" t="inlineStr">
        <is>
          <t>2001-02-05</t>
        </is>
      </c>
      <c r="V1169" t="inlineStr">
        <is>
          <t>2001-02-05</t>
        </is>
      </c>
      <c r="W1169" t="inlineStr">
        <is>
          <t>2001-02-05</t>
        </is>
      </c>
      <c r="X1169" t="inlineStr">
        <is>
          <t>2001-02-05</t>
        </is>
      </c>
      <c r="Y1169" t="n">
        <v>636</v>
      </c>
      <c r="Z1169" t="n">
        <v>583</v>
      </c>
      <c r="AA1169" t="n">
        <v>592</v>
      </c>
      <c r="AB1169" t="n">
        <v>5</v>
      </c>
      <c r="AC1169" t="n">
        <v>5</v>
      </c>
      <c r="AD1169" t="n">
        <v>31</v>
      </c>
      <c r="AE1169" t="n">
        <v>31</v>
      </c>
      <c r="AF1169" t="n">
        <v>13</v>
      </c>
      <c r="AG1169" t="n">
        <v>13</v>
      </c>
      <c r="AH1169" t="n">
        <v>9</v>
      </c>
      <c r="AI1169" t="n">
        <v>9</v>
      </c>
      <c r="AJ1169" t="n">
        <v>14</v>
      </c>
      <c r="AK1169" t="n">
        <v>14</v>
      </c>
      <c r="AL1169" t="n">
        <v>4</v>
      </c>
      <c r="AM1169" t="n">
        <v>4</v>
      </c>
      <c r="AN1169" t="n">
        <v>0</v>
      </c>
      <c r="AO1169" t="n">
        <v>0</v>
      </c>
      <c r="AP1169" t="inlineStr">
        <is>
          <t>No</t>
        </is>
      </c>
      <c r="AQ1169" t="inlineStr">
        <is>
          <t>Yes</t>
        </is>
      </c>
      <c r="AR1169">
        <f>HYPERLINK("http://catalog.hathitrust.org/Record/003345813","HathiTrust Record")</f>
        <v/>
      </c>
      <c r="AS1169">
        <f>HYPERLINK("https://creighton-primo.hosted.exlibrisgroup.com/primo-explore/search?tab=default_tab&amp;search_scope=EVERYTHING&amp;vid=01CRU&amp;lang=en_US&amp;offset=0&amp;query=any,contains,991003458809702656","Catalog Record")</f>
        <v/>
      </c>
      <c r="AT1169">
        <f>HYPERLINK("http://www.worldcat.org/oclc/42215651","WorldCat Record")</f>
        <v/>
      </c>
      <c r="AU1169" t="inlineStr">
        <is>
          <t>3769194865:eng</t>
        </is>
      </c>
      <c r="AV1169" t="inlineStr">
        <is>
          <t>42215651</t>
        </is>
      </c>
      <c r="AW1169" t="inlineStr">
        <is>
          <t>991003458809702656</t>
        </is>
      </c>
      <c r="AX1169" t="inlineStr">
        <is>
          <t>991003458809702656</t>
        </is>
      </c>
      <c r="AY1169" t="inlineStr">
        <is>
          <t>2265619120002656</t>
        </is>
      </c>
      <c r="AZ1169" t="inlineStr">
        <is>
          <t>BOOK</t>
        </is>
      </c>
      <c r="BB1169" t="inlineStr">
        <is>
          <t>9781878380890</t>
        </is>
      </c>
      <c r="BC1169" t="inlineStr">
        <is>
          <t>32285004293600</t>
        </is>
      </c>
      <c r="BD1169" t="inlineStr">
        <is>
          <t>893787336</t>
        </is>
      </c>
    </row>
    <row r="1170">
      <c r="A1170" t="inlineStr">
        <is>
          <t>No</t>
        </is>
      </c>
      <c r="B1170" t="inlineStr">
        <is>
          <t>LB2822.75 .J37 2008</t>
        </is>
      </c>
      <c r="C1170" t="inlineStr">
        <is>
          <t>0                      LB 2822750J  37          2008</t>
        </is>
      </c>
      <c r="D1170" t="inlineStr">
        <is>
          <t>Evaluating programs to increase student achievement / Martin H. Jason ; foreword by Cozette Buckney.</t>
        </is>
      </c>
      <c r="F1170" t="inlineStr">
        <is>
          <t>No</t>
        </is>
      </c>
      <c r="G1170" t="inlineStr">
        <is>
          <t>1</t>
        </is>
      </c>
      <c r="H1170" t="inlineStr">
        <is>
          <t>No</t>
        </is>
      </c>
      <c r="I1170" t="inlineStr">
        <is>
          <t>No</t>
        </is>
      </c>
      <c r="J1170" t="inlineStr">
        <is>
          <t>0</t>
        </is>
      </c>
      <c r="K1170" t="inlineStr">
        <is>
          <t>Jason, Martin H.</t>
        </is>
      </c>
      <c r="L1170" t="inlineStr">
        <is>
          <t>Thousand Oaks, CA : Corwin Press, c2008.</t>
        </is>
      </c>
      <c r="M1170" t="inlineStr">
        <is>
          <t>2008</t>
        </is>
      </c>
      <c r="N1170" t="inlineStr">
        <is>
          <t>2nd ed.</t>
        </is>
      </c>
      <c r="O1170" t="inlineStr">
        <is>
          <t>eng</t>
        </is>
      </c>
      <c r="P1170" t="inlineStr">
        <is>
          <t>cau</t>
        </is>
      </c>
      <c r="R1170" t="inlineStr">
        <is>
          <t xml:space="preserve">LB </t>
        </is>
      </c>
      <c r="S1170" t="n">
        <v>1</v>
      </c>
      <c r="T1170" t="n">
        <v>1</v>
      </c>
      <c r="U1170" t="inlineStr">
        <is>
          <t>2008-06-04</t>
        </is>
      </c>
      <c r="V1170" t="inlineStr">
        <is>
          <t>2008-06-04</t>
        </is>
      </c>
      <c r="W1170" t="inlineStr">
        <is>
          <t>2008-06-04</t>
        </is>
      </c>
      <c r="X1170" t="inlineStr">
        <is>
          <t>2008-06-04</t>
        </is>
      </c>
      <c r="Y1170" t="n">
        <v>174</v>
      </c>
      <c r="Z1170" t="n">
        <v>126</v>
      </c>
      <c r="AA1170" t="n">
        <v>232</v>
      </c>
      <c r="AB1170" t="n">
        <v>2</v>
      </c>
      <c r="AC1170" t="n">
        <v>4</v>
      </c>
      <c r="AD1170" t="n">
        <v>8</v>
      </c>
      <c r="AE1170" t="n">
        <v>16</v>
      </c>
      <c r="AF1170" t="n">
        <v>3</v>
      </c>
      <c r="AG1170" t="n">
        <v>6</v>
      </c>
      <c r="AH1170" t="n">
        <v>1</v>
      </c>
      <c r="AI1170" t="n">
        <v>4</v>
      </c>
      <c r="AJ1170" t="n">
        <v>5</v>
      </c>
      <c r="AK1170" t="n">
        <v>8</v>
      </c>
      <c r="AL1170" t="n">
        <v>1</v>
      </c>
      <c r="AM1170" t="n">
        <v>3</v>
      </c>
      <c r="AN1170" t="n">
        <v>0</v>
      </c>
      <c r="AO1170" t="n">
        <v>0</v>
      </c>
      <c r="AP1170" t="inlineStr">
        <is>
          <t>No</t>
        </is>
      </c>
      <c r="AQ1170" t="inlineStr">
        <is>
          <t>No</t>
        </is>
      </c>
      <c r="AS1170">
        <f>HYPERLINK("https://creighton-primo.hosted.exlibrisgroup.com/primo-explore/search?tab=default_tab&amp;search_scope=EVERYTHING&amp;vid=01CRU&amp;lang=en_US&amp;offset=0&amp;query=any,contains,991005228389702656","Catalog Record")</f>
        <v/>
      </c>
      <c r="AT1170">
        <f>HYPERLINK("http://www.worldcat.org/oclc/173502844","WorldCat Record")</f>
        <v/>
      </c>
      <c r="AU1170" t="inlineStr">
        <is>
          <t>53126912:eng</t>
        </is>
      </c>
      <c r="AV1170" t="inlineStr">
        <is>
          <t>173502844</t>
        </is>
      </c>
      <c r="AW1170" t="inlineStr">
        <is>
          <t>991005228389702656</t>
        </is>
      </c>
      <c r="AX1170" t="inlineStr">
        <is>
          <t>991005228389702656</t>
        </is>
      </c>
      <c r="AY1170" t="inlineStr">
        <is>
          <t>2268560770002656</t>
        </is>
      </c>
      <c r="AZ1170" t="inlineStr">
        <is>
          <t>BOOK</t>
        </is>
      </c>
      <c r="BB1170" t="inlineStr">
        <is>
          <t>9781412951241</t>
        </is>
      </c>
      <c r="BC1170" t="inlineStr">
        <is>
          <t>32285005442685</t>
        </is>
      </c>
      <c r="BD1170" t="inlineStr">
        <is>
          <t>893260773</t>
        </is>
      </c>
    </row>
    <row r="1171">
      <c r="A1171" t="inlineStr">
        <is>
          <t>No</t>
        </is>
      </c>
      <c r="B1171" t="inlineStr">
        <is>
          <t>LB2822.75 .L45 2001</t>
        </is>
      </c>
      <c r="C1171" t="inlineStr">
        <is>
          <t>0                      LB 2822750L  45          2001</t>
        </is>
      </c>
      <c r="D1171" t="inlineStr">
        <is>
          <t>Making schools smarter : a system for monitoring school and district progress / Kenneth Leithwood, Robert Aitken, Doris Jantzi.</t>
        </is>
      </c>
      <c r="F1171" t="inlineStr">
        <is>
          <t>No</t>
        </is>
      </c>
      <c r="G1171" t="inlineStr">
        <is>
          <t>1</t>
        </is>
      </c>
      <c r="H1171" t="inlineStr">
        <is>
          <t>No</t>
        </is>
      </c>
      <c r="I1171" t="inlineStr">
        <is>
          <t>No</t>
        </is>
      </c>
      <c r="J1171" t="inlineStr">
        <is>
          <t>0</t>
        </is>
      </c>
      <c r="K1171" t="inlineStr">
        <is>
          <t>Leithwood, Kenneth A.</t>
        </is>
      </c>
      <c r="L1171" t="inlineStr">
        <is>
          <t>Thousand Oaks, Calif. : Corwin Press, c2001.</t>
        </is>
      </c>
      <c r="M1171" t="inlineStr">
        <is>
          <t>2001</t>
        </is>
      </c>
      <c r="N1171" t="inlineStr">
        <is>
          <t>2nd ed.</t>
        </is>
      </c>
      <c r="O1171" t="inlineStr">
        <is>
          <t>eng</t>
        </is>
      </c>
      <c r="P1171" t="inlineStr">
        <is>
          <t>cau</t>
        </is>
      </c>
      <c r="R1171" t="inlineStr">
        <is>
          <t xml:space="preserve">LB </t>
        </is>
      </c>
      <c r="S1171" t="n">
        <v>2</v>
      </c>
      <c r="T1171" t="n">
        <v>2</v>
      </c>
      <c r="U1171" t="inlineStr">
        <is>
          <t>2000-11-01</t>
        </is>
      </c>
      <c r="V1171" t="inlineStr">
        <is>
          <t>2000-11-01</t>
        </is>
      </c>
      <c r="W1171" t="inlineStr">
        <is>
          <t>2000-11-01</t>
        </is>
      </c>
      <c r="X1171" t="inlineStr">
        <is>
          <t>2000-11-01</t>
        </is>
      </c>
      <c r="Y1171" t="n">
        <v>226</v>
      </c>
      <c r="Z1171" t="n">
        <v>189</v>
      </c>
      <c r="AA1171" t="n">
        <v>303</v>
      </c>
      <c r="AB1171" t="n">
        <v>4</v>
      </c>
      <c r="AC1171" t="n">
        <v>5</v>
      </c>
      <c r="AD1171" t="n">
        <v>15</v>
      </c>
      <c r="AE1171" t="n">
        <v>20</v>
      </c>
      <c r="AF1171" t="n">
        <v>5</v>
      </c>
      <c r="AG1171" t="n">
        <v>7</v>
      </c>
      <c r="AH1171" t="n">
        <v>2</v>
      </c>
      <c r="AI1171" t="n">
        <v>4</v>
      </c>
      <c r="AJ1171" t="n">
        <v>8</v>
      </c>
      <c r="AK1171" t="n">
        <v>9</v>
      </c>
      <c r="AL1171" t="n">
        <v>3</v>
      </c>
      <c r="AM1171" t="n">
        <v>4</v>
      </c>
      <c r="AN1171" t="n">
        <v>0</v>
      </c>
      <c r="AO1171" t="n">
        <v>0</v>
      </c>
      <c r="AP1171" t="inlineStr">
        <is>
          <t>No</t>
        </is>
      </c>
      <c r="AQ1171" t="inlineStr">
        <is>
          <t>No</t>
        </is>
      </c>
      <c r="AS1171">
        <f>HYPERLINK("https://creighton-primo.hosted.exlibrisgroup.com/primo-explore/search?tab=default_tab&amp;search_scope=EVERYTHING&amp;vid=01CRU&amp;lang=en_US&amp;offset=0&amp;query=any,contains,991003330319702656","Catalog Record")</f>
        <v/>
      </c>
      <c r="AT1171">
        <f>HYPERLINK("http://www.worldcat.org/oclc/43657119","WorldCat Record")</f>
        <v/>
      </c>
      <c r="AU1171" t="inlineStr">
        <is>
          <t>619552:eng</t>
        </is>
      </c>
      <c r="AV1171" t="inlineStr">
        <is>
          <t>43657119</t>
        </is>
      </c>
      <c r="AW1171" t="inlineStr">
        <is>
          <t>991003330319702656</t>
        </is>
      </c>
      <c r="AX1171" t="inlineStr">
        <is>
          <t>991003330319702656</t>
        </is>
      </c>
      <c r="AY1171" t="inlineStr">
        <is>
          <t>2265317120002656</t>
        </is>
      </c>
      <c r="AZ1171" t="inlineStr">
        <is>
          <t>BOOK</t>
        </is>
      </c>
      <c r="BB1171" t="inlineStr">
        <is>
          <t>9780761975045</t>
        </is>
      </c>
      <c r="BC1171" t="inlineStr">
        <is>
          <t>32285004262076</t>
        </is>
      </c>
      <c r="BD1171" t="inlineStr">
        <is>
          <t>893428687</t>
        </is>
      </c>
    </row>
    <row r="1172">
      <c r="A1172" t="inlineStr">
        <is>
          <t>No</t>
        </is>
      </c>
      <c r="B1172" t="inlineStr">
        <is>
          <t>LB2822.75 .P37 2002</t>
        </is>
      </c>
      <c r="C1172" t="inlineStr">
        <is>
          <t>0                      LB 2822750P  37          2002</t>
        </is>
      </c>
      <c r="D1172" t="inlineStr">
        <is>
          <t>Evaluative inquiry : using evaluation to promote student success / by Beverly A. Parsons ; foreword by Grant Wiggins ; afterword by Michael Fullan.</t>
        </is>
      </c>
      <c r="F1172" t="inlineStr">
        <is>
          <t>No</t>
        </is>
      </c>
      <c r="G1172" t="inlineStr">
        <is>
          <t>1</t>
        </is>
      </c>
      <c r="H1172" t="inlineStr">
        <is>
          <t>No</t>
        </is>
      </c>
      <c r="I1172" t="inlineStr">
        <is>
          <t>No</t>
        </is>
      </c>
      <c r="J1172" t="inlineStr">
        <is>
          <t>0</t>
        </is>
      </c>
      <c r="K1172" t="inlineStr">
        <is>
          <t>Parsons, Beverly A.</t>
        </is>
      </c>
      <c r="L1172" t="inlineStr">
        <is>
          <t>Thousand Oaks, CA : Corwin Press, c2002.</t>
        </is>
      </c>
      <c r="M1172" t="inlineStr">
        <is>
          <t>2001</t>
        </is>
      </c>
      <c r="O1172" t="inlineStr">
        <is>
          <t>eng</t>
        </is>
      </c>
      <c r="P1172" t="inlineStr">
        <is>
          <t>cau</t>
        </is>
      </c>
      <c r="R1172" t="inlineStr">
        <is>
          <t xml:space="preserve">LB </t>
        </is>
      </c>
      <c r="S1172" t="n">
        <v>1</v>
      </c>
      <c r="T1172" t="n">
        <v>1</v>
      </c>
      <c r="U1172" t="inlineStr">
        <is>
          <t>2007-07-17</t>
        </is>
      </c>
      <c r="V1172" t="inlineStr">
        <is>
          <t>2007-07-17</t>
        </is>
      </c>
      <c r="W1172" t="inlineStr">
        <is>
          <t>2002-03-26</t>
        </is>
      </c>
      <c r="X1172" t="inlineStr">
        <is>
          <t>2002-03-26</t>
        </is>
      </c>
      <c r="Y1172" t="n">
        <v>236</v>
      </c>
      <c r="Z1172" t="n">
        <v>187</v>
      </c>
      <c r="AA1172" t="n">
        <v>269</v>
      </c>
      <c r="AB1172" t="n">
        <v>2</v>
      </c>
      <c r="AC1172" t="n">
        <v>4</v>
      </c>
      <c r="AD1172" t="n">
        <v>11</v>
      </c>
      <c r="AE1172" t="n">
        <v>14</v>
      </c>
      <c r="AF1172" t="n">
        <v>6</v>
      </c>
      <c r="AG1172" t="n">
        <v>7</v>
      </c>
      <c r="AH1172" t="n">
        <v>4</v>
      </c>
      <c r="AI1172" t="n">
        <v>4</v>
      </c>
      <c r="AJ1172" t="n">
        <v>3</v>
      </c>
      <c r="AK1172" t="n">
        <v>3</v>
      </c>
      <c r="AL1172" t="n">
        <v>1</v>
      </c>
      <c r="AM1172" t="n">
        <v>3</v>
      </c>
      <c r="AN1172" t="n">
        <v>0</v>
      </c>
      <c r="AO1172" t="n">
        <v>0</v>
      </c>
      <c r="AP1172" t="inlineStr">
        <is>
          <t>No</t>
        </is>
      </c>
      <c r="AQ1172" t="inlineStr">
        <is>
          <t>No</t>
        </is>
      </c>
      <c r="AS1172">
        <f>HYPERLINK("https://creighton-primo.hosted.exlibrisgroup.com/primo-explore/search?tab=default_tab&amp;search_scope=EVERYTHING&amp;vid=01CRU&amp;lang=en_US&amp;offset=0&amp;query=any,contains,991003770909702656","Catalog Record")</f>
        <v/>
      </c>
      <c r="AT1172">
        <f>HYPERLINK("http://www.worldcat.org/oclc/47705972","WorldCat Record")</f>
        <v/>
      </c>
      <c r="AU1172" t="inlineStr">
        <is>
          <t>837044576:eng</t>
        </is>
      </c>
      <c r="AV1172" t="inlineStr">
        <is>
          <t>47705972</t>
        </is>
      </c>
      <c r="AW1172" t="inlineStr">
        <is>
          <t>991003770909702656</t>
        </is>
      </c>
      <c r="AX1172" t="inlineStr">
        <is>
          <t>991003770909702656</t>
        </is>
      </c>
      <c r="AY1172" t="inlineStr">
        <is>
          <t>2254998070002656</t>
        </is>
      </c>
      <c r="AZ1172" t="inlineStr">
        <is>
          <t>BOOK</t>
        </is>
      </c>
      <c r="BB1172" t="inlineStr">
        <is>
          <t>9780761978138</t>
        </is>
      </c>
      <c r="BC1172" t="inlineStr">
        <is>
          <t>32285004464714</t>
        </is>
      </c>
      <c r="BD1172" t="inlineStr">
        <is>
          <t>893781390</t>
        </is>
      </c>
    </row>
    <row r="1173">
      <c r="A1173" t="inlineStr">
        <is>
          <t>No</t>
        </is>
      </c>
      <c r="B1173" t="inlineStr">
        <is>
          <t>LB2822.75 .S74 2009</t>
        </is>
      </c>
      <c r="C1173" t="inlineStr">
        <is>
          <t>0                      LB 2822750S  74          2009</t>
        </is>
      </c>
      <c r="D1173" t="inlineStr">
        <is>
          <t>Assessment live! : 10 real-time ways for kids to show what they know-- and meet the standards / Nancy Steineke.</t>
        </is>
      </c>
      <c r="F1173" t="inlineStr">
        <is>
          <t>No</t>
        </is>
      </c>
      <c r="G1173" t="inlineStr">
        <is>
          <t>1</t>
        </is>
      </c>
      <c r="H1173" t="inlineStr">
        <is>
          <t>No</t>
        </is>
      </c>
      <c r="I1173" t="inlineStr">
        <is>
          <t>No</t>
        </is>
      </c>
      <c r="J1173" t="inlineStr">
        <is>
          <t>0</t>
        </is>
      </c>
      <c r="K1173" t="inlineStr">
        <is>
          <t>Steineke, Nancy.</t>
        </is>
      </c>
      <c r="L1173" t="inlineStr">
        <is>
          <t>Portsmouth, NH : Heinemann, c2009.</t>
        </is>
      </c>
      <c r="M1173" t="inlineStr">
        <is>
          <t>2009</t>
        </is>
      </c>
      <c r="O1173" t="inlineStr">
        <is>
          <t>eng</t>
        </is>
      </c>
      <c r="P1173" t="inlineStr">
        <is>
          <t>nhu</t>
        </is>
      </c>
      <c r="R1173" t="inlineStr">
        <is>
          <t xml:space="preserve">LB </t>
        </is>
      </c>
      <c r="S1173" t="n">
        <v>1</v>
      </c>
      <c r="T1173" t="n">
        <v>1</v>
      </c>
      <c r="U1173" t="inlineStr">
        <is>
          <t>2009-12-10</t>
        </is>
      </c>
      <c r="V1173" t="inlineStr">
        <is>
          <t>2009-12-10</t>
        </is>
      </c>
      <c r="W1173" t="inlineStr">
        <is>
          <t>2009-12-10</t>
        </is>
      </c>
      <c r="X1173" t="inlineStr">
        <is>
          <t>2009-12-10</t>
        </is>
      </c>
      <c r="Y1173" t="n">
        <v>105</v>
      </c>
      <c r="Z1173" t="n">
        <v>92</v>
      </c>
      <c r="AA1173" t="n">
        <v>92</v>
      </c>
      <c r="AB1173" t="n">
        <v>1</v>
      </c>
      <c r="AC1173" t="n">
        <v>1</v>
      </c>
      <c r="AD1173" t="n">
        <v>4</v>
      </c>
      <c r="AE1173" t="n">
        <v>4</v>
      </c>
      <c r="AF1173" t="n">
        <v>3</v>
      </c>
      <c r="AG1173" t="n">
        <v>3</v>
      </c>
      <c r="AH1173" t="n">
        <v>0</v>
      </c>
      <c r="AI1173" t="n">
        <v>0</v>
      </c>
      <c r="AJ1173" t="n">
        <v>2</v>
      </c>
      <c r="AK1173" t="n">
        <v>2</v>
      </c>
      <c r="AL1173" t="n">
        <v>0</v>
      </c>
      <c r="AM1173" t="n">
        <v>0</v>
      </c>
      <c r="AN1173" t="n">
        <v>0</v>
      </c>
      <c r="AO1173" t="n">
        <v>0</v>
      </c>
      <c r="AP1173" t="inlineStr">
        <is>
          <t>No</t>
        </is>
      </c>
      <c r="AQ1173" t="inlineStr">
        <is>
          <t>No</t>
        </is>
      </c>
      <c r="AS1173">
        <f>HYPERLINK("https://creighton-primo.hosted.exlibrisgroup.com/primo-explore/search?tab=default_tab&amp;search_scope=EVERYTHING&amp;vid=01CRU&amp;lang=en_US&amp;offset=0&amp;query=any,contains,991005345339702656","Catalog Record")</f>
        <v/>
      </c>
      <c r="AT1173">
        <f>HYPERLINK("http://www.worldcat.org/oclc/319494753","WorldCat Record")</f>
        <v/>
      </c>
      <c r="AU1173" t="inlineStr">
        <is>
          <t>196415005:eng</t>
        </is>
      </c>
      <c r="AV1173" t="inlineStr">
        <is>
          <t>319494753</t>
        </is>
      </c>
      <c r="AW1173" t="inlineStr">
        <is>
          <t>991005345339702656</t>
        </is>
      </c>
      <c r="AX1173" t="inlineStr">
        <is>
          <t>991005345339702656</t>
        </is>
      </c>
      <c r="AY1173" t="inlineStr">
        <is>
          <t>2254738680002656</t>
        </is>
      </c>
      <c r="AZ1173" t="inlineStr">
        <is>
          <t>BOOK</t>
        </is>
      </c>
      <c r="BB1173" t="inlineStr">
        <is>
          <t>9780325021775</t>
        </is>
      </c>
      <c r="BC1173" t="inlineStr">
        <is>
          <t>32285005554265</t>
        </is>
      </c>
      <c r="BD1173" t="inlineStr">
        <is>
          <t>893808220</t>
        </is>
      </c>
    </row>
    <row r="1174">
      <c r="A1174" t="inlineStr">
        <is>
          <t>No</t>
        </is>
      </c>
      <c r="B1174" t="inlineStr">
        <is>
          <t>LB2822.8 .B87 2005</t>
        </is>
      </c>
      <c r="C1174" t="inlineStr">
        <is>
          <t>0                      LB 2822800B  87          2005</t>
        </is>
      </c>
      <c r="D1174" t="inlineStr">
        <is>
          <t>ACCESSing school : teaching struggling readers to achieve academic and personal success / Jim Burke.</t>
        </is>
      </c>
      <c r="F1174" t="inlineStr">
        <is>
          <t>No</t>
        </is>
      </c>
      <c r="G1174" t="inlineStr">
        <is>
          <t>1</t>
        </is>
      </c>
      <c r="H1174" t="inlineStr">
        <is>
          <t>No</t>
        </is>
      </c>
      <c r="I1174" t="inlineStr">
        <is>
          <t>No</t>
        </is>
      </c>
      <c r="J1174" t="inlineStr">
        <is>
          <t>0</t>
        </is>
      </c>
      <c r="K1174" t="inlineStr">
        <is>
          <t>Burke, Jim, 1961-</t>
        </is>
      </c>
      <c r="L1174" t="inlineStr">
        <is>
          <t>Portsmouth, NH : Heinemann, c2005.</t>
        </is>
      </c>
      <c r="M1174" t="inlineStr">
        <is>
          <t>2005</t>
        </is>
      </c>
      <c r="O1174" t="inlineStr">
        <is>
          <t>eng</t>
        </is>
      </c>
      <c r="P1174" t="inlineStr">
        <is>
          <t>nhu</t>
        </is>
      </c>
      <c r="R1174" t="inlineStr">
        <is>
          <t xml:space="preserve">LB </t>
        </is>
      </c>
      <c r="S1174" t="n">
        <v>1</v>
      </c>
      <c r="T1174" t="n">
        <v>1</v>
      </c>
      <c r="U1174" t="inlineStr">
        <is>
          <t>2006-01-16</t>
        </is>
      </c>
      <c r="V1174" t="inlineStr">
        <is>
          <t>2006-01-16</t>
        </is>
      </c>
      <c r="W1174" t="inlineStr">
        <is>
          <t>2006-01-16</t>
        </is>
      </c>
      <c r="X1174" t="inlineStr">
        <is>
          <t>2006-01-16</t>
        </is>
      </c>
      <c r="Y1174" t="n">
        <v>177</v>
      </c>
      <c r="Z1174" t="n">
        <v>158</v>
      </c>
      <c r="AA1174" t="n">
        <v>159</v>
      </c>
      <c r="AB1174" t="n">
        <v>2</v>
      </c>
      <c r="AC1174" t="n">
        <v>2</v>
      </c>
      <c r="AD1174" t="n">
        <v>6</v>
      </c>
      <c r="AE1174" t="n">
        <v>6</v>
      </c>
      <c r="AF1174" t="n">
        <v>3</v>
      </c>
      <c r="AG1174" t="n">
        <v>3</v>
      </c>
      <c r="AH1174" t="n">
        <v>1</v>
      </c>
      <c r="AI1174" t="n">
        <v>1</v>
      </c>
      <c r="AJ1174" t="n">
        <v>4</v>
      </c>
      <c r="AK1174" t="n">
        <v>4</v>
      </c>
      <c r="AL1174" t="n">
        <v>1</v>
      </c>
      <c r="AM1174" t="n">
        <v>1</v>
      </c>
      <c r="AN1174" t="n">
        <v>0</v>
      </c>
      <c r="AO1174" t="n">
        <v>0</v>
      </c>
      <c r="AP1174" t="inlineStr">
        <is>
          <t>No</t>
        </is>
      </c>
      <c r="AQ1174" t="inlineStr">
        <is>
          <t>Yes</t>
        </is>
      </c>
      <c r="AR1174">
        <f>HYPERLINK("http://catalog.hathitrust.org/Record/005135993","HathiTrust Record")</f>
        <v/>
      </c>
      <c r="AS1174">
        <f>HYPERLINK("https://creighton-primo.hosted.exlibrisgroup.com/primo-explore/search?tab=default_tab&amp;search_scope=EVERYTHING&amp;vid=01CRU&amp;lang=en_US&amp;offset=0&amp;query=any,contains,991004711489702656","Catalog Record")</f>
        <v/>
      </c>
      <c r="AT1174">
        <f>HYPERLINK("http://www.worldcat.org/oclc/58789952","WorldCat Record")</f>
        <v/>
      </c>
      <c r="AU1174" t="inlineStr">
        <is>
          <t>4164073513:eng</t>
        </is>
      </c>
      <c r="AV1174" t="inlineStr">
        <is>
          <t>58789952</t>
        </is>
      </c>
      <c r="AW1174" t="inlineStr">
        <is>
          <t>991004711489702656</t>
        </is>
      </c>
      <c r="AX1174" t="inlineStr">
        <is>
          <t>991004711489702656</t>
        </is>
      </c>
      <c r="AY1174" t="inlineStr">
        <is>
          <t>2270393490002656</t>
        </is>
      </c>
      <c r="AZ1174" t="inlineStr">
        <is>
          <t>BOOK</t>
        </is>
      </c>
      <c r="BB1174" t="inlineStr">
        <is>
          <t>9780325007373</t>
        </is>
      </c>
      <c r="BC1174" t="inlineStr">
        <is>
          <t>32285005155378</t>
        </is>
      </c>
      <c r="BD1174" t="inlineStr">
        <is>
          <t>893795188</t>
        </is>
      </c>
    </row>
    <row r="1175">
      <c r="A1175" t="inlineStr">
        <is>
          <t>No</t>
        </is>
      </c>
      <c r="B1175" t="inlineStr">
        <is>
          <t>LB2822.8 .K66 2002</t>
        </is>
      </c>
      <c r="C1175" t="inlineStr">
        <is>
          <t>0                      LB 2822800K  66          2002</t>
        </is>
      </c>
      <c r="D1175" t="inlineStr">
        <is>
          <t>Administrator's guide to student achievement &amp; higher test scores / Marcia Kalb Knoll.</t>
        </is>
      </c>
      <c r="F1175" t="inlineStr">
        <is>
          <t>No</t>
        </is>
      </c>
      <c r="G1175" t="inlineStr">
        <is>
          <t>1</t>
        </is>
      </c>
      <c r="H1175" t="inlineStr">
        <is>
          <t>No</t>
        </is>
      </c>
      <c r="I1175" t="inlineStr">
        <is>
          <t>No</t>
        </is>
      </c>
      <c r="J1175" t="inlineStr">
        <is>
          <t>0</t>
        </is>
      </c>
      <c r="K1175" t="inlineStr">
        <is>
          <t>Knoll, Marcia Kalb, 1935-</t>
        </is>
      </c>
      <c r="L1175" t="inlineStr">
        <is>
          <t>Paramus, N.J. : Prentice Hall, c2002.</t>
        </is>
      </c>
      <c r="M1175" t="inlineStr">
        <is>
          <t>2002</t>
        </is>
      </c>
      <c r="O1175" t="inlineStr">
        <is>
          <t>eng</t>
        </is>
      </c>
      <c r="P1175" t="inlineStr">
        <is>
          <t>nju</t>
        </is>
      </c>
      <c r="R1175" t="inlineStr">
        <is>
          <t xml:space="preserve">LB </t>
        </is>
      </c>
      <c r="S1175" t="n">
        <v>1</v>
      </c>
      <c r="T1175" t="n">
        <v>1</v>
      </c>
      <c r="U1175" t="inlineStr">
        <is>
          <t>2002-03-25</t>
        </is>
      </c>
      <c r="V1175" t="inlineStr">
        <is>
          <t>2002-03-25</t>
        </is>
      </c>
      <c r="W1175" t="inlineStr">
        <is>
          <t>2002-02-27</t>
        </is>
      </c>
      <c r="X1175" t="inlineStr">
        <is>
          <t>2002-02-27</t>
        </is>
      </c>
      <c r="Y1175" t="n">
        <v>151</v>
      </c>
      <c r="Z1175" t="n">
        <v>140</v>
      </c>
      <c r="AA1175" t="n">
        <v>142</v>
      </c>
      <c r="AB1175" t="n">
        <v>3</v>
      </c>
      <c r="AC1175" t="n">
        <v>3</v>
      </c>
      <c r="AD1175" t="n">
        <v>2</v>
      </c>
      <c r="AE1175" t="n">
        <v>2</v>
      </c>
      <c r="AF1175" t="n">
        <v>0</v>
      </c>
      <c r="AG1175" t="n">
        <v>0</v>
      </c>
      <c r="AH1175" t="n">
        <v>0</v>
      </c>
      <c r="AI1175" t="n">
        <v>0</v>
      </c>
      <c r="AJ1175" t="n">
        <v>0</v>
      </c>
      <c r="AK1175" t="n">
        <v>0</v>
      </c>
      <c r="AL1175" t="n">
        <v>2</v>
      </c>
      <c r="AM1175" t="n">
        <v>2</v>
      </c>
      <c r="AN1175" t="n">
        <v>0</v>
      </c>
      <c r="AO1175" t="n">
        <v>0</v>
      </c>
      <c r="AP1175" t="inlineStr">
        <is>
          <t>No</t>
        </is>
      </c>
      <c r="AQ1175" t="inlineStr">
        <is>
          <t>Yes</t>
        </is>
      </c>
      <c r="AR1175">
        <f>HYPERLINK("http://catalog.hathitrust.org/Record/102020428","HathiTrust Record")</f>
        <v/>
      </c>
      <c r="AS1175">
        <f>HYPERLINK("https://creighton-primo.hosted.exlibrisgroup.com/primo-explore/search?tab=default_tab&amp;search_scope=EVERYTHING&amp;vid=01CRU&amp;lang=en_US&amp;offset=0&amp;query=any,contains,991003752879702656","Catalog Record")</f>
        <v/>
      </c>
      <c r="AT1175">
        <f>HYPERLINK("http://www.worldcat.org/oclc/47120309","WorldCat Record")</f>
        <v/>
      </c>
      <c r="AU1175" t="inlineStr">
        <is>
          <t>36223039:eng</t>
        </is>
      </c>
      <c r="AV1175" t="inlineStr">
        <is>
          <t>47120309</t>
        </is>
      </c>
      <c r="AW1175" t="inlineStr">
        <is>
          <t>991003752879702656</t>
        </is>
      </c>
      <c r="AX1175" t="inlineStr">
        <is>
          <t>991003752879702656</t>
        </is>
      </c>
      <c r="AY1175" t="inlineStr">
        <is>
          <t>2269833440002656</t>
        </is>
      </c>
      <c r="AZ1175" t="inlineStr">
        <is>
          <t>BOOK</t>
        </is>
      </c>
      <c r="BB1175" t="inlineStr">
        <is>
          <t>9780130923370</t>
        </is>
      </c>
      <c r="BC1175" t="inlineStr">
        <is>
          <t>32285004458344</t>
        </is>
      </c>
      <c r="BD1175" t="inlineStr">
        <is>
          <t>893525185</t>
        </is>
      </c>
    </row>
    <row r="1176">
      <c r="A1176" t="inlineStr">
        <is>
          <t>No</t>
        </is>
      </c>
      <c r="B1176" t="inlineStr">
        <is>
          <t>LB2822.8 .T39 2010</t>
        </is>
      </c>
      <c r="C1176" t="inlineStr">
        <is>
          <t>0                      LB 2822800T  39          2010</t>
        </is>
      </c>
      <c r="D1176" t="inlineStr">
        <is>
          <t>Leading learning : change student achievement today! / Rosemarye T. Taylor.</t>
        </is>
      </c>
      <c r="F1176" t="inlineStr">
        <is>
          <t>No</t>
        </is>
      </c>
      <c r="G1176" t="inlineStr">
        <is>
          <t>1</t>
        </is>
      </c>
      <c r="H1176" t="inlineStr">
        <is>
          <t>No</t>
        </is>
      </c>
      <c r="I1176" t="inlineStr">
        <is>
          <t>No</t>
        </is>
      </c>
      <c r="J1176" t="inlineStr">
        <is>
          <t>0</t>
        </is>
      </c>
      <c r="K1176" t="inlineStr">
        <is>
          <t>Taylor, Rosemarye, 1950-</t>
        </is>
      </c>
      <c r="L1176" t="inlineStr">
        <is>
          <t>Thousand Oaks, Calif. : Corwin Press, c2010.</t>
        </is>
      </c>
      <c r="M1176" t="inlineStr">
        <is>
          <t>2010</t>
        </is>
      </c>
      <c r="O1176" t="inlineStr">
        <is>
          <t>eng</t>
        </is>
      </c>
      <c r="P1176" t="inlineStr">
        <is>
          <t>cau</t>
        </is>
      </c>
      <c r="R1176" t="inlineStr">
        <is>
          <t xml:space="preserve">LB </t>
        </is>
      </c>
      <c r="S1176" t="n">
        <v>1</v>
      </c>
      <c r="T1176" t="n">
        <v>1</v>
      </c>
      <c r="U1176" t="inlineStr">
        <is>
          <t>2010-01-11</t>
        </is>
      </c>
      <c r="V1176" t="inlineStr">
        <is>
          <t>2010-01-11</t>
        </is>
      </c>
      <c r="W1176" t="inlineStr">
        <is>
          <t>2010-01-11</t>
        </is>
      </c>
      <c r="X1176" t="inlineStr">
        <is>
          <t>2010-01-11</t>
        </is>
      </c>
      <c r="Y1176" t="n">
        <v>125</v>
      </c>
      <c r="Z1176" t="n">
        <v>99</v>
      </c>
      <c r="AA1176" t="n">
        <v>122</v>
      </c>
      <c r="AB1176" t="n">
        <v>1</v>
      </c>
      <c r="AC1176" t="n">
        <v>2</v>
      </c>
      <c r="AD1176" t="n">
        <v>4</v>
      </c>
      <c r="AE1176" t="n">
        <v>6</v>
      </c>
      <c r="AF1176" t="n">
        <v>2</v>
      </c>
      <c r="AG1176" t="n">
        <v>3</v>
      </c>
      <c r="AH1176" t="n">
        <v>1</v>
      </c>
      <c r="AI1176" t="n">
        <v>2</v>
      </c>
      <c r="AJ1176" t="n">
        <v>4</v>
      </c>
      <c r="AK1176" t="n">
        <v>4</v>
      </c>
      <c r="AL1176" t="n">
        <v>0</v>
      </c>
      <c r="AM1176" t="n">
        <v>1</v>
      </c>
      <c r="AN1176" t="n">
        <v>0</v>
      </c>
      <c r="AO1176" t="n">
        <v>0</v>
      </c>
      <c r="AP1176" t="inlineStr">
        <is>
          <t>No</t>
        </is>
      </c>
      <c r="AQ1176" t="inlineStr">
        <is>
          <t>No</t>
        </is>
      </c>
      <c r="AS1176">
        <f>HYPERLINK("https://creighton-primo.hosted.exlibrisgroup.com/primo-explore/search?tab=default_tab&amp;search_scope=EVERYTHING&amp;vid=01CRU&amp;lang=en_US&amp;offset=0&amp;query=any,contains,991005349309702656","Catalog Record")</f>
        <v/>
      </c>
      <c r="AT1176">
        <f>HYPERLINK("http://www.worldcat.org/oclc/423216277","WorldCat Record")</f>
        <v/>
      </c>
      <c r="AU1176" t="inlineStr">
        <is>
          <t>312037923:eng</t>
        </is>
      </c>
      <c r="AV1176" t="inlineStr">
        <is>
          <t>423216277</t>
        </is>
      </c>
      <c r="AW1176" t="inlineStr">
        <is>
          <t>991005349309702656</t>
        </is>
      </c>
      <c r="AX1176" t="inlineStr">
        <is>
          <t>991005349309702656</t>
        </is>
      </c>
      <c r="AY1176" t="inlineStr">
        <is>
          <t>2260798720002656</t>
        </is>
      </c>
      <c r="AZ1176" t="inlineStr">
        <is>
          <t>BOOK</t>
        </is>
      </c>
      <c r="BB1176" t="inlineStr">
        <is>
          <t>9781412978705</t>
        </is>
      </c>
      <c r="BC1176" t="inlineStr">
        <is>
          <t>32285005555957</t>
        </is>
      </c>
      <c r="BD1176" t="inlineStr">
        <is>
          <t>893777241</t>
        </is>
      </c>
    </row>
    <row r="1177">
      <c r="A1177" t="inlineStr">
        <is>
          <t>No</t>
        </is>
      </c>
      <c r="B1177" t="inlineStr">
        <is>
          <t>LB2822.8 .T46 2002</t>
        </is>
      </c>
      <c r="C1177" t="inlineStr">
        <is>
          <t>0                      LB 2822800T  46          2002</t>
        </is>
      </c>
      <c r="D1177" t="inlineStr">
        <is>
          <t>Overcoming inertia in school reform : how to successfully implement change / R. Murray Thomas.</t>
        </is>
      </c>
      <c r="F1177" t="inlineStr">
        <is>
          <t>No</t>
        </is>
      </c>
      <c r="G1177" t="inlineStr">
        <is>
          <t>1</t>
        </is>
      </c>
      <c r="H1177" t="inlineStr">
        <is>
          <t>No</t>
        </is>
      </c>
      <c r="I1177" t="inlineStr">
        <is>
          <t>No</t>
        </is>
      </c>
      <c r="J1177" t="inlineStr">
        <is>
          <t>0</t>
        </is>
      </c>
      <c r="K1177" t="inlineStr">
        <is>
          <t>Thomas, R. Murray (Robert Murray), 1921-</t>
        </is>
      </c>
      <c r="L1177" t="inlineStr">
        <is>
          <t>Thousand Oaks, Calif. : Corwin Press, c2002.</t>
        </is>
      </c>
      <c r="M1177" t="inlineStr">
        <is>
          <t>2002</t>
        </is>
      </c>
      <c r="O1177" t="inlineStr">
        <is>
          <t>eng</t>
        </is>
      </c>
      <c r="P1177" t="inlineStr">
        <is>
          <t>cau</t>
        </is>
      </c>
      <c r="R1177" t="inlineStr">
        <is>
          <t xml:space="preserve">LB </t>
        </is>
      </c>
      <c r="S1177" t="n">
        <v>2</v>
      </c>
      <c r="T1177" t="n">
        <v>2</v>
      </c>
      <c r="U1177" t="inlineStr">
        <is>
          <t>2002-09-14</t>
        </is>
      </c>
      <c r="V1177" t="inlineStr">
        <is>
          <t>2002-09-14</t>
        </is>
      </c>
      <c r="W1177" t="inlineStr">
        <is>
          <t>2002-06-25</t>
        </is>
      </c>
      <c r="X1177" t="inlineStr">
        <is>
          <t>2002-06-25</t>
        </is>
      </c>
      <c r="Y1177" t="n">
        <v>261</v>
      </c>
      <c r="Z1177" t="n">
        <v>223</v>
      </c>
      <c r="AA1177" t="n">
        <v>228</v>
      </c>
      <c r="AB1177" t="n">
        <v>5</v>
      </c>
      <c r="AC1177" t="n">
        <v>5</v>
      </c>
      <c r="AD1177" t="n">
        <v>11</v>
      </c>
      <c r="AE1177" t="n">
        <v>11</v>
      </c>
      <c r="AF1177" t="n">
        <v>2</v>
      </c>
      <c r="AG1177" t="n">
        <v>2</v>
      </c>
      <c r="AH1177" t="n">
        <v>2</v>
      </c>
      <c r="AI1177" t="n">
        <v>2</v>
      </c>
      <c r="AJ1177" t="n">
        <v>4</v>
      </c>
      <c r="AK1177" t="n">
        <v>4</v>
      </c>
      <c r="AL1177" t="n">
        <v>4</v>
      </c>
      <c r="AM1177" t="n">
        <v>4</v>
      </c>
      <c r="AN1177" t="n">
        <v>0</v>
      </c>
      <c r="AO1177" t="n">
        <v>0</v>
      </c>
      <c r="AP1177" t="inlineStr">
        <is>
          <t>No</t>
        </is>
      </c>
      <c r="AQ1177" t="inlineStr">
        <is>
          <t>Yes</t>
        </is>
      </c>
      <c r="AR1177">
        <f>HYPERLINK("http://catalog.hathitrust.org/Record/004240857","HathiTrust Record")</f>
        <v/>
      </c>
      <c r="AS1177">
        <f>HYPERLINK("https://creighton-primo.hosted.exlibrisgroup.com/primo-explore/search?tab=default_tab&amp;search_scope=EVERYTHING&amp;vid=01CRU&amp;lang=en_US&amp;offset=0&amp;query=any,contains,991003830849702656","Catalog Record")</f>
        <v/>
      </c>
      <c r="AT1177">
        <f>HYPERLINK("http://www.worldcat.org/oclc/48767634","WorldCat Record")</f>
        <v/>
      </c>
      <c r="AU1177" t="inlineStr">
        <is>
          <t>946947:eng</t>
        </is>
      </c>
      <c r="AV1177" t="inlineStr">
        <is>
          <t>48767634</t>
        </is>
      </c>
      <c r="AW1177" t="inlineStr">
        <is>
          <t>991003830849702656</t>
        </is>
      </c>
      <c r="AX1177" t="inlineStr">
        <is>
          <t>991003830849702656</t>
        </is>
      </c>
      <c r="AY1177" t="inlineStr">
        <is>
          <t>2256705240002656</t>
        </is>
      </c>
      <c r="AZ1177" t="inlineStr">
        <is>
          <t>BOOK</t>
        </is>
      </c>
      <c r="BB1177" t="inlineStr">
        <is>
          <t>9780761945918</t>
        </is>
      </c>
      <c r="BC1177" t="inlineStr">
        <is>
          <t>32285004495452</t>
        </is>
      </c>
      <c r="BD1177" t="inlineStr">
        <is>
          <t>893343074</t>
        </is>
      </c>
    </row>
    <row r="1178">
      <c r="A1178" t="inlineStr">
        <is>
          <t>No</t>
        </is>
      </c>
      <c r="B1178" t="inlineStr">
        <is>
          <t>LB2822.8 .W27 2004</t>
        </is>
      </c>
      <c r="C1178" t="inlineStr">
        <is>
          <t>0                      LB 2822800W  27          2004</t>
        </is>
      </c>
      <c r="D1178" t="inlineStr">
        <is>
          <t>Improving achievement in low-performing schools : key results for school leaders / Randolph E. Ward ; Mary Ann Burke, editor.</t>
        </is>
      </c>
      <c r="F1178" t="inlineStr">
        <is>
          <t>No</t>
        </is>
      </c>
      <c r="G1178" t="inlineStr">
        <is>
          <t>1</t>
        </is>
      </c>
      <c r="H1178" t="inlineStr">
        <is>
          <t>No</t>
        </is>
      </c>
      <c r="I1178" t="inlineStr">
        <is>
          <t>No</t>
        </is>
      </c>
      <c r="J1178" t="inlineStr">
        <is>
          <t>0</t>
        </is>
      </c>
      <c r="K1178" t="inlineStr">
        <is>
          <t>Ward, Randolph E.</t>
        </is>
      </c>
      <c r="L1178" t="inlineStr">
        <is>
          <t>Thousand Oaks, Calif. : Corwin Press, c2004.</t>
        </is>
      </c>
      <c r="M1178" t="inlineStr">
        <is>
          <t>2004</t>
        </is>
      </c>
      <c r="O1178" t="inlineStr">
        <is>
          <t>eng</t>
        </is>
      </c>
      <c r="P1178" t="inlineStr">
        <is>
          <t>cau</t>
        </is>
      </c>
      <c r="R1178" t="inlineStr">
        <is>
          <t xml:space="preserve">LB </t>
        </is>
      </c>
      <c r="S1178" t="n">
        <v>1</v>
      </c>
      <c r="T1178" t="n">
        <v>1</v>
      </c>
      <c r="U1178" t="inlineStr">
        <is>
          <t>2004-04-21</t>
        </is>
      </c>
      <c r="V1178" t="inlineStr">
        <is>
          <t>2004-04-21</t>
        </is>
      </c>
      <c r="W1178" t="inlineStr">
        <is>
          <t>2004-04-21</t>
        </is>
      </c>
      <c r="X1178" t="inlineStr">
        <is>
          <t>2004-04-21</t>
        </is>
      </c>
      <c r="Y1178" t="n">
        <v>293</v>
      </c>
      <c r="Z1178" t="n">
        <v>250</v>
      </c>
      <c r="AA1178" t="n">
        <v>271</v>
      </c>
      <c r="AB1178" t="n">
        <v>3</v>
      </c>
      <c r="AC1178" t="n">
        <v>3</v>
      </c>
      <c r="AD1178" t="n">
        <v>12</v>
      </c>
      <c r="AE1178" t="n">
        <v>13</v>
      </c>
      <c r="AF1178" t="n">
        <v>5</v>
      </c>
      <c r="AG1178" t="n">
        <v>6</v>
      </c>
      <c r="AH1178" t="n">
        <v>1</v>
      </c>
      <c r="AI1178" t="n">
        <v>2</v>
      </c>
      <c r="AJ1178" t="n">
        <v>7</v>
      </c>
      <c r="AK1178" t="n">
        <v>7</v>
      </c>
      <c r="AL1178" t="n">
        <v>2</v>
      </c>
      <c r="AM1178" t="n">
        <v>2</v>
      </c>
      <c r="AN1178" t="n">
        <v>0</v>
      </c>
      <c r="AO1178" t="n">
        <v>0</v>
      </c>
      <c r="AP1178" t="inlineStr">
        <is>
          <t>No</t>
        </is>
      </c>
      <c r="AQ1178" t="inlineStr">
        <is>
          <t>No</t>
        </is>
      </c>
      <c r="AS1178">
        <f>HYPERLINK("https://creighton-primo.hosted.exlibrisgroup.com/primo-explore/search?tab=default_tab&amp;search_scope=EVERYTHING&amp;vid=01CRU&amp;lang=en_US&amp;offset=0&amp;query=any,contains,991004285909702656","Catalog Record")</f>
        <v/>
      </c>
      <c r="AT1178">
        <f>HYPERLINK("http://www.worldcat.org/oclc/52979219","WorldCat Record")</f>
        <v/>
      </c>
      <c r="AU1178" t="inlineStr">
        <is>
          <t>1028158624:eng</t>
        </is>
      </c>
      <c r="AV1178" t="inlineStr">
        <is>
          <t>52979219</t>
        </is>
      </c>
      <c r="AW1178" t="inlineStr">
        <is>
          <t>991004285909702656</t>
        </is>
      </c>
      <c r="AX1178" t="inlineStr">
        <is>
          <t>991004285909702656</t>
        </is>
      </c>
      <c r="AY1178" t="inlineStr">
        <is>
          <t>2267097730002656</t>
        </is>
      </c>
      <c r="AZ1178" t="inlineStr">
        <is>
          <t>BOOK</t>
        </is>
      </c>
      <c r="BB1178" t="inlineStr">
        <is>
          <t>9780761931737</t>
        </is>
      </c>
      <c r="BC1178" t="inlineStr">
        <is>
          <t>32285004901202</t>
        </is>
      </c>
      <c r="BD1178" t="inlineStr">
        <is>
          <t>893624553</t>
        </is>
      </c>
    </row>
    <row r="1179">
      <c r="A1179" t="inlineStr">
        <is>
          <t>No</t>
        </is>
      </c>
      <c r="B1179" t="inlineStr">
        <is>
          <t>LB2822.8 E38 2008</t>
        </is>
      </c>
      <c r="C1179" t="inlineStr">
        <is>
          <t>0                      LB 2822800E  38          2008</t>
        </is>
      </c>
      <c r="D1179" t="inlineStr">
        <is>
          <t>Building an intentional school culture : excellence in academics and character / Charles F. Elbot, David Fulton.</t>
        </is>
      </c>
      <c r="F1179" t="inlineStr">
        <is>
          <t>No</t>
        </is>
      </c>
      <c r="G1179" t="inlineStr">
        <is>
          <t>1</t>
        </is>
      </c>
      <c r="H1179" t="inlineStr">
        <is>
          <t>No</t>
        </is>
      </c>
      <c r="I1179" t="inlineStr">
        <is>
          <t>No</t>
        </is>
      </c>
      <c r="J1179" t="inlineStr">
        <is>
          <t>0</t>
        </is>
      </c>
      <c r="K1179" t="inlineStr">
        <is>
          <t>Elbot, Charles F.</t>
        </is>
      </c>
      <c r="L1179" t="inlineStr">
        <is>
          <t>Thousand Oaks, Calif. : Corwin Press, c2008.</t>
        </is>
      </c>
      <c r="M1179" t="inlineStr">
        <is>
          <t>2008</t>
        </is>
      </c>
      <c r="O1179" t="inlineStr">
        <is>
          <t>eng</t>
        </is>
      </c>
      <c r="P1179" t="inlineStr">
        <is>
          <t>cau</t>
        </is>
      </c>
      <c r="R1179" t="inlineStr">
        <is>
          <t xml:space="preserve">LB </t>
        </is>
      </c>
      <c r="S1179" t="n">
        <v>1</v>
      </c>
      <c r="T1179" t="n">
        <v>1</v>
      </c>
      <c r="U1179" t="inlineStr">
        <is>
          <t>2008-01-16</t>
        </is>
      </c>
      <c r="V1179" t="inlineStr">
        <is>
          <t>2008-01-16</t>
        </is>
      </c>
      <c r="W1179" t="inlineStr">
        <is>
          <t>2008-01-16</t>
        </is>
      </c>
      <c r="X1179" t="inlineStr">
        <is>
          <t>2008-01-16</t>
        </is>
      </c>
      <c r="Y1179" t="n">
        <v>213</v>
      </c>
      <c r="Z1179" t="n">
        <v>173</v>
      </c>
      <c r="AA1179" t="n">
        <v>192</v>
      </c>
      <c r="AB1179" t="n">
        <v>3</v>
      </c>
      <c r="AC1179" t="n">
        <v>4</v>
      </c>
      <c r="AD1179" t="n">
        <v>13</v>
      </c>
      <c r="AE1179" t="n">
        <v>15</v>
      </c>
      <c r="AF1179" t="n">
        <v>4</v>
      </c>
      <c r="AG1179" t="n">
        <v>5</v>
      </c>
      <c r="AH1179" t="n">
        <v>2</v>
      </c>
      <c r="AI1179" t="n">
        <v>3</v>
      </c>
      <c r="AJ1179" t="n">
        <v>7</v>
      </c>
      <c r="AK1179" t="n">
        <v>7</v>
      </c>
      <c r="AL1179" t="n">
        <v>2</v>
      </c>
      <c r="AM1179" t="n">
        <v>3</v>
      </c>
      <c r="AN1179" t="n">
        <v>0</v>
      </c>
      <c r="AO1179" t="n">
        <v>0</v>
      </c>
      <c r="AP1179" t="inlineStr">
        <is>
          <t>No</t>
        </is>
      </c>
      <c r="AQ1179" t="inlineStr">
        <is>
          <t>Yes</t>
        </is>
      </c>
      <c r="AR1179">
        <f>HYPERLINK("http://catalog.hathitrust.org/Record/005635243","HathiTrust Record")</f>
        <v/>
      </c>
      <c r="AS1179">
        <f>HYPERLINK("https://creighton-primo.hosted.exlibrisgroup.com/primo-explore/search?tab=default_tab&amp;search_scope=EVERYTHING&amp;vid=01CRU&amp;lang=en_US&amp;offset=0&amp;query=any,contains,991005171619702656","Catalog Record")</f>
        <v/>
      </c>
      <c r="AT1179">
        <f>HYPERLINK("http://www.worldcat.org/oclc/132687661","WorldCat Record")</f>
        <v/>
      </c>
      <c r="AU1179" t="inlineStr">
        <is>
          <t>410810638:eng</t>
        </is>
      </c>
      <c r="AV1179" t="inlineStr">
        <is>
          <t>132687661</t>
        </is>
      </c>
      <c r="AW1179" t="inlineStr">
        <is>
          <t>991005171619702656</t>
        </is>
      </c>
      <c r="AX1179" t="inlineStr">
        <is>
          <t>991005171619702656</t>
        </is>
      </c>
      <c r="AY1179" t="inlineStr">
        <is>
          <t>2260035580002656</t>
        </is>
      </c>
      <c r="AZ1179" t="inlineStr">
        <is>
          <t>BOOK</t>
        </is>
      </c>
      <c r="BB1179" t="inlineStr">
        <is>
          <t>9781412953771</t>
        </is>
      </c>
      <c r="BC1179" t="inlineStr">
        <is>
          <t>32285005378020</t>
        </is>
      </c>
      <c r="BD1179" t="inlineStr">
        <is>
          <t>893236397</t>
        </is>
      </c>
    </row>
    <row r="1180">
      <c r="A1180" t="inlineStr">
        <is>
          <t>No</t>
        </is>
      </c>
      <c r="B1180" t="inlineStr">
        <is>
          <t>LB2822.82 .B44 2000</t>
        </is>
      </c>
      <c r="C1180" t="inlineStr">
        <is>
          <t>0                      LB 2822820B  44          2000</t>
        </is>
      </c>
      <c r="D1180" t="inlineStr">
        <is>
          <t>Becoming good American schools : the struggle for civic virtue in education reform / Jeannie Oakes ... [et al.].</t>
        </is>
      </c>
      <c r="F1180" t="inlineStr">
        <is>
          <t>No</t>
        </is>
      </c>
      <c r="G1180" t="inlineStr">
        <is>
          <t>1</t>
        </is>
      </c>
      <c r="H1180" t="inlineStr">
        <is>
          <t>No</t>
        </is>
      </c>
      <c r="I1180" t="inlineStr">
        <is>
          <t>No</t>
        </is>
      </c>
      <c r="J1180" t="inlineStr">
        <is>
          <t>0</t>
        </is>
      </c>
      <c r="L1180" t="inlineStr">
        <is>
          <t>San Francisco : Jossey-Bass, c2000.</t>
        </is>
      </c>
      <c r="M1180" t="inlineStr">
        <is>
          <t>2000</t>
        </is>
      </c>
      <c r="N1180" t="inlineStr">
        <is>
          <t>1st ed.</t>
        </is>
      </c>
      <c r="O1180" t="inlineStr">
        <is>
          <t>eng</t>
        </is>
      </c>
      <c r="P1180" t="inlineStr">
        <is>
          <t>cau</t>
        </is>
      </c>
      <c r="Q1180" t="inlineStr">
        <is>
          <t>The Jossey-Bass education series</t>
        </is>
      </c>
      <c r="R1180" t="inlineStr">
        <is>
          <t xml:space="preserve">LB </t>
        </is>
      </c>
      <c r="S1180" t="n">
        <v>2</v>
      </c>
      <c r="T1180" t="n">
        <v>2</v>
      </c>
      <c r="U1180" t="inlineStr">
        <is>
          <t>2001-11-02</t>
        </is>
      </c>
      <c r="V1180" t="inlineStr">
        <is>
          <t>2001-11-02</t>
        </is>
      </c>
      <c r="W1180" t="inlineStr">
        <is>
          <t>2000-02-28</t>
        </is>
      </c>
      <c r="X1180" t="inlineStr">
        <is>
          <t>2000-02-28</t>
        </is>
      </c>
      <c r="Y1180" t="n">
        <v>486</v>
      </c>
      <c r="Z1180" t="n">
        <v>458</v>
      </c>
      <c r="AA1180" t="n">
        <v>476</v>
      </c>
      <c r="AB1180" t="n">
        <v>4</v>
      </c>
      <c r="AC1180" t="n">
        <v>4</v>
      </c>
      <c r="AD1180" t="n">
        <v>26</v>
      </c>
      <c r="AE1180" t="n">
        <v>26</v>
      </c>
      <c r="AF1180" t="n">
        <v>12</v>
      </c>
      <c r="AG1180" t="n">
        <v>12</v>
      </c>
      <c r="AH1180" t="n">
        <v>5</v>
      </c>
      <c r="AI1180" t="n">
        <v>5</v>
      </c>
      <c r="AJ1180" t="n">
        <v>12</v>
      </c>
      <c r="AK1180" t="n">
        <v>12</v>
      </c>
      <c r="AL1180" t="n">
        <v>3</v>
      </c>
      <c r="AM1180" t="n">
        <v>3</v>
      </c>
      <c r="AN1180" t="n">
        <v>0</v>
      </c>
      <c r="AO1180" t="n">
        <v>0</v>
      </c>
      <c r="AP1180" t="inlineStr">
        <is>
          <t>No</t>
        </is>
      </c>
      <c r="AQ1180" t="inlineStr">
        <is>
          <t>Yes</t>
        </is>
      </c>
      <c r="AR1180">
        <f>HYPERLINK("http://catalog.hathitrust.org/Record/004069965","HathiTrust Record")</f>
        <v/>
      </c>
      <c r="AS1180">
        <f>HYPERLINK("https://creighton-primo.hosted.exlibrisgroup.com/primo-explore/search?tab=default_tab&amp;search_scope=EVERYTHING&amp;vid=01CRU&amp;lang=en_US&amp;offset=0&amp;query=any,contains,991003044639702656","Catalog Record")</f>
        <v/>
      </c>
      <c r="AT1180">
        <f>HYPERLINK("http://www.worldcat.org/oclc/42428853","WorldCat Record")</f>
        <v/>
      </c>
      <c r="AU1180" t="inlineStr">
        <is>
          <t>905412462:eng</t>
        </is>
      </c>
      <c r="AV1180" t="inlineStr">
        <is>
          <t>42428853</t>
        </is>
      </c>
      <c r="AW1180" t="inlineStr">
        <is>
          <t>991003044639702656</t>
        </is>
      </c>
      <c r="AX1180" t="inlineStr">
        <is>
          <t>991003044639702656</t>
        </is>
      </c>
      <c r="AY1180" t="inlineStr">
        <is>
          <t>2269719300002656</t>
        </is>
      </c>
      <c r="AZ1180" t="inlineStr">
        <is>
          <t>BOOK</t>
        </is>
      </c>
      <c r="BB1180" t="inlineStr">
        <is>
          <t>9780787940232</t>
        </is>
      </c>
      <c r="BC1180" t="inlineStr">
        <is>
          <t>32285003664967</t>
        </is>
      </c>
      <c r="BD1180" t="inlineStr">
        <is>
          <t>893329899</t>
        </is>
      </c>
    </row>
    <row r="1181">
      <c r="A1181" t="inlineStr">
        <is>
          <t>No</t>
        </is>
      </c>
      <c r="B1181" t="inlineStr">
        <is>
          <t>LB2822.82 .B639 2002</t>
        </is>
      </c>
      <c r="C1181" t="inlineStr">
        <is>
          <t>0                      LB 2822820B  639         2002</t>
        </is>
      </c>
      <c r="D1181" t="inlineStr">
        <is>
          <t>Lost and found : CARTIE classrooms for reclaiming students / David Boers.</t>
        </is>
      </c>
      <c r="F1181" t="inlineStr">
        <is>
          <t>No</t>
        </is>
      </c>
      <c r="G1181" t="inlineStr">
        <is>
          <t>1</t>
        </is>
      </c>
      <c r="H1181" t="inlineStr">
        <is>
          <t>No</t>
        </is>
      </c>
      <c r="I1181" t="inlineStr">
        <is>
          <t>No</t>
        </is>
      </c>
      <c r="J1181" t="inlineStr">
        <is>
          <t>0</t>
        </is>
      </c>
      <c r="K1181" t="inlineStr">
        <is>
          <t>Boers, David.</t>
        </is>
      </c>
      <c r="L1181" t="inlineStr">
        <is>
          <t>Lanham, MD : University Press of America, 2002.</t>
        </is>
      </c>
      <c r="M1181" t="inlineStr">
        <is>
          <t>2002</t>
        </is>
      </c>
      <c r="O1181" t="inlineStr">
        <is>
          <t>eng</t>
        </is>
      </c>
      <c r="P1181" t="inlineStr">
        <is>
          <t>mdu</t>
        </is>
      </c>
      <c r="R1181" t="inlineStr">
        <is>
          <t xml:space="preserve">LB </t>
        </is>
      </c>
      <c r="S1181" t="n">
        <v>3</v>
      </c>
      <c r="T1181" t="n">
        <v>3</v>
      </c>
      <c r="U1181" t="inlineStr">
        <is>
          <t>2006-03-02</t>
        </is>
      </c>
      <c r="V1181" t="inlineStr">
        <is>
          <t>2006-03-02</t>
        </is>
      </c>
      <c r="W1181" t="inlineStr">
        <is>
          <t>2003-01-28</t>
        </is>
      </c>
      <c r="X1181" t="inlineStr">
        <is>
          <t>2003-01-28</t>
        </is>
      </c>
      <c r="Y1181" t="n">
        <v>86</v>
      </c>
      <c r="Z1181" t="n">
        <v>79</v>
      </c>
      <c r="AA1181" t="n">
        <v>80</v>
      </c>
      <c r="AB1181" t="n">
        <v>2</v>
      </c>
      <c r="AC1181" t="n">
        <v>2</v>
      </c>
      <c r="AD1181" t="n">
        <v>1</v>
      </c>
      <c r="AE1181" t="n">
        <v>1</v>
      </c>
      <c r="AF1181" t="n">
        <v>0</v>
      </c>
      <c r="AG1181" t="n">
        <v>0</v>
      </c>
      <c r="AH1181" t="n">
        <v>0</v>
      </c>
      <c r="AI1181" t="n">
        <v>0</v>
      </c>
      <c r="AJ1181" t="n">
        <v>0</v>
      </c>
      <c r="AK1181" t="n">
        <v>0</v>
      </c>
      <c r="AL1181" t="n">
        <v>1</v>
      </c>
      <c r="AM1181" t="n">
        <v>1</v>
      </c>
      <c r="AN1181" t="n">
        <v>0</v>
      </c>
      <c r="AO1181" t="n">
        <v>0</v>
      </c>
      <c r="AP1181" t="inlineStr">
        <is>
          <t>No</t>
        </is>
      </c>
      <c r="AQ1181" t="inlineStr">
        <is>
          <t>Yes</t>
        </is>
      </c>
      <c r="AR1181">
        <f>HYPERLINK("http://catalog.hathitrust.org/Record/102025846","HathiTrust Record")</f>
        <v/>
      </c>
      <c r="AS1181">
        <f>HYPERLINK("https://creighton-primo.hosted.exlibrisgroup.com/primo-explore/search?tab=default_tab&amp;search_scope=EVERYTHING&amp;vid=01CRU&amp;lang=en_US&amp;offset=0&amp;query=any,contains,991003979119702656","Catalog Record")</f>
        <v/>
      </c>
      <c r="AT1181">
        <f>HYPERLINK("http://www.worldcat.org/oclc/50403955","WorldCat Record")</f>
        <v/>
      </c>
      <c r="AU1181" t="inlineStr">
        <is>
          <t>4235002371:eng</t>
        </is>
      </c>
      <c r="AV1181" t="inlineStr">
        <is>
          <t>50403955</t>
        </is>
      </c>
      <c r="AW1181" t="inlineStr">
        <is>
          <t>991003979119702656</t>
        </is>
      </c>
      <c r="AX1181" t="inlineStr">
        <is>
          <t>991003979119702656</t>
        </is>
      </c>
      <c r="AY1181" t="inlineStr">
        <is>
          <t>2256088640002656</t>
        </is>
      </c>
      <c r="AZ1181" t="inlineStr">
        <is>
          <t>BOOK</t>
        </is>
      </c>
      <c r="BB1181" t="inlineStr">
        <is>
          <t>9780761824121</t>
        </is>
      </c>
      <c r="BC1181" t="inlineStr">
        <is>
          <t>32285004695721</t>
        </is>
      </c>
      <c r="BD1181" t="inlineStr">
        <is>
          <t>893506229</t>
        </is>
      </c>
    </row>
    <row r="1182">
      <c r="A1182" t="inlineStr">
        <is>
          <t>No</t>
        </is>
      </c>
      <c r="B1182" t="inlineStr">
        <is>
          <t>LB2822.82 .C365 2009</t>
        </is>
      </c>
      <c r="C1182" t="inlineStr">
        <is>
          <t>0                      LB 2822820C  365         2009</t>
        </is>
      </c>
      <c r="D1182" t="inlineStr">
        <is>
          <t>Improving standards-based learning : a process guide for educational leaders / Judy F. Carr, Doug Harris.</t>
        </is>
      </c>
      <c r="F1182" t="inlineStr">
        <is>
          <t>No</t>
        </is>
      </c>
      <c r="G1182" t="inlineStr">
        <is>
          <t>1</t>
        </is>
      </c>
      <c r="H1182" t="inlineStr">
        <is>
          <t>No</t>
        </is>
      </c>
      <c r="I1182" t="inlineStr">
        <is>
          <t>No</t>
        </is>
      </c>
      <c r="J1182" t="inlineStr">
        <is>
          <t>0</t>
        </is>
      </c>
      <c r="K1182" t="inlineStr">
        <is>
          <t>Carr, Judy F.</t>
        </is>
      </c>
      <c r="L1182" t="inlineStr">
        <is>
          <t>Thousand Oaks, Calif. : Corwin, c2009.</t>
        </is>
      </c>
      <c r="M1182" t="inlineStr">
        <is>
          <t>2009</t>
        </is>
      </c>
      <c r="O1182" t="inlineStr">
        <is>
          <t>eng</t>
        </is>
      </c>
      <c r="P1182" t="inlineStr">
        <is>
          <t>cau</t>
        </is>
      </c>
      <c r="R1182" t="inlineStr">
        <is>
          <t xml:space="preserve">LB </t>
        </is>
      </c>
      <c r="S1182" t="n">
        <v>1</v>
      </c>
      <c r="T1182" t="n">
        <v>1</v>
      </c>
      <c r="U1182" t="inlineStr">
        <is>
          <t>2009-08-06</t>
        </is>
      </c>
      <c r="V1182" t="inlineStr">
        <is>
          <t>2009-08-06</t>
        </is>
      </c>
      <c r="W1182" t="inlineStr">
        <is>
          <t>2009-08-06</t>
        </is>
      </c>
      <c r="X1182" t="inlineStr">
        <is>
          <t>2009-08-06</t>
        </is>
      </c>
      <c r="Y1182" t="n">
        <v>148</v>
      </c>
      <c r="Z1182" t="n">
        <v>114</v>
      </c>
      <c r="AA1182" t="n">
        <v>134</v>
      </c>
      <c r="AB1182" t="n">
        <v>1</v>
      </c>
      <c r="AC1182" t="n">
        <v>2</v>
      </c>
      <c r="AD1182" t="n">
        <v>7</v>
      </c>
      <c r="AE1182" t="n">
        <v>9</v>
      </c>
      <c r="AF1182" t="n">
        <v>4</v>
      </c>
      <c r="AG1182" t="n">
        <v>5</v>
      </c>
      <c r="AH1182" t="n">
        <v>3</v>
      </c>
      <c r="AI1182" t="n">
        <v>4</v>
      </c>
      <c r="AJ1182" t="n">
        <v>4</v>
      </c>
      <c r="AK1182" t="n">
        <v>4</v>
      </c>
      <c r="AL1182" t="n">
        <v>0</v>
      </c>
      <c r="AM1182" t="n">
        <v>1</v>
      </c>
      <c r="AN1182" t="n">
        <v>0</v>
      </c>
      <c r="AO1182" t="n">
        <v>0</v>
      </c>
      <c r="AP1182" t="inlineStr">
        <is>
          <t>No</t>
        </is>
      </c>
      <c r="AQ1182" t="inlineStr">
        <is>
          <t>No</t>
        </is>
      </c>
      <c r="AS1182">
        <f>HYPERLINK("https://creighton-primo.hosted.exlibrisgroup.com/primo-explore/search?tab=default_tab&amp;search_scope=EVERYTHING&amp;vid=01CRU&amp;lang=en_US&amp;offset=0&amp;query=any,contains,991005329739702656","Catalog Record")</f>
        <v/>
      </c>
      <c r="AT1182">
        <f>HYPERLINK("http://www.worldcat.org/oclc/310220476","WorldCat Record")</f>
        <v/>
      </c>
      <c r="AU1182" t="inlineStr">
        <is>
          <t>1028054423:eng</t>
        </is>
      </c>
      <c r="AV1182" t="inlineStr">
        <is>
          <t>310220476</t>
        </is>
      </c>
      <c r="AW1182" t="inlineStr">
        <is>
          <t>991005329739702656</t>
        </is>
      </c>
      <c r="AX1182" t="inlineStr">
        <is>
          <t>991005329739702656</t>
        </is>
      </c>
      <c r="AY1182" t="inlineStr">
        <is>
          <t>2265378270002656</t>
        </is>
      </c>
      <c r="AZ1182" t="inlineStr">
        <is>
          <t>BOOK</t>
        </is>
      </c>
      <c r="BB1182" t="inlineStr">
        <is>
          <t>9781412965699</t>
        </is>
      </c>
      <c r="BC1182" t="inlineStr">
        <is>
          <t>32285005540918</t>
        </is>
      </c>
      <c r="BD1182" t="inlineStr">
        <is>
          <t>893507975</t>
        </is>
      </c>
    </row>
    <row r="1183">
      <c r="A1183" t="inlineStr">
        <is>
          <t>No</t>
        </is>
      </c>
      <c r="B1183" t="inlineStr">
        <is>
          <t>LB2822.82 .C374 1998</t>
        </is>
      </c>
      <c r="C1183" t="inlineStr">
        <is>
          <t>0                      LB 2822820C  374         1998</t>
        </is>
      </c>
      <c r="D1183" t="inlineStr">
        <is>
          <t>Casebook on school reform / edited by Barbara Miller and Ilene Kantrov.</t>
        </is>
      </c>
      <c r="F1183" t="inlineStr">
        <is>
          <t>No</t>
        </is>
      </c>
      <c r="G1183" t="inlineStr">
        <is>
          <t>1</t>
        </is>
      </c>
      <c r="H1183" t="inlineStr">
        <is>
          <t>No</t>
        </is>
      </c>
      <c r="I1183" t="inlineStr">
        <is>
          <t>No</t>
        </is>
      </c>
      <c r="J1183" t="inlineStr">
        <is>
          <t>0</t>
        </is>
      </c>
      <c r="L1183" t="inlineStr">
        <is>
          <t>Portsmouth, NH : Heinemann, c1998.</t>
        </is>
      </c>
      <c r="M1183" t="inlineStr">
        <is>
          <t>1998</t>
        </is>
      </c>
      <c r="O1183" t="inlineStr">
        <is>
          <t>eng</t>
        </is>
      </c>
      <c r="P1183" t="inlineStr">
        <is>
          <t>nhu</t>
        </is>
      </c>
      <c r="Q1183" t="inlineStr">
        <is>
          <t>School reform, teaching cases</t>
        </is>
      </c>
      <c r="R1183" t="inlineStr">
        <is>
          <t xml:space="preserve">LB </t>
        </is>
      </c>
      <c r="S1183" t="n">
        <v>5</v>
      </c>
      <c r="T1183" t="n">
        <v>5</v>
      </c>
      <c r="U1183" t="inlineStr">
        <is>
          <t>2008-03-27</t>
        </is>
      </c>
      <c r="V1183" t="inlineStr">
        <is>
          <t>2008-03-27</t>
        </is>
      </c>
      <c r="W1183" t="inlineStr">
        <is>
          <t>1998-07-09</t>
        </is>
      </c>
      <c r="X1183" t="inlineStr">
        <is>
          <t>1998-07-09</t>
        </is>
      </c>
      <c r="Y1183" t="n">
        <v>200</v>
      </c>
      <c r="Z1183" t="n">
        <v>182</v>
      </c>
      <c r="AA1183" t="n">
        <v>186</v>
      </c>
      <c r="AB1183" t="n">
        <v>3</v>
      </c>
      <c r="AC1183" t="n">
        <v>3</v>
      </c>
      <c r="AD1183" t="n">
        <v>11</v>
      </c>
      <c r="AE1183" t="n">
        <v>11</v>
      </c>
      <c r="AF1183" t="n">
        <v>2</v>
      </c>
      <c r="AG1183" t="n">
        <v>2</v>
      </c>
      <c r="AH1183" t="n">
        <v>2</v>
      </c>
      <c r="AI1183" t="n">
        <v>2</v>
      </c>
      <c r="AJ1183" t="n">
        <v>6</v>
      </c>
      <c r="AK1183" t="n">
        <v>6</v>
      </c>
      <c r="AL1183" t="n">
        <v>2</v>
      </c>
      <c r="AM1183" t="n">
        <v>2</v>
      </c>
      <c r="AN1183" t="n">
        <v>0</v>
      </c>
      <c r="AO1183" t="n">
        <v>0</v>
      </c>
      <c r="AP1183" t="inlineStr">
        <is>
          <t>No</t>
        </is>
      </c>
      <c r="AQ1183" t="inlineStr">
        <is>
          <t>Yes</t>
        </is>
      </c>
      <c r="AR1183">
        <f>HYPERLINK("http://catalog.hathitrust.org/Record/003956172","HathiTrust Record")</f>
        <v/>
      </c>
      <c r="AS1183">
        <f>HYPERLINK("https://creighton-primo.hosted.exlibrisgroup.com/primo-explore/search?tab=default_tab&amp;search_scope=EVERYTHING&amp;vid=01CRU&amp;lang=en_US&amp;offset=0&amp;query=any,contains,991002826609702656","Catalog Record")</f>
        <v/>
      </c>
      <c r="AT1183">
        <f>HYPERLINK("http://www.worldcat.org/oclc/37213620","WorldCat Record")</f>
        <v/>
      </c>
      <c r="AU1183" t="inlineStr">
        <is>
          <t>351275146:eng</t>
        </is>
      </c>
      <c r="AV1183" t="inlineStr">
        <is>
          <t>37213620</t>
        </is>
      </c>
      <c r="AW1183" t="inlineStr">
        <is>
          <t>991002826609702656</t>
        </is>
      </c>
      <c r="AX1183" t="inlineStr">
        <is>
          <t>991002826609702656</t>
        </is>
      </c>
      <c r="AY1183" t="inlineStr">
        <is>
          <t>2257875690002656</t>
        </is>
      </c>
      <c r="AZ1183" t="inlineStr">
        <is>
          <t>BOOK</t>
        </is>
      </c>
      <c r="BB1183" t="inlineStr">
        <is>
          <t>9780435072469</t>
        </is>
      </c>
      <c r="BC1183" t="inlineStr">
        <is>
          <t>32285003430864</t>
        </is>
      </c>
      <c r="BD1183" t="inlineStr">
        <is>
          <t>893721656</t>
        </is>
      </c>
    </row>
    <row r="1184">
      <c r="A1184" t="inlineStr">
        <is>
          <t>No</t>
        </is>
      </c>
      <c r="B1184" t="inlineStr">
        <is>
          <t>LB2822.82 .C76 2000</t>
        </is>
      </c>
      <c r="C1184" t="inlineStr">
        <is>
          <t>0                      LB 2822820C  76          2000</t>
        </is>
      </c>
      <c r="D1184" t="inlineStr">
        <is>
          <t>Creating new schools : how small schools are changing American education / Evans Clinchy, editor.</t>
        </is>
      </c>
      <c r="F1184" t="inlineStr">
        <is>
          <t>No</t>
        </is>
      </c>
      <c r="G1184" t="inlineStr">
        <is>
          <t>1</t>
        </is>
      </c>
      <c r="H1184" t="inlineStr">
        <is>
          <t>No</t>
        </is>
      </c>
      <c r="I1184" t="inlineStr">
        <is>
          <t>No</t>
        </is>
      </c>
      <c r="J1184" t="inlineStr">
        <is>
          <t>0</t>
        </is>
      </c>
      <c r="L1184" t="inlineStr">
        <is>
          <t>New York : Teachers College Press, c2000.</t>
        </is>
      </c>
      <c r="M1184" t="inlineStr">
        <is>
          <t>2000</t>
        </is>
      </c>
      <c r="O1184" t="inlineStr">
        <is>
          <t>eng</t>
        </is>
      </c>
      <c r="P1184" t="inlineStr">
        <is>
          <t>nyu</t>
        </is>
      </c>
      <c r="R1184" t="inlineStr">
        <is>
          <t xml:space="preserve">LB </t>
        </is>
      </c>
      <c r="S1184" t="n">
        <v>2</v>
      </c>
      <c r="T1184" t="n">
        <v>2</v>
      </c>
      <c r="U1184" t="inlineStr">
        <is>
          <t>2006-03-21</t>
        </is>
      </c>
      <c r="V1184" t="inlineStr">
        <is>
          <t>2006-03-21</t>
        </is>
      </c>
      <c r="W1184" t="inlineStr">
        <is>
          <t>2002-04-18</t>
        </is>
      </c>
      <c r="X1184" t="inlineStr">
        <is>
          <t>2002-04-18</t>
        </is>
      </c>
      <c r="Y1184" t="n">
        <v>645</v>
      </c>
      <c r="Z1184" t="n">
        <v>604</v>
      </c>
      <c r="AA1184" t="n">
        <v>605</v>
      </c>
      <c r="AB1184" t="n">
        <v>4</v>
      </c>
      <c r="AC1184" t="n">
        <v>4</v>
      </c>
      <c r="AD1184" t="n">
        <v>30</v>
      </c>
      <c r="AE1184" t="n">
        <v>30</v>
      </c>
      <c r="AF1184" t="n">
        <v>17</v>
      </c>
      <c r="AG1184" t="n">
        <v>17</v>
      </c>
      <c r="AH1184" t="n">
        <v>5</v>
      </c>
      <c r="AI1184" t="n">
        <v>5</v>
      </c>
      <c r="AJ1184" t="n">
        <v>12</v>
      </c>
      <c r="AK1184" t="n">
        <v>12</v>
      </c>
      <c r="AL1184" t="n">
        <v>3</v>
      </c>
      <c r="AM1184" t="n">
        <v>3</v>
      </c>
      <c r="AN1184" t="n">
        <v>0</v>
      </c>
      <c r="AO1184" t="n">
        <v>0</v>
      </c>
      <c r="AP1184" t="inlineStr">
        <is>
          <t>No</t>
        </is>
      </c>
      <c r="AQ1184" t="inlineStr">
        <is>
          <t>No</t>
        </is>
      </c>
      <c r="AS1184">
        <f>HYPERLINK("https://creighton-primo.hosted.exlibrisgroup.com/primo-explore/search?tab=default_tab&amp;search_scope=EVERYTHING&amp;vid=01CRU&amp;lang=en_US&amp;offset=0&amp;query=any,contains,991003793609702656","Catalog Record")</f>
        <v/>
      </c>
      <c r="AT1184">
        <f>HYPERLINK("http://www.worldcat.org/oclc/42649592","WorldCat Record")</f>
        <v/>
      </c>
      <c r="AU1184" t="inlineStr">
        <is>
          <t>890612424:eng</t>
        </is>
      </c>
      <c r="AV1184" t="inlineStr">
        <is>
          <t>42649592</t>
        </is>
      </c>
      <c r="AW1184" t="inlineStr">
        <is>
          <t>991003793609702656</t>
        </is>
      </c>
      <c r="AX1184" t="inlineStr">
        <is>
          <t>991003793609702656</t>
        </is>
      </c>
      <c r="AY1184" t="inlineStr">
        <is>
          <t>2263330030002656</t>
        </is>
      </c>
      <c r="AZ1184" t="inlineStr">
        <is>
          <t>BOOK</t>
        </is>
      </c>
      <c r="BB1184" t="inlineStr">
        <is>
          <t>9780807738764</t>
        </is>
      </c>
      <c r="BC1184" t="inlineStr">
        <is>
          <t>32285004481221</t>
        </is>
      </c>
      <c r="BD1184" t="inlineStr">
        <is>
          <t>893258875</t>
        </is>
      </c>
    </row>
    <row r="1185">
      <c r="A1185" t="inlineStr">
        <is>
          <t>No</t>
        </is>
      </c>
      <c r="B1185" t="inlineStr">
        <is>
          <t>LB2822.82 .D69 1999</t>
        </is>
      </c>
      <c r="C1185" t="inlineStr">
        <is>
          <t>0                      LB 2822820D  69          1999</t>
        </is>
      </c>
      <c r="D1185" t="inlineStr">
        <is>
          <t>Raising the standard : an eight-step action guide for schools and communities / Denis P. Doyle, Susan Pimentel ; [illustration, Tom Smith].</t>
        </is>
      </c>
      <c r="F1185" t="inlineStr">
        <is>
          <t>No</t>
        </is>
      </c>
      <c r="G1185" t="inlineStr">
        <is>
          <t>1</t>
        </is>
      </c>
      <c r="H1185" t="inlineStr">
        <is>
          <t>Yes</t>
        </is>
      </c>
      <c r="I1185" t="inlineStr">
        <is>
          <t>No</t>
        </is>
      </c>
      <c r="J1185" t="inlineStr">
        <is>
          <t>0</t>
        </is>
      </c>
      <c r="K1185" t="inlineStr">
        <is>
          <t>Doyle, Denis P.</t>
        </is>
      </c>
      <c r="L1185" t="inlineStr">
        <is>
          <t>Thousand Oaks, Calif. : Corwin Press, c1999.</t>
        </is>
      </c>
      <c r="M1185" t="inlineStr">
        <is>
          <t>1999</t>
        </is>
      </c>
      <c r="N1185" t="inlineStr">
        <is>
          <t>2nd. ed.</t>
        </is>
      </c>
      <c r="O1185" t="inlineStr">
        <is>
          <t>eng</t>
        </is>
      </c>
      <c r="P1185" t="inlineStr">
        <is>
          <t>cau</t>
        </is>
      </c>
      <c r="R1185" t="inlineStr">
        <is>
          <t xml:space="preserve">LB </t>
        </is>
      </c>
      <c r="S1185" t="n">
        <v>3</v>
      </c>
      <c r="T1185" t="n">
        <v>5</v>
      </c>
      <c r="U1185" t="inlineStr">
        <is>
          <t>2006-11-29</t>
        </is>
      </c>
      <c r="V1185" t="inlineStr">
        <is>
          <t>2009-08-24</t>
        </is>
      </c>
      <c r="W1185" t="inlineStr">
        <is>
          <t>1999-11-10</t>
        </is>
      </c>
      <c r="X1185" t="inlineStr">
        <is>
          <t>1999-11-10</t>
        </is>
      </c>
      <c r="Y1185" t="n">
        <v>162</v>
      </c>
      <c r="Z1185" t="n">
        <v>145</v>
      </c>
      <c r="AA1185" t="n">
        <v>248</v>
      </c>
      <c r="AB1185" t="n">
        <v>2</v>
      </c>
      <c r="AC1185" t="n">
        <v>3</v>
      </c>
      <c r="AD1185" t="n">
        <v>8</v>
      </c>
      <c r="AE1185" t="n">
        <v>14</v>
      </c>
      <c r="AF1185" t="n">
        <v>2</v>
      </c>
      <c r="AG1185" t="n">
        <v>6</v>
      </c>
      <c r="AH1185" t="n">
        <v>0</v>
      </c>
      <c r="AI1185" t="n">
        <v>1</v>
      </c>
      <c r="AJ1185" t="n">
        <v>6</v>
      </c>
      <c r="AK1185" t="n">
        <v>11</v>
      </c>
      <c r="AL1185" t="n">
        <v>1</v>
      </c>
      <c r="AM1185" t="n">
        <v>1</v>
      </c>
      <c r="AN1185" t="n">
        <v>0</v>
      </c>
      <c r="AO1185" t="n">
        <v>0</v>
      </c>
      <c r="AP1185" t="inlineStr">
        <is>
          <t>No</t>
        </is>
      </c>
      <c r="AQ1185" t="inlineStr">
        <is>
          <t>No</t>
        </is>
      </c>
      <c r="AS1185">
        <f>HYPERLINK("https://creighton-primo.hosted.exlibrisgroup.com/primo-explore/search?tab=default_tab&amp;search_scope=EVERYTHING&amp;vid=01CRU&amp;lang=en_US&amp;offset=0&amp;query=any,contains,991003009179702656","Catalog Record")</f>
        <v/>
      </c>
      <c r="AT1185">
        <f>HYPERLINK("http://www.worldcat.org/oclc/40830048","WorldCat Record")</f>
        <v/>
      </c>
      <c r="AU1185" t="inlineStr">
        <is>
          <t>836914937:eng</t>
        </is>
      </c>
      <c r="AV1185" t="inlineStr">
        <is>
          <t>40830048</t>
        </is>
      </c>
      <c r="AW1185" t="inlineStr">
        <is>
          <t>991003009179702656</t>
        </is>
      </c>
      <c r="AX1185" t="inlineStr">
        <is>
          <t>991003009179702656</t>
        </is>
      </c>
      <c r="AY1185" t="inlineStr">
        <is>
          <t>2256110640002656</t>
        </is>
      </c>
      <c r="AZ1185" t="inlineStr">
        <is>
          <t>BOOK</t>
        </is>
      </c>
      <c r="BB1185" t="inlineStr">
        <is>
          <t>9780803968684</t>
        </is>
      </c>
      <c r="BC1185" t="inlineStr">
        <is>
          <t>32285003563847</t>
        </is>
      </c>
      <c r="BD1185" t="inlineStr">
        <is>
          <t>893317547</t>
        </is>
      </c>
    </row>
    <row r="1186">
      <c r="A1186" t="inlineStr">
        <is>
          <t>No</t>
        </is>
      </c>
      <c r="B1186" t="inlineStr">
        <is>
          <t>LB2822.82 .F85 2006</t>
        </is>
      </c>
      <c r="C1186" t="inlineStr">
        <is>
          <t>0                      LB 2822820F  85          2006</t>
        </is>
      </c>
      <c r="D1186" t="inlineStr">
        <is>
          <t>Breakthrough / Michael Fullan, Peter Hill, Carmel Crévola ; foreword by Richard F. Elmore.</t>
        </is>
      </c>
      <c r="F1186" t="inlineStr">
        <is>
          <t>No</t>
        </is>
      </c>
      <c r="G1186" t="inlineStr">
        <is>
          <t>1</t>
        </is>
      </c>
      <c r="H1186" t="inlineStr">
        <is>
          <t>No</t>
        </is>
      </c>
      <c r="I1186" t="inlineStr">
        <is>
          <t>No</t>
        </is>
      </c>
      <c r="J1186" t="inlineStr">
        <is>
          <t>0</t>
        </is>
      </c>
      <c r="K1186" t="inlineStr">
        <is>
          <t>Fullan, Michael.</t>
        </is>
      </c>
      <c r="L1186" t="inlineStr">
        <is>
          <t>Thousand Oaks, Calif. : Corwin Press ; [Melbourne, Vic] : NSDC ; [Toronto] : Ontario Principals' Council, c2006.</t>
        </is>
      </c>
      <c r="M1186" t="inlineStr">
        <is>
          <t>2006</t>
        </is>
      </c>
      <c r="O1186" t="inlineStr">
        <is>
          <t>eng</t>
        </is>
      </c>
      <c r="P1186" t="inlineStr">
        <is>
          <t>cau</t>
        </is>
      </c>
      <c r="R1186" t="inlineStr">
        <is>
          <t xml:space="preserve">LB </t>
        </is>
      </c>
      <c r="S1186" t="n">
        <v>3</v>
      </c>
      <c r="T1186" t="n">
        <v>3</v>
      </c>
      <c r="U1186" t="inlineStr">
        <is>
          <t>2008-04-02</t>
        </is>
      </c>
      <c r="V1186" t="inlineStr">
        <is>
          <t>2008-04-02</t>
        </is>
      </c>
      <c r="W1186" t="inlineStr">
        <is>
          <t>2006-06-12</t>
        </is>
      </c>
      <c r="X1186" t="inlineStr">
        <is>
          <t>2006-06-12</t>
        </is>
      </c>
      <c r="Y1186" t="n">
        <v>394</v>
      </c>
      <c r="Z1186" t="n">
        <v>290</v>
      </c>
      <c r="AA1186" t="n">
        <v>312</v>
      </c>
      <c r="AB1186" t="n">
        <v>5</v>
      </c>
      <c r="AC1186" t="n">
        <v>5</v>
      </c>
      <c r="AD1186" t="n">
        <v>17</v>
      </c>
      <c r="AE1186" t="n">
        <v>18</v>
      </c>
      <c r="AF1186" t="n">
        <v>6</v>
      </c>
      <c r="AG1186" t="n">
        <v>7</v>
      </c>
      <c r="AH1186" t="n">
        <v>1</v>
      </c>
      <c r="AI1186" t="n">
        <v>2</v>
      </c>
      <c r="AJ1186" t="n">
        <v>9</v>
      </c>
      <c r="AK1186" t="n">
        <v>9</v>
      </c>
      <c r="AL1186" t="n">
        <v>4</v>
      </c>
      <c r="AM1186" t="n">
        <v>4</v>
      </c>
      <c r="AN1186" t="n">
        <v>0</v>
      </c>
      <c r="AO1186" t="n">
        <v>0</v>
      </c>
      <c r="AP1186" t="inlineStr">
        <is>
          <t>No</t>
        </is>
      </c>
      <c r="AQ1186" t="inlineStr">
        <is>
          <t>No</t>
        </is>
      </c>
      <c r="AS1186">
        <f>HYPERLINK("https://creighton-primo.hosted.exlibrisgroup.com/primo-explore/search?tab=default_tab&amp;search_scope=EVERYTHING&amp;vid=01CRU&amp;lang=en_US&amp;offset=0&amp;query=any,contains,991004830259702656","Catalog Record")</f>
        <v/>
      </c>
      <c r="AT1186">
        <f>HYPERLINK("http://www.worldcat.org/oclc/63245262","WorldCat Record")</f>
        <v/>
      </c>
      <c r="AU1186" t="inlineStr">
        <is>
          <t>47423763:eng</t>
        </is>
      </c>
      <c r="AV1186" t="inlineStr">
        <is>
          <t>63245262</t>
        </is>
      </c>
      <c r="AW1186" t="inlineStr">
        <is>
          <t>991004830259702656</t>
        </is>
      </c>
      <c r="AX1186" t="inlineStr">
        <is>
          <t>991004830259702656</t>
        </is>
      </c>
      <c r="AY1186" t="inlineStr">
        <is>
          <t>2271115410002656</t>
        </is>
      </c>
      <c r="AZ1186" t="inlineStr">
        <is>
          <t>BOOK</t>
        </is>
      </c>
      <c r="BB1186" t="inlineStr">
        <is>
          <t>9781412926416</t>
        </is>
      </c>
      <c r="BC1186" t="inlineStr">
        <is>
          <t>32285005190839</t>
        </is>
      </c>
      <c r="BD1186" t="inlineStr">
        <is>
          <t>893876622</t>
        </is>
      </c>
    </row>
    <row r="1187">
      <c r="A1187" t="inlineStr">
        <is>
          <t>No</t>
        </is>
      </c>
      <c r="B1187" t="inlineStr">
        <is>
          <t>LB2822.84.G7 J69 1999</t>
        </is>
      </c>
      <c r="C1187" t="inlineStr">
        <is>
          <t>0                      LB 2822840G  7                  J  69          1999</t>
        </is>
      </c>
      <c r="D1187" t="inlineStr">
        <is>
          <t>The new structure of school improvement : inquiring schools and achieving students / Bruce Joyce, Emily Calhoun, and David Hopkins.</t>
        </is>
      </c>
      <c r="F1187" t="inlineStr">
        <is>
          <t>No</t>
        </is>
      </c>
      <c r="G1187" t="inlineStr">
        <is>
          <t>1</t>
        </is>
      </c>
      <c r="H1187" t="inlineStr">
        <is>
          <t>No</t>
        </is>
      </c>
      <c r="I1187" t="inlineStr">
        <is>
          <t>No</t>
        </is>
      </c>
      <c r="J1187" t="inlineStr">
        <is>
          <t>0</t>
        </is>
      </c>
      <c r="K1187" t="inlineStr">
        <is>
          <t>Joyce, Bruce R.</t>
        </is>
      </c>
      <c r="L1187" t="inlineStr">
        <is>
          <t>Buckingham [England] ; Philadelphia : Open University Press, 1999.</t>
        </is>
      </c>
      <c r="M1187" t="inlineStr">
        <is>
          <t>1999</t>
        </is>
      </c>
      <c r="O1187" t="inlineStr">
        <is>
          <t>eng</t>
        </is>
      </c>
      <c r="P1187" t="inlineStr">
        <is>
          <t>enk</t>
        </is>
      </c>
      <c r="R1187" t="inlineStr">
        <is>
          <t xml:space="preserve">LB </t>
        </is>
      </c>
      <c r="S1187" t="n">
        <v>2</v>
      </c>
      <c r="T1187" t="n">
        <v>2</v>
      </c>
      <c r="U1187" t="inlineStr">
        <is>
          <t>2009-10-28</t>
        </is>
      </c>
      <c r="V1187" t="inlineStr">
        <is>
          <t>2009-10-28</t>
        </is>
      </c>
      <c r="W1187" t="inlineStr">
        <is>
          <t>1999-11-11</t>
        </is>
      </c>
      <c r="X1187" t="inlineStr">
        <is>
          <t>1999-11-11</t>
        </is>
      </c>
      <c r="Y1187" t="n">
        <v>265</v>
      </c>
      <c r="Z1187" t="n">
        <v>144</v>
      </c>
      <c r="AA1187" t="n">
        <v>146</v>
      </c>
      <c r="AB1187" t="n">
        <v>1</v>
      </c>
      <c r="AC1187" t="n">
        <v>1</v>
      </c>
      <c r="AD1187" t="n">
        <v>3</v>
      </c>
      <c r="AE1187" t="n">
        <v>3</v>
      </c>
      <c r="AF1187" t="n">
        <v>0</v>
      </c>
      <c r="AG1187" t="n">
        <v>0</v>
      </c>
      <c r="AH1187" t="n">
        <v>1</v>
      </c>
      <c r="AI1187" t="n">
        <v>1</v>
      </c>
      <c r="AJ1187" t="n">
        <v>3</v>
      </c>
      <c r="AK1187" t="n">
        <v>3</v>
      </c>
      <c r="AL1187" t="n">
        <v>0</v>
      </c>
      <c r="AM1187" t="n">
        <v>0</v>
      </c>
      <c r="AN1187" t="n">
        <v>0</v>
      </c>
      <c r="AO1187" t="n">
        <v>0</v>
      </c>
      <c r="AP1187" t="inlineStr">
        <is>
          <t>No</t>
        </is>
      </c>
      <c r="AQ1187" t="inlineStr">
        <is>
          <t>No</t>
        </is>
      </c>
      <c r="AS1187">
        <f>HYPERLINK("https://creighton-primo.hosted.exlibrisgroup.com/primo-explore/search?tab=default_tab&amp;search_scope=EVERYTHING&amp;vid=01CRU&amp;lang=en_US&amp;offset=0&amp;query=any,contains,991002997699702656","Catalog Record")</f>
        <v/>
      </c>
      <c r="AT1187">
        <f>HYPERLINK("http://www.worldcat.org/oclc/40545456","WorldCat Record")</f>
        <v/>
      </c>
      <c r="AU1187" t="inlineStr">
        <is>
          <t>20339350:eng</t>
        </is>
      </c>
      <c r="AV1187" t="inlineStr">
        <is>
          <t>40545456</t>
        </is>
      </c>
      <c r="AW1187" t="inlineStr">
        <is>
          <t>991002997699702656</t>
        </is>
      </c>
      <c r="AX1187" t="inlineStr">
        <is>
          <t>991002997699702656</t>
        </is>
      </c>
      <c r="AY1187" t="inlineStr">
        <is>
          <t>2265611890002656</t>
        </is>
      </c>
      <c r="AZ1187" t="inlineStr">
        <is>
          <t>BOOK</t>
        </is>
      </c>
      <c r="BB1187" t="inlineStr">
        <is>
          <t>9780335202942</t>
        </is>
      </c>
      <c r="BC1187" t="inlineStr">
        <is>
          <t>32285003620811</t>
        </is>
      </c>
      <c r="BD1187" t="inlineStr">
        <is>
          <t>893880707</t>
        </is>
      </c>
    </row>
    <row r="1188">
      <c r="A1188" t="inlineStr">
        <is>
          <t>No</t>
        </is>
      </c>
      <c r="B1188" t="inlineStr">
        <is>
          <t>LB2822.84.N45 F58 2000</t>
        </is>
      </c>
      <c r="C1188" t="inlineStr">
        <is>
          <t>0                      LB 2822840N  45                 F  58          2000</t>
        </is>
      </c>
      <c r="D1188" t="inlineStr">
        <is>
          <t>When schools compete : a cautionary tale / Edward B. Fiske and Helen F. Ladd.</t>
        </is>
      </c>
      <c r="F1188" t="inlineStr">
        <is>
          <t>No</t>
        </is>
      </c>
      <c r="G1188" t="inlineStr">
        <is>
          <t>1</t>
        </is>
      </c>
      <c r="H1188" t="inlineStr">
        <is>
          <t>No</t>
        </is>
      </c>
      <c r="I1188" t="inlineStr">
        <is>
          <t>No</t>
        </is>
      </c>
      <c r="J1188" t="inlineStr">
        <is>
          <t>0</t>
        </is>
      </c>
      <c r="K1188" t="inlineStr">
        <is>
          <t>Fiske, Edward B.</t>
        </is>
      </c>
      <c r="L1188" t="inlineStr">
        <is>
          <t>Washington, D.C. : Brookings Institution Press, c2000.</t>
        </is>
      </c>
      <c r="M1188" t="inlineStr">
        <is>
          <t>2000</t>
        </is>
      </c>
      <c r="O1188" t="inlineStr">
        <is>
          <t>eng</t>
        </is>
      </c>
      <c r="P1188" t="inlineStr">
        <is>
          <t>dcu</t>
        </is>
      </c>
      <c r="R1188" t="inlineStr">
        <is>
          <t xml:space="preserve">LB </t>
        </is>
      </c>
      <c r="S1188" t="n">
        <v>1</v>
      </c>
      <c r="T1188" t="n">
        <v>1</v>
      </c>
      <c r="U1188" t="inlineStr">
        <is>
          <t>2000-07-13</t>
        </is>
      </c>
      <c r="V1188" t="inlineStr">
        <is>
          <t>2000-07-13</t>
        </is>
      </c>
      <c r="W1188" t="inlineStr">
        <is>
          <t>2000-06-29</t>
        </is>
      </c>
      <c r="X1188" t="inlineStr">
        <is>
          <t>2000-06-29</t>
        </is>
      </c>
      <c r="Y1188" t="n">
        <v>569</v>
      </c>
      <c r="Z1188" t="n">
        <v>477</v>
      </c>
      <c r="AA1188" t="n">
        <v>1578</v>
      </c>
      <c r="AB1188" t="n">
        <v>3</v>
      </c>
      <c r="AC1188" t="n">
        <v>44</v>
      </c>
      <c r="AD1188" t="n">
        <v>23</v>
      </c>
      <c r="AE1188" t="n">
        <v>47</v>
      </c>
      <c r="AF1188" t="n">
        <v>11</v>
      </c>
      <c r="AG1188" t="n">
        <v>17</v>
      </c>
      <c r="AH1188" t="n">
        <v>5</v>
      </c>
      <c r="AI1188" t="n">
        <v>7</v>
      </c>
      <c r="AJ1188" t="n">
        <v>11</v>
      </c>
      <c r="AK1188" t="n">
        <v>16</v>
      </c>
      <c r="AL1188" t="n">
        <v>2</v>
      </c>
      <c r="AM1188" t="n">
        <v>13</v>
      </c>
      <c r="AN1188" t="n">
        <v>1</v>
      </c>
      <c r="AO1188" t="n">
        <v>2</v>
      </c>
      <c r="AP1188" t="inlineStr">
        <is>
          <t>No</t>
        </is>
      </c>
      <c r="AQ1188" t="inlineStr">
        <is>
          <t>No</t>
        </is>
      </c>
      <c r="AS1188">
        <f>HYPERLINK("https://creighton-primo.hosted.exlibrisgroup.com/primo-explore/search?tab=default_tab&amp;search_scope=EVERYTHING&amp;vid=01CRU&amp;lang=en_US&amp;offset=0&amp;query=any,contains,991003197279702656","Catalog Record")</f>
        <v/>
      </c>
      <c r="AT1188">
        <f>HYPERLINK("http://www.worldcat.org/oclc/42961038","WorldCat Record")</f>
        <v/>
      </c>
      <c r="AU1188" t="inlineStr">
        <is>
          <t>793898403:eng</t>
        </is>
      </c>
      <c r="AV1188" t="inlineStr">
        <is>
          <t>42961038</t>
        </is>
      </c>
      <c r="AW1188" t="inlineStr">
        <is>
          <t>991003197279702656</t>
        </is>
      </c>
      <c r="AX1188" t="inlineStr">
        <is>
          <t>991003197279702656</t>
        </is>
      </c>
      <c r="AY1188" t="inlineStr">
        <is>
          <t>2263858210002656</t>
        </is>
      </c>
      <c r="AZ1188" t="inlineStr">
        <is>
          <t>BOOK</t>
        </is>
      </c>
      <c r="BB1188" t="inlineStr">
        <is>
          <t>9780815728351</t>
        </is>
      </c>
      <c r="BC1188" t="inlineStr">
        <is>
          <t>32285003713400</t>
        </is>
      </c>
      <c r="BD1188" t="inlineStr">
        <is>
          <t>893330055</t>
        </is>
      </c>
    </row>
    <row r="1189">
      <c r="A1189" t="inlineStr">
        <is>
          <t>No</t>
        </is>
      </c>
      <c r="B1189" t="inlineStr">
        <is>
          <t>LB2823 .B47 2009</t>
        </is>
      </c>
      <c r="C1189" t="inlineStr">
        <is>
          <t>0                      LB 2823000B  47          2009</t>
        </is>
      </c>
      <c r="D1189" t="inlineStr">
        <is>
          <t>From questions to actions : using questionnaire data for continuous school improvement / by Victoria L. Bernhardt and Bradley J. Geise.</t>
        </is>
      </c>
      <c r="F1189" t="inlineStr">
        <is>
          <t>No</t>
        </is>
      </c>
      <c r="G1189" t="inlineStr">
        <is>
          <t>1</t>
        </is>
      </c>
      <c r="H1189" t="inlineStr">
        <is>
          <t>No</t>
        </is>
      </c>
      <c r="I1189" t="inlineStr">
        <is>
          <t>No</t>
        </is>
      </c>
      <c r="J1189" t="inlineStr">
        <is>
          <t>0</t>
        </is>
      </c>
      <c r="K1189" t="inlineStr">
        <is>
          <t>Bernhardt, Victoria L., 1952-</t>
        </is>
      </c>
      <c r="L1189" t="inlineStr">
        <is>
          <t>Larchmont, NY : Eye On Education, c2009.</t>
        </is>
      </c>
      <c r="M1189" t="inlineStr">
        <is>
          <t>2009</t>
        </is>
      </c>
      <c r="O1189" t="inlineStr">
        <is>
          <t>eng</t>
        </is>
      </c>
      <c r="P1189" t="inlineStr">
        <is>
          <t>nyu</t>
        </is>
      </c>
      <c r="R1189" t="inlineStr">
        <is>
          <t xml:space="preserve">LB </t>
        </is>
      </c>
      <c r="S1189" t="n">
        <v>1</v>
      </c>
      <c r="T1189" t="n">
        <v>1</v>
      </c>
      <c r="U1189" t="inlineStr">
        <is>
          <t>2009-09-16</t>
        </is>
      </c>
      <c r="V1189" t="inlineStr">
        <is>
          <t>2009-09-16</t>
        </is>
      </c>
      <c r="W1189" t="inlineStr">
        <is>
          <t>2009-09-16</t>
        </is>
      </c>
      <c r="X1189" t="inlineStr">
        <is>
          <t>2009-09-16</t>
        </is>
      </c>
      <c r="Y1189" t="n">
        <v>63</v>
      </c>
      <c r="Z1189" t="n">
        <v>54</v>
      </c>
      <c r="AA1189" t="n">
        <v>75</v>
      </c>
      <c r="AB1189" t="n">
        <v>1</v>
      </c>
      <c r="AC1189" t="n">
        <v>1</v>
      </c>
      <c r="AD1189" t="n">
        <v>3</v>
      </c>
      <c r="AE1189" t="n">
        <v>3</v>
      </c>
      <c r="AF1189" t="n">
        <v>2</v>
      </c>
      <c r="AG1189" t="n">
        <v>2</v>
      </c>
      <c r="AH1189" t="n">
        <v>1</v>
      </c>
      <c r="AI1189" t="n">
        <v>1</v>
      </c>
      <c r="AJ1189" t="n">
        <v>2</v>
      </c>
      <c r="AK1189" t="n">
        <v>2</v>
      </c>
      <c r="AL1189" t="n">
        <v>0</v>
      </c>
      <c r="AM1189" t="n">
        <v>0</v>
      </c>
      <c r="AN1189" t="n">
        <v>0</v>
      </c>
      <c r="AO1189" t="n">
        <v>0</v>
      </c>
      <c r="AP1189" t="inlineStr">
        <is>
          <t>No</t>
        </is>
      </c>
      <c r="AQ1189" t="inlineStr">
        <is>
          <t>No</t>
        </is>
      </c>
      <c r="AS1189">
        <f>HYPERLINK("https://creighton-primo.hosted.exlibrisgroup.com/primo-explore/search?tab=default_tab&amp;search_scope=EVERYTHING&amp;vid=01CRU&amp;lang=en_US&amp;offset=0&amp;query=any,contains,991005332869702656","Catalog Record")</f>
        <v/>
      </c>
      <c r="AT1189">
        <f>HYPERLINK("http://www.worldcat.org/oclc/317623111","WorldCat Record")</f>
        <v/>
      </c>
      <c r="AU1189" t="inlineStr">
        <is>
          <t>194999292:eng</t>
        </is>
      </c>
      <c r="AV1189" t="inlineStr">
        <is>
          <t>317623111</t>
        </is>
      </c>
      <c r="AW1189" t="inlineStr">
        <is>
          <t>991005332869702656</t>
        </is>
      </c>
      <c r="AX1189" t="inlineStr">
        <is>
          <t>991005332869702656</t>
        </is>
      </c>
      <c r="AY1189" t="inlineStr">
        <is>
          <t>2255560420002656</t>
        </is>
      </c>
      <c r="AZ1189" t="inlineStr">
        <is>
          <t>BOOK</t>
        </is>
      </c>
      <c r="BB1189" t="inlineStr">
        <is>
          <t>9781596671225</t>
        </is>
      </c>
      <c r="BC1189" t="inlineStr">
        <is>
          <t>32285005544340</t>
        </is>
      </c>
      <c r="BD1189" t="inlineStr">
        <is>
          <t>893795991</t>
        </is>
      </c>
    </row>
    <row r="1190">
      <c r="A1190" t="inlineStr">
        <is>
          <t>No</t>
        </is>
      </c>
      <c r="B1190" t="inlineStr">
        <is>
          <t>LB2825 .A63 1995</t>
        </is>
      </c>
      <c r="C1190" t="inlineStr">
        <is>
          <t>0                      LB 2825000A  63          1995</t>
        </is>
      </c>
      <c r="D1190" t="inlineStr">
        <is>
          <t>Public school finance / Kern Alexander, Richard G. Salmon.</t>
        </is>
      </c>
      <c r="F1190" t="inlineStr">
        <is>
          <t>No</t>
        </is>
      </c>
      <c r="G1190" t="inlineStr">
        <is>
          <t>1</t>
        </is>
      </c>
      <c r="H1190" t="inlineStr">
        <is>
          <t>No</t>
        </is>
      </c>
      <c r="I1190" t="inlineStr">
        <is>
          <t>No</t>
        </is>
      </c>
      <c r="J1190" t="inlineStr">
        <is>
          <t>0</t>
        </is>
      </c>
      <c r="K1190" t="inlineStr">
        <is>
          <t>Alexander, Kern.</t>
        </is>
      </c>
      <c r="L1190" t="inlineStr">
        <is>
          <t>Boston : Allyn and Bacon, c1995.</t>
        </is>
      </c>
      <c r="M1190" t="inlineStr">
        <is>
          <t>1995</t>
        </is>
      </c>
      <c r="O1190" t="inlineStr">
        <is>
          <t>eng</t>
        </is>
      </c>
      <c r="P1190" t="inlineStr">
        <is>
          <t>mau</t>
        </is>
      </c>
      <c r="R1190" t="inlineStr">
        <is>
          <t xml:space="preserve">LB </t>
        </is>
      </c>
      <c r="S1190" t="n">
        <v>8</v>
      </c>
      <c r="T1190" t="n">
        <v>8</v>
      </c>
      <c r="U1190" t="inlineStr">
        <is>
          <t>2006-03-15</t>
        </is>
      </c>
      <c r="V1190" t="inlineStr">
        <is>
          <t>2006-03-15</t>
        </is>
      </c>
      <c r="W1190" t="inlineStr">
        <is>
          <t>1997-02-26</t>
        </is>
      </c>
      <c r="X1190" t="inlineStr">
        <is>
          <t>1997-02-26</t>
        </is>
      </c>
      <c r="Y1190" t="n">
        <v>209</v>
      </c>
      <c r="Z1190" t="n">
        <v>185</v>
      </c>
      <c r="AA1190" t="n">
        <v>187</v>
      </c>
      <c r="AB1190" t="n">
        <v>3</v>
      </c>
      <c r="AC1190" t="n">
        <v>3</v>
      </c>
      <c r="AD1190" t="n">
        <v>8</v>
      </c>
      <c r="AE1190" t="n">
        <v>8</v>
      </c>
      <c r="AF1190" t="n">
        <v>2</v>
      </c>
      <c r="AG1190" t="n">
        <v>2</v>
      </c>
      <c r="AH1190" t="n">
        <v>2</v>
      </c>
      <c r="AI1190" t="n">
        <v>2</v>
      </c>
      <c r="AJ1190" t="n">
        <v>4</v>
      </c>
      <c r="AK1190" t="n">
        <v>4</v>
      </c>
      <c r="AL1190" t="n">
        <v>2</v>
      </c>
      <c r="AM1190" t="n">
        <v>2</v>
      </c>
      <c r="AN1190" t="n">
        <v>0</v>
      </c>
      <c r="AO1190" t="n">
        <v>0</v>
      </c>
      <c r="AP1190" t="inlineStr">
        <is>
          <t>No</t>
        </is>
      </c>
      <c r="AQ1190" t="inlineStr">
        <is>
          <t>Yes</t>
        </is>
      </c>
      <c r="AR1190">
        <f>HYPERLINK("http://catalog.hathitrust.org/Record/002954624","HathiTrust Record")</f>
        <v/>
      </c>
      <c r="AS1190">
        <f>HYPERLINK("https://creighton-primo.hosted.exlibrisgroup.com/primo-explore/search?tab=default_tab&amp;search_scope=EVERYTHING&amp;vid=01CRU&amp;lang=en_US&amp;offset=0&amp;query=any,contains,991002392109702656","Catalog Record")</f>
        <v/>
      </c>
      <c r="AT1190">
        <f>HYPERLINK("http://www.worldcat.org/oclc/31075015","WorldCat Record")</f>
        <v/>
      </c>
      <c r="AU1190" t="inlineStr">
        <is>
          <t>32975727:eng</t>
        </is>
      </c>
      <c r="AV1190" t="inlineStr">
        <is>
          <t>31075015</t>
        </is>
      </c>
      <c r="AW1190" t="inlineStr">
        <is>
          <t>991002392109702656</t>
        </is>
      </c>
      <c r="AX1190" t="inlineStr">
        <is>
          <t>991002392109702656</t>
        </is>
      </c>
      <c r="AY1190" t="inlineStr">
        <is>
          <t>2269278660002656</t>
        </is>
      </c>
      <c r="AZ1190" t="inlineStr">
        <is>
          <t>BOOK</t>
        </is>
      </c>
      <c r="BB1190" t="inlineStr">
        <is>
          <t>9780205166312</t>
        </is>
      </c>
      <c r="BC1190" t="inlineStr">
        <is>
          <t>32285002433745</t>
        </is>
      </c>
      <c r="BD1190" t="inlineStr">
        <is>
          <t>893529917</t>
        </is>
      </c>
    </row>
    <row r="1191">
      <c r="A1191" t="inlineStr">
        <is>
          <t>No</t>
        </is>
      </c>
      <c r="B1191" t="inlineStr">
        <is>
          <t>LB2825 .B63 2002</t>
        </is>
      </c>
      <c r="C1191" t="inlineStr">
        <is>
          <t>0                      LB 2825000B  63          2002</t>
        </is>
      </c>
      <c r="D1191" t="inlineStr">
        <is>
          <t>School bond success : a strategy for America's schools / Carleton R. Holt ; with contributions from Floyd Boschee, Patricia M. Peterson, and Roland M. Smith ; foreword by Paul D. Houston ; afterword by Tom Daschle.</t>
        </is>
      </c>
      <c r="F1191" t="inlineStr">
        <is>
          <t>No</t>
        </is>
      </c>
      <c r="G1191" t="inlineStr">
        <is>
          <t>1</t>
        </is>
      </c>
      <c r="H1191" t="inlineStr">
        <is>
          <t>No</t>
        </is>
      </c>
      <c r="I1191" t="inlineStr">
        <is>
          <t>No</t>
        </is>
      </c>
      <c r="J1191" t="inlineStr">
        <is>
          <t>0</t>
        </is>
      </c>
      <c r="K1191" t="inlineStr">
        <is>
          <t>Holt, Carleton R.</t>
        </is>
      </c>
      <c r="L1191" t="inlineStr">
        <is>
          <t>Lanham, Md. : Scarecrow Press, 2002.</t>
        </is>
      </c>
      <c r="M1191" t="inlineStr">
        <is>
          <t>2002</t>
        </is>
      </c>
      <c r="N1191" t="inlineStr">
        <is>
          <t>2nd ed.</t>
        </is>
      </c>
      <c r="O1191" t="inlineStr">
        <is>
          <t>eng</t>
        </is>
      </c>
      <c r="P1191" t="inlineStr">
        <is>
          <t>mdu</t>
        </is>
      </c>
      <c r="R1191" t="inlineStr">
        <is>
          <t xml:space="preserve">LB </t>
        </is>
      </c>
      <c r="S1191" t="n">
        <v>2</v>
      </c>
      <c r="T1191" t="n">
        <v>2</v>
      </c>
      <c r="U1191" t="inlineStr">
        <is>
          <t>2006-03-15</t>
        </is>
      </c>
      <c r="V1191" t="inlineStr">
        <is>
          <t>2006-03-15</t>
        </is>
      </c>
      <c r="W1191" t="inlineStr">
        <is>
          <t>2003-02-06</t>
        </is>
      </c>
      <c r="X1191" t="inlineStr">
        <is>
          <t>2003-02-06</t>
        </is>
      </c>
      <c r="Y1191" t="n">
        <v>126</v>
      </c>
      <c r="Z1191" t="n">
        <v>120</v>
      </c>
      <c r="AA1191" t="n">
        <v>256</v>
      </c>
      <c r="AB1191" t="n">
        <v>2</v>
      </c>
      <c r="AC1191" t="n">
        <v>3</v>
      </c>
      <c r="AD1191" t="n">
        <v>6</v>
      </c>
      <c r="AE1191" t="n">
        <v>12</v>
      </c>
      <c r="AF1191" t="n">
        <v>1</v>
      </c>
      <c r="AG1191" t="n">
        <v>2</v>
      </c>
      <c r="AH1191" t="n">
        <v>2</v>
      </c>
      <c r="AI1191" t="n">
        <v>4</v>
      </c>
      <c r="AJ1191" t="n">
        <v>4</v>
      </c>
      <c r="AK1191" t="n">
        <v>8</v>
      </c>
      <c r="AL1191" t="n">
        <v>1</v>
      </c>
      <c r="AM1191" t="n">
        <v>2</v>
      </c>
      <c r="AN1191" t="n">
        <v>0</v>
      </c>
      <c r="AO1191" t="n">
        <v>0</v>
      </c>
      <c r="AP1191" t="inlineStr">
        <is>
          <t>No</t>
        </is>
      </c>
      <c r="AQ1191" t="inlineStr">
        <is>
          <t>Yes</t>
        </is>
      </c>
      <c r="AR1191">
        <f>HYPERLINK("http://catalog.hathitrust.org/Record/102025670","HathiTrust Record")</f>
        <v/>
      </c>
      <c r="AS1191">
        <f>HYPERLINK("https://creighton-primo.hosted.exlibrisgroup.com/primo-explore/search?tab=default_tab&amp;search_scope=EVERYTHING&amp;vid=01CRU&amp;lang=en_US&amp;offset=0&amp;query=any,contains,991003977589702656","Catalog Record")</f>
        <v/>
      </c>
      <c r="AT1191">
        <f>HYPERLINK("http://www.worldcat.org/oclc/49874958","WorldCat Record")</f>
        <v/>
      </c>
      <c r="AU1191" t="inlineStr">
        <is>
          <t>800829485:eng</t>
        </is>
      </c>
      <c r="AV1191" t="inlineStr">
        <is>
          <t>49874958</t>
        </is>
      </c>
      <c r="AW1191" t="inlineStr">
        <is>
          <t>991003977589702656</t>
        </is>
      </c>
      <c r="AX1191" t="inlineStr">
        <is>
          <t>991003977589702656</t>
        </is>
      </c>
      <c r="AY1191" t="inlineStr">
        <is>
          <t>2267196380002656</t>
        </is>
      </c>
      <c r="AZ1191" t="inlineStr">
        <is>
          <t>BOOK</t>
        </is>
      </c>
      <c r="BB1191" t="inlineStr">
        <is>
          <t>9780810844056</t>
        </is>
      </c>
      <c r="BC1191" t="inlineStr">
        <is>
          <t>32285004697719</t>
        </is>
      </c>
      <c r="BD1191" t="inlineStr">
        <is>
          <t>893611770</t>
        </is>
      </c>
    </row>
    <row r="1192">
      <c r="A1192" t="inlineStr">
        <is>
          <t>No</t>
        </is>
      </c>
      <c r="B1192" t="inlineStr">
        <is>
          <t>LB2825 .F524 1994</t>
        </is>
      </c>
      <c r="C1192" t="inlineStr">
        <is>
          <t>0                      LB 2825000F  524         1994</t>
        </is>
      </c>
      <c r="D1192" t="inlineStr">
        <is>
          <t>Fiscal equalization for state and local government finance / edited by John E. Anderson.</t>
        </is>
      </c>
      <c r="F1192" t="inlineStr">
        <is>
          <t>No</t>
        </is>
      </c>
      <c r="G1192" t="inlineStr">
        <is>
          <t>1</t>
        </is>
      </c>
      <c r="H1192" t="inlineStr">
        <is>
          <t>No</t>
        </is>
      </c>
      <c r="I1192" t="inlineStr">
        <is>
          <t>No</t>
        </is>
      </c>
      <c r="J1192" t="inlineStr">
        <is>
          <t>0</t>
        </is>
      </c>
      <c r="L1192" t="inlineStr">
        <is>
          <t>Westport, Conn. : Praeger, 1994.</t>
        </is>
      </c>
      <c r="M1192" t="inlineStr">
        <is>
          <t>1994</t>
        </is>
      </c>
      <c r="O1192" t="inlineStr">
        <is>
          <t>eng</t>
        </is>
      </c>
      <c r="P1192" t="inlineStr">
        <is>
          <t>ctu</t>
        </is>
      </c>
      <c r="R1192" t="inlineStr">
        <is>
          <t xml:space="preserve">LB </t>
        </is>
      </c>
      <c r="S1192" t="n">
        <v>3</v>
      </c>
      <c r="T1192" t="n">
        <v>3</v>
      </c>
      <c r="U1192" t="inlineStr">
        <is>
          <t>2006-03-17</t>
        </is>
      </c>
      <c r="V1192" t="inlineStr">
        <is>
          <t>2006-03-17</t>
        </is>
      </c>
      <c r="W1192" t="inlineStr">
        <is>
          <t>1997-04-01</t>
        </is>
      </c>
      <c r="X1192" t="inlineStr">
        <is>
          <t>1997-04-01</t>
        </is>
      </c>
      <c r="Y1192" t="n">
        <v>229</v>
      </c>
      <c r="Z1192" t="n">
        <v>202</v>
      </c>
      <c r="AA1192" t="n">
        <v>209</v>
      </c>
      <c r="AB1192" t="n">
        <v>2</v>
      </c>
      <c r="AC1192" t="n">
        <v>2</v>
      </c>
      <c r="AD1192" t="n">
        <v>9</v>
      </c>
      <c r="AE1192" t="n">
        <v>9</v>
      </c>
      <c r="AF1192" t="n">
        <v>1</v>
      </c>
      <c r="AG1192" t="n">
        <v>1</v>
      </c>
      <c r="AH1192" t="n">
        <v>3</v>
      </c>
      <c r="AI1192" t="n">
        <v>3</v>
      </c>
      <c r="AJ1192" t="n">
        <v>6</v>
      </c>
      <c r="AK1192" t="n">
        <v>6</v>
      </c>
      <c r="AL1192" t="n">
        <v>1</v>
      </c>
      <c r="AM1192" t="n">
        <v>1</v>
      </c>
      <c r="AN1192" t="n">
        <v>0</v>
      </c>
      <c r="AO1192" t="n">
        <v>0</v>
      </c>
      <c r="AP1192" t="inlineStr">
        <is>
          <t>No</t>
        </is>
      </c>
      <c r="AQ1192" t="inlineStr">
        <is>
          <t>Yes</t>
        </is>
      </c>
      <c r="AR1192">
        <f>HYPERLINK("http://catalog.hathitrust.org/Record/002906754","HathiTrust Record")</f>
        <v/>
      </c>
      <c r="AS1192">
        <f>HYPERLINK("https://creighton-primo.hosted.exlibrisgroup.com/primo-explore/search?tab=default_tab&amp;search_scope=EVERYTHING&amp;vid=01CRU&amp;lang=en_US&amp;offset=0&amp;query=any,contains,991002297249702656","Catalog Record")</f>
        <v/>
      </c>
      <c r="AT1192">
        <f>HYPERLINK("http://www.worldcat.org/oclc/29797463","WorldCat Record")</f>
        <v/>
      </c>
      <c r="AU1192" t="inlineStr">
        <is>
          <t>2572516:eng</t>
        </is>
      </c>
      <c r="AV1192" t="inlineStr">
        <is>
          <t>29797463</t>
        </is>
      </c>
      <c r="AW1192" t="inlineStr">
        <is>
          <t>991002297249702656</t>
        </is>
      </c>
      <c r="AX1192" t="inlineStr">
        <is>
          <t>991002297249702656</t>
        </is>
      </c>
      <c r="AY1192" t="inlineStr">
        <is>
          <t>2259317720002656</t>
        </is>
      </c>
      <c r="AZ1192" t="inlineStr">
        <is>
          <t>BOOK</t>
        </is>
      </c>
      <c r="BB1192" t="inlineStr">
        <is>
          <t>9780275946548</t>
        </is>
      </c>
      <c r="BC1192" t="inlineStr">
        <is>
          <t>32285002477288</t>
        </is>
      </c>
      <c r="BD1192" t="inlineStr">
        <is>
          <t>893804437</t>
        </is>
      </c>
    </row>
    <row r="1193">
      <c r="A1193" t="inlineStr">
        <is>
          <t>No</t>
        </is>
      </c>
      <c r="B1193" t="inlineStr">
        <is>
          <t>LB2825 .F58 1996</t>
        </is>
      </c>
      <c r="C1193" t="inlineStr">
        <is>
          <t>0                      LB 2825000F  58          1996</t>
        </is>
      </c>
      <c r="D1193" t="inlineStr">
        <is>
          <t>Principles of a sound state school finance system / by the Education Partners Project, Foundation for State Legislatures.</t>
        </is>
      </c>
      <c r="F1193" t="inlineStr">
        <is>
          <t>No</t>
        </is>
      </c>
      <c r="G1193" t="inlineStr">
        <is>
          <t>1</t>
        </is>
      </c>
      <c r="H1193" t="inlineStr">
        <is>
          <t>No</t>
        </is>
      </c>
      <c r="I1193" t="inlineStr">
        <is>
          <t>No</t>
        </is>
      </c>
      <c r="J1193" t="inlineStr">
        <is>
          <t>0</t>
        </is>
      </c>
      <c r="K1193" t="inlineStr">
        <is>
          <t>Education Partners (Project)</t>
        </is>
      </c>
      <c r="L1193" t="inlineStr">
        <is>
          <t>Washington, D.C. : National Conference of States Legislatures, c1996.</t>
        </is>
      </c>
      <c r="M1193" t="inlineStr">
        <is>
          <t>1996</t>
        </is>
      </c>
      <c r="O1193" t="inlineStr">
        <is>
          <t>eng</t>
        </is>
      </c>
      <c r="P1193" t="inlineStr">
        <is>
          <t>miu</t>
        </is>
      </c>
      <c r="R1193" t="inlineStr">
        <is>
          <t xml:space="preserve">LB </t>
        </is>
      </c>
      <c r="S1193" t="n">
        <v>1</v>
      </c>
      <c r="T1193" t="n">
        <v>1</v>
      </c>
      <c r="U1193" t="inlineStr">
        <is>
          <t>2004-02-04</t>
        </is>
      </c>
      <c r="V1193" t="inlineStr">
        <is>
          <t>2004-02-04</t>
        </is>
      </c>
      <c r="W1193" t="inlineStr">
        <is>
          <t>2004-02-04</t>
        </is>
      </c>
      <c r="X1193" t="inlineStr">
        <is>
          <t>2004-02-04</t>
        </is>
      </c>
      <c r="Y1193" t="n">
        <v>50</v>
      </c>
      <c r="Z1193" t="n">
        <v>49</v>
      </c>
      <c r="AA1193" t="n">
        <v>49</v>
      </c>
      <c r="AB1193" t="n">
        <v>1</v>
      </c>
      <c r="AC1193" t="n">
        <v>1</v>
      </c>
      <c r="AD1193" t="n">
        <v>0</v>
      </c>
      <c r="AE1193" t="n">
        <v>0</v>
      </c>
      <c r="AF1193" t="n">
        <v>0</v>
      </c>
      <c r="AG1193" t="n">
        <v>0</v>
      </c>
      <c r="AH1193" t="n">
        <v>0</v>
      </c>
      <c r="AI1193" t="n">
        <v>0</v>
      </c>
      <c r="AJ1193" t="n">
        <v>0</v>
      </c>
      <c r="AK1193" t="n">
        <v>0</v>
      </c>
      <c r="AL1193" t="n">
        <v>0</v>
      </c>
      <c r="AM1193" t="n">
        <v>0</v>
      </c>
      <c r="AN1193" t="n">
        <v>0</v>
      </c>
      <c r="AO1193" t="n">
        <v>0</v>
      </c>
      <c r="AP1193" t="inlineStr">
        <is>
          <t>No</t>
        </is>
      </c>
      <c r="AQ1193" t="inlineStr">
        <is>
          <t>No</t>
        </is>
      </c>
      <c r="AS1193">
        <f>HYPERLINK("https://creighton-primo.hosted.exlibrisgroup.com/primo-explore/search?tab=default_tab&amp;search_scope=EVERYTHING&amp;vid=01CRU&amp;lang=en_US&amp;offset=0&amp;query=any,contains,991004224829702656","Catalog Record")</f>
        <v/>
      </c>
      <c r="AT1193">
        <f>HYPERLINK("http://www.worldcat.org/oclc/35362091","WorldCat Record")</f>
        <v/>
      </c>
      <c r="AU1193" t="inlineStr">
        <is>
          <t>9657934031:eng</t>
        </is>
      </c>
      <c r="AV1193" t="inlineStr">
        <is>
          <t>35362091</t>
        </is>
      </c>
      <c r="AW1193" t="inlineStr">
        <is>
          <t>991004224829702656</t>
        </is>
      </c>
      <c r="AX1193" t="inlineStr">
        <is>
          <t>991004224829702656</t>
        </is>
      </c>
      <c r="AY1193" t="inlineStr">
        <is>
          <t>2268470930002656</t>
        </is>
      </c>
      <c r="AZ1193" t="inlineStr">
        <is>
          <t>BOOK</t>
        </is>
      </c>
      <c r="BB1193" t="inlineStr">
        <is>
          <t>9781555165987</t>
        </is>
      </c>
      <c r="BC1193" t="inlineStr">
        <is>
          <t>32285004637418</t>
        </is>
      </c>
      <c r="BD1193" t="inlineStr">
        <is>
          <t>893253418</t>
        </is>
      </c>
    </row>
    <row r="1194">
      <c r="A1194" t="inlineStr">
        <is>
          <t>No</t>
        </is>
      </c>
      <c r="B1194" t="inlineStr">
        <is>
          <t>LB2825 .G35 1988</t>
        </is>
      </c>
      <c r="C1194" t="inlineStr">
        <is>
          <t>0                      LB 2825000G  35          1988</t>
        </is>
      </c>
      <c r="D1194" t="inlineStr">
        <is>
          <t>School finance and education policy : enhancing educational efficiency, equality, and choice / James W. Guthrie, Walter I. Garms, Lawrence C. Pierce.</t>
        </is>
      </c>
      <c r="F1194" t="inlineStr">
        <is>
          <t>No</t>
        </is>
      </c>
      <c r="G1194" t="inlineStr">
        <is>
          <t>1</t>
        </is>
      </c>
      <c r="H1194" t="inlineStr">
        <is>
          <t>No</t>
        </is>
      </c>
      <c r="I1194" t="inlineStr">
        <is>
          <t>No</t>
        </is>
      </c>
      <c r="J1194" t="inlineStr">
        <is>
          <t>0</t>
        </is>
      </c>
      <c r="K1194" t="inlineStr">
        <is>
          <t>Guthrie, James W.</t>
        </is>
      </c>
      <c r="L1194" t="inlineStr">
        <is>
          <t>Englewood Cliffs, N.J. : Prentice Hall, c1988.</t>
        </is>
      </c>
      <c r="M1194" t="inlineStr">
        <is>
          <t>1988</t>
        </is>
      </c>
      <c r="N1194" t="inlineStr">
        <is>
          <t>2nd ed.</t>
        </is>
      </c>
      <c r="O1194" t="inlineStr">
        <is>
          <t>eng</t>
        </is>
      </c>
      <c r="P1194" t="inlineStr">
        <is>
          <t>nju</t>
        </is>
      </c>
      <c r="R1194" t="inlineStr">
        <is>
          <t xml:space="preserve">LB </t>
        </is>
      </c>
      <c r="S1194" t="n">
        <v>14</v>
      </c>
      <c r="T1194" t="n">
        <v>14</v>
      </c>
      <c r="U1194" t="inlineStr">
        <is>
          <t>2004-09-14</t>
        </is>
      </c>
      <c r="V1194" t="inlineStr">
        <is>
          <t>2004-09-14</t>
        </is>
      </c>
      <c r="W1194" t="inlineStr">
        <is>
          <t>1992-08-17</t>
        </is>
      </c>
      <c r="X1194" t="inlineStr">
        <is>
          <t>1992-08-17</t>
        </is>
      </c>
      <c r="Y1194" t="n">
        <v>221</v>
      </c>
      <c r="Z1194" t="n">
        <v>193</v>
      </c>
      <c r="AA1194" t="n">
        <v>213</v>
      </c>
      <c r="AB1194" t="n">
        <v>4</v>
      </c>
      <c r="AC1194" t="n">
        <v>4</v>
      </c>
      <c r="AD1194" t="n">
        <v>7</v>
      </c>
      <c r="AE1194" t="n">
        <v>8</v>
      </c>
      <c r="AF1194" t="n">
        <v>2</v>
      </c>
      <c r="AG1194" t="n">
        <v>3</v>
      </c>
      <c r="AH1194" t="n">
        <v>1</v>
      </c>
      <c r="AI1194" t="n">
        <v>1</v>
      </c>
      <c r="AJ1194" t="n">
        <v>5</v>
      </c>
      <c r="AK1194" t="n">
        <v>5</v>
      </c>
      <c r="AL1194" t="n">
        <v>2</v>
      </c>
      <c r="AM1194" t="n">
        <v>2</v>
      </c>
      <c r="AN1194" t="n">
        <v>0</v>
      </c>
      <c r="AO1194" t="n">
        <v>0</v>
      </c>
      <c r="AP1194" t="inlineStr">
        <is>
          <t>No</t>
        </is>
      </c>
      <c r="AQ1194" t="inlineStr">
        <is>
          <t>Yes</t>
        </is>
      </c>
      <c r="AR1194">
        <f>HYPERLINK("http://catalog.hathitrust.org/Record/000903621","HathiTrust Record")</f>
        <v/>
      </c>
      <c r="AS1194">
        <f>HYPERLINK("https://creighton-primo.hosted.exlibrisgroup.com/primo-explore/search?tab=default_tab&amp;search_scope=EVERYTHING&amp;vid=01CRU&amp;lang=en_US&amp;offset=0&amp;query=any,contains,991001202969702656","Catalog Record")</f>
        <v/>
      </c>
      <c r="AT1194">
        <f>HYPERLINK("http://www.worldcat.org/oclc/17326918","WorldCat Record")</f>
        <v/>
      </c>
      <c r="AU1194" t="inlineStr">
        <is>
          <t>909389609:eng</t>
        </is>
      </c>
      <c r="AV1194" t="inlineStr">
        <is>
          <t>17326918</t>
        </is>
      </c>
      <c r="AW1194" t="inlineStr">
        <is>
          <t>991001202969702656</t>
        </is>
      </c>
      <c r="AX1194" t="inlineStr">
        <is>
          <t>991001202969702656</t>
        </is>
      </c>
      <c r="AY1194" t="inlineStr">
        <is>
          <t>2261392280002656</t>
        </is>
      </c>
      <c r="AZ1194" t="inlineStr">
        <is>
          <t>BOOK</t>
        </is>
      </c>
      <c r="BB1194" t="inlineStr">
        <is>
          <t>9780137933242</t>
        </is>
      </c>
      <c r="BC1194" t="inlineStr">
        <is>
          <t>32285001260222</t>
        </is>
      </c>
      <c r="BD1194" t="inlineStr">
        <is>
          <t>893340240</t>
        </is>
      </c>
    </row>
    <row r="1195">
      <c r="A1195" t="inlineStr">
        <is>
          <t>No</t>
        </is>
      </c>
      <c r="B1195" t="inlineStr">
        <is>
          <t>LB2825 .J57 1983</t>
        </is>
      </c>
      <c r="C1195" t="inlineStr">
        <is>
          <t>0                      LB 2825000J  57          1983</t>
        </is>
      </c>
      <c r="D1195" t="inlineStr">
        <is>
          <t>The economics and financing of education / Roe L. Johns, Edgar L. Morphet, Kern Alexander.</t>
        </is>
      </c>
      <c r="F1195" t="inlineStr">
        <is>
          <t>No</t>
        </is>
      </c>
      <c r="G1195" t="inlineStr">
        <is>
          <t>1</t>
        </is>
      </c>
      <c r="H1195" t="inlineStr">
        <is>
          <t>No</t>
        </is>
      </c>
      <c r="I1195" t="inlineStr">
        <is>
          <t>No</t>
        </is>
      </c>
      <c r="J1195" t="inlineStr">
        <is>
          <t>0</t>
        </is>
      </c>
      <c r="K1195" t="inlineStr">
        <is>
          <t>Johns, Roe Lyell, 1900-</t>
        </is>
      </c>
      <c r="L1195" t="inlineStr">
        <is>
          <t>Englewood Cliffs, N.J. : Prentice-Hall, c1983.</t>
        </is>
      </c>
      <c r="M1195" t="inlineStr">
        <is>
          <t>1983</t>
        </is>
      </c>
      <c r="N1195" t="inlineStr">
        <is>
          <t>4th ed.</t>
        </is>
      </c>
      <c r="O1195" t="inlineStr">
        <is>
          <t>eng</t>
        </is>
      </c>
      <c r="P1195" t="inlineStr">
        <is>
          <t>nju</t>
        </is>
      </c>
      <c r="R1195" t="inlineStr">
        <is>
          <t xml:space="preserve">LB </t>
        </is>
      </c>
      <c r="S1195" t="n">
        <v>7</v>
      </c>
      <c r="T1195" t="n">
        <v>7</v>
      </c>
      <c r="U1195" t="inlineStr">
        <is>
          <t>2005-11-09</t>
        </is>
      </c>
      <c r="V1195" t="inlineStr">
        <is>
          <t>2005-11-09</t>
        </is>
      </c>
      <c r="W1195" t="inlineStr">
        <is>
          <t>1992-08-17</t>
        </is>
      </c>
      <c r="X1195" t="inlineStr">
        <is>
          <t>1992-08-17</t>
        </is>
      </c>
      <c r="Y1195" t="n">
        <v>337</v>
      </c>
      <c r="Z1195" t="n">
        <v>295</v>
      </c>
      <c r="AA1195" t="n">
        <v>299</v>
      </c>
      <c r="AB1195" t="n">
        <v>2</v>
      </c>
      <c r="AC1195" t="n">
        <v>2</v>
      </c>
      <c r="AD1195" t="n">
        <v>14</v>
      </c>
      <c r="AE1195" t="n">
        <v>14</v>
      </c>
      <c r="AF1195" t="n">
        <v>9</v>
      </c>
      <c r="AG1195" t="n">
        <v>9</v>
      </c>
      <c r="AH1195" t="n">
        <v>2</v>
      </c>
      <c r="AI1195" t="n">
        <v>2</v>
      </c>
      <c r="AJ1195" t="n">
        <v>9</v>
      </c>
      <c r="AK1195" t="n">
        <v>9</v>
      </c>
      <c r="AL1195" t="n">
        <v>1</v>
      </c>
      <c r="AM1195" t="n">
        <v>1</v>
      </c>
      <c r="AN1195" t="n">
        <v>0</v>
      </c>
      <c r="AO1195" t="n">
        <v>0</v>
      </c>
      <c r="AP1195" t="inlineStr">
        <is>
          <t>No</t>
        </is>
      </c>
      <c r="AQ1195" t="inlineStr">
        <is>
          <t>Yes</t>
        </is>
      </c>
      <c r="AR1195">
        <f>HYPERLINK("http://catalog.hathitrust.org/Record/000766752","HathiTrust Record")</f>
        <v/>
      </c>
      <c r="AS1195">
        <f>HYPERLINK("https://creighton-primo.hosted.exlibrisgroup.com/primo-explore/search?tab=default_tab&amp;search_scope=EVERYTHING&amp;vid=01CRU&amp;lang=en_US&amp;offset=0&amp;query=any,contains,991005249749702656","Catalog Record")</f>
        <v/>
      </c>
      <c r="AT1195">
        <f>HYPERLINK("http://www.worldcat.org/oclc/8476932","WorldCat Record")</f>
        <v/>
      </c>
      <c r="AU1195" t="inlineStr">
        <is>
          <t>9273650312:eng</t>
        </is>
      </c>
      <c r="AV1195" t="inlineStr">
        <is>
          <t>8476932</t>
        </is>
      </c>
      <c r="AW1195" t="inlineStr">
        <is>
          <t>991005249749702656</t>
        </is>
      </c>
      <c r="AX1195" t="inlineStr">
        <is>
          <t>991005249749702656</t>
        </is>
      </c>
      <c r="AY1195" t="inlineStr">
        <is>
          <t>2257699670002656</t>
        </is>
      </c>
      <c r="AZ1195" t="inlineStr">
        <is>
          <t>BOOK</t>
        </is>
      </c>
      <c r="BB1195" t="inlineStr">
        <is>
          <t>9780132251280</t>
        </is>
      </c>
      <c r="BC1195" t="inlineStr">
        <is>
          <t>32285001260271</t>
        </is>
      </c>
      <c r="BD1195" t="inlineStr">
        <is>
          <t>893412564</t>
        </is>
      </c>
    </row>
    <row r="1196">
      <c r="A1196" t="inlineStr">
        <is>
          <t>No</t>
        </is>
      </c>
      <c r="B1196" t="inlineStr">
        <is>
          <t>LB2825 .O312 2001</t>
        </is>
      </c>
      <c r="C1196" t="inlineStr">
        <is>
          <t>0                      LB 2825000O  312         2001</t>
        </is>
      </c>
      <c r="D1196" t="inlineStr">
        <is>
          <t>Reallocating resources : how to boost student achievement without asking for more / Allan Odden, Sarah Archibald.</t>
        </is>
      </c>
      <c r="F1196" t="inlineStr">
        <is>
          <t>No</t>
        </is>
      </c>
      <c r="G1196" t="inlineStr">
        <is>
          <t>1</t>
        </is>
      </c>
      <c r="H1196" t="inlineStr">
        <is>
          <t>No</t>
        </is>
      </c>
      <c r="I1196" t="inlineStr">
        <is>
          <t>No</t>
        </is>
      </c>
      <c r="J1196" t="inlineStr">
        <is>
          <t>0</t>
        </is>
      </c>
      <c r="K1196" t="inlineStr">
        <is>
          <t>Odden, Allan.</t>
        </is>
      </c>
      <c r="L1196" t="inlineStr">
        <is>
          <t>Thousand Oaks, Calif. : Corwin Press, c2001.</t>
        </is>
      </c>
      <c r="M1196" t="inlineStr">
        <is>
          <t>2001</t>
        </is>
      </c>
      <c r="O1196" t="inlineStr">
        <is>
          <t>eng</t>
        </is>
      </c>
      <c r="P1196" t="inlineStr">
        <is>
          <t>cau</t>
        </is>
      </c>
      <c r="R1196" t="inlineStr">
        <is>
          <t xml:space="preserve">LB </t>
        </is>
      </c>
      <c r="S1196" t="n">
        <v>2</v>
      </c>
      <c r="T1196" t="n">
        <v>2</v>
      </c>
      <c r="U1196" t="inlineStr">
        <is>
          <t>2001-06-13</t>
        </is>
      </c>
      <c r="V1196" t="inlineStr">
        <is>
          <t>2001-06-13</t>
        </is>
      </c>
      <c r="W1196" t="inlineStr">
        <is>
          <t>2001-02-14</t>
        </is>
      </c>
      <c r="X1196" t="inlineStr">
        <is>
          <t>2001-02-14</t>
        </is>
      </c>
      <c r="Y1196" t="n">
        <v>285</v>
      </c>
      <c r="Z1196" t="n">
        <v>253</v>
      </c>
      <c r="AA1196" t="n">
        <v>261</v>
      </c>
      <c r="AB1196" t="n">
        <v>4</v>
      </c>
      <c r="AC1196" t="n">
        <v>4</v>
      </c>
      <c r="AD1196" t="n">
        <v>17</v>
      </c>
      <c r="AE1196" t="n">
        <v>17</v>
      </c>
      <c r="AF1196" t="n">
        <v>5</v>
      </c>
      <c r="AG1196" t="n">
        <v>5</v>
      </c>
      <c r="AH1196" t="n">
        <v>2</v>
      </c>
      <c r="AI1196" t="n">
        <v>2</v>
      </c>
      <c r="AJ1196" t="n">
        <v>10</v>
      </c>
      <c r="AK1196" t="n">
        <v>10</v>
      </c>
      <c r="AL1196" t="n">
        <v>3</v>
      </c>
      <c r="AM1196" t="n">
        <v>3</v>
      </c>
      <c r="AN1196" t="n">
        <v>0</v>
      </c>
      <c r="AO1196" t="n">
        <v>0</v>
      </c>
      <c r="AP1196" t="inlineStr">
        <is>
          <t>No</t>
        </is>
      </c>
      <c r="AQ1196" t="inlineStr">
        <is>
          <t>Yes</t>
        </is>
      </c>
      <c r="AR1196">
        <f>HYPERLINK("http://catalog.hathitrust.org/Record/004134527","HathiTrust Record")</f>
        <v/>
      </c>
      <c r="AS1196">
        <f>HYPERLINK("https://creighton-primo.hosted.exlibrisgroup.com/primo-explore/search?tab=default_tab&amp;search_scope=EVERYTHING&amp;vid=01CRU&amp;lang=en_US&amp;offset=0&amp;query=any,contains,991003488339702656","Catalog Record")</f>
        <v/>
      </c>
      <c r="AT1196">
        <f>HYPERLINK("http://www.worldcat.org/oclc/43706680","WorldCat Record")</f>
        <v/>
      </c>
      <c r="AU1196" t="inlineStr">
        <is>
          <t>44570870:eng</t>
        </is>
      </c>
      <c r="AV1196" t="inlineStr">
        <is>
          <t>43706680</t>
        </is>
      </c>
      <c r="AW1196" t="inlineStr">
        <is>
          <t>991003488339702656</t>
        </is>
      </c>
      <c r="AX1196" t="inlineStr">
        <is>
          <t>991003488339702656</t>
        </is>
      </c>
      <c r="AY1196" t="inlineStr">
        <is>
          <t>2269106910002656</t>
        </is>
      </c>
      <c r="AZ1196" t="inlineStr">
        <is>
          <t>BOOK</t>
        </is>
      </c>
      <c r="BB1196" t="inlineStr">
        <is>
          <t>9780761976523</t>
        </is>
      </c>
      <c r="BC1196" t="inlineStr">
        <is>
          <t>32285004294939</t>
        </is>
      </c>
      <c r="BD1196" t="inlineStr">
        <is>
          <t>893881211</t>
        </is>
      </c>
    </row>
    <row r="1197">
      <c r="A1197" t="inlineStr">
        <is>
          <t>No</t>
        </is>
      </c>
      <c r="B1197" t="inlineStr">
        <is>
          <t>LB2825 .Q24 1996</t>
        </is>
      </c>
      <c r="C1197" t="inlineStr">
        <is>
          <t>0                      LB 2825000Q  24          1996</t>
        </is>
      </c>
      <c r="D1197" t="inlineStr">
        <is>
          <t>Financing education : the struggle between governmental monopoly and parental control / Quentin L. Quade.</t>
        </is>
      </c>
      <c r="F1197" t="inlineStr">
        <is>
          <t>No</t>
        </is>
      </c>
      <c r="G1197" t="inlineStr">
        <is>
          <t>1</t>
        </is>
      </c>
      <c r="H1197" t="inlineStr">
        <is>
          <t>No</t>
        </is>
      </c>
      <c r="I1197" t="inlineStr">
        <is>
          <t>No</t>
        </is>
      </c>
      <c r="J1197" t="inlineStr">
        <is>
          <t>0</t>
        </is>
      </c>
      <c r="K1197" t="inlineStr">
        <is>
          <t>Quade, Quentin L.</t>
        </is>
      </c>
      <c r="L1197" t="inlineStr">
        <is>
          <t>New Brunswick, N.J. : Transaction Publishers, c1996.</t>
        </is>
      </c>
      <c r="M1197" t="inlineStr">
        <is>
          <t>1996</t>
        </is>
      </c>
      <c r="O1197" t="inlineStr">
        <is>
          <t>eng</t>
        </is>
      </c>
      <c r="P1197" t="inlineStr">
        <is>
          <t>nju</t>
        </is>
      </c>
      <c r="R1197" t="inlineStr">
        <is>
          <t xml:space="preserve">LB </t>
        </is>
      </c>
      <c r="S1197" t="n">
        <v>8</v>
      </c>
      <c r="T1197" t="n">
        <v>8</v>
      </c>
      <c r="U1197" t="inlineStr">
        <is>
          <t>2006-03-17</t>
        </is>
      </c>
      <c r="V1197" t="inlineStr">
        <is>
          <t>2006-03-17</t>
        </is>
      </c>
      <c r="W1197" t="inlineStr">
        <is>
          <t>1996-08-27</t>
        </is>
      </c>
      <c r="X1197" t="inlineStr">
        <is>
          <t>1996-08-27</t>
        </is>
      </c>
      <c r="Y1197" t="n">
        <v>386</v>
      </c>
      <c r="Z1197" t="n">
        <v>351</v>
      </c>
      <c r="AA1197" t="n">
        <v>370</v>
      </c>
      <c r="AB1197" t="n">
        <v>3</v>
      </c>
      <c r="AC1197" t="n">
        <v>3</v>
      </c>
      <c r="AD1197" t="n">
        <v>20</v>
      </c>
      <c r="AE1197" t="n">
        <v>20</v>
      </c>
      <c r="AF1197" t="n">
        <v>7</v>
      </c>
      <c r="AG1197" t="n">
        <v>7</v>
      </c>
      <c r="AH1197" t="n">
        <v>3</v>
      </c>
      <c r="AI1197" t="n">
        <v>3</v>
      </c>
      <c r="AJ1197" t="n">
        <v>13</v>
      </c>
      <c r="AK1197" t="n">
        <v>13</v>
      </c>
      <c r="AL1197" t="n">
        <v>2</v>
      </c>
      <c r="AM1197" t="n">
        <v>2</v>
      </c>
      <c r="AN1197" t="n">
        <v>1</v>
      </c>
      <c r="AO1197" t="n">
        <v>1</v>
      </c>
      <c r="AP1197" t="inlineStr">
        <is>
          <t>No</t>
        </is>
      </c>
      <c r="AQ1197" t="inlineStr">
        <is>
          <t>No</t>
        </is>
      </c>
      <c r="AS1197">
        <f>HYPERLINK("https://creighton-primo.hosted.exlibrisgroup.com/primo-explore/search?tab=default_tab&amp;search_scope=EVERYTHING&amp;vid=01CRU&amp;lang=en_US&amp;offset=0&amp;query=any,contains,991002645859702656","Catalog Record")</f>
        <v/>
      </c>
      <c r="AT1197">
        <f>HYPERLINK("http://www.worldcat.org/oclc/34618162","WorldCat Record")</f>
        <v/>
      </c>
      <c r="AU1197" t="inlineStr">
        <is>
          <t>334941975:eng</t>
        </is>
      </c>
      <c r="AV1197" t="inlineStr">
        <is>
          <t>34618162</t>
        </is>
      </c>
      <c r="AW1197" t="inlineStr">
        <is>
          <t>991002645859702656</t>
        </is>
      </c>
      <c r="AX1197" t="inlineStr">
        <is>
          <t>991002645859702656</t>
        </is>
      </c>
      <c r="AY1197" t="inlineStr">
        <is>
          <t>2271758840002656</t>
        </is>
      </c>
      <c r="AZ1197" t="inlineStr">
        <is>
          <t>BOOK</t>
        </is>
      </c>
      <c r="BB1197" t="inlineStr">
        <is>
          <t>9781560002550</t>
        </is>
      </c>
      <c r="BC1197" t="inlineStr">
        <is>
          <t>32285002292463</t>
        </is>
      </c>
      <c r="BD1197" t="inlineStr">
        <is>
          <t>893511015</t>
        </is>
      </c>
    </row>
    <row r="1198">
      <c r="A1198" t="inlineStr">
        <is>
          <t>No</t>
        </is>
      </c>
      <c r="B1198" t="inlineStr">
        <is>
          <t>LB2828 .A53 1995</t>
        </is>
      </c>
      <c r="C1198" t="inlineStr">
        <is>
          <t>0                      LB 2828000A  53          1995</t>
        </is>
      </c>
      <c r="D1198" t="inlineStr">
        <is>
          <t>Teachers can be fired! : the quest for quality : a handbook for practitioners in elementary, middle, and secondary schools and community colleges / Hans A. Andrews.</t>
        </is>
      </c>
      <c r="F1198" t="inlineStr">
        <is>
          <t>No</t>
        </is>
      </c>
      <c r="G1198" t="inlineStr">
        <is>
          <t>1</t>
        </is>
      </c>
      <c r="H1198" t="inlineStr">
        <is>
          <t>No</t>
        </is>
      </c>
      <c r="I1198" t="inlineStr">
        <is>
          <t>No</t>
        </is>
      </c>
      <c r="J1198" t="inlineStr">
        <is>
          <t>0</t>
        </is>
      </c>
      <c r="K1198" t="inlineStr">
        <is>
          <t>Andrews, Hans A.</t>
        </is>
      </c>
      <c r="L1198" t="inlineStr">
        <is>
          <t>Chicago : Catfeet Press, c1995.</t>
        </is>
      </c>
      <c r="M1198" t="inlineStr">
        <is>
          <t>1995</t>
        </is>
      </c>
      <c r="O1198" t="inlineStr">
        <is>
          <t>eng</t>
        </is>
      </c>
      <c r="P1198" t="inlineStr">
        <is>
          <t>ilu</t>
        </is>
      </c>
      <c r="R1198" t="inlineStr">
        <is>
          <t xml:space="preserve">LB </t>
        </is>
      </c>
      <c r="S1198" t="n">
        <v>5</v>
      </c>
      <c r="T1198" t="n">
        <v>5</v>
      </c>
      <c r="U1198" t="inlineStr">
        <is>
          <t>1999-12-05</t>
        </is>
      </c>
      <c r="V1198" t="inlineStr">
        <is>
          <t>1999-12-05</t>
        </is>
      </c>
      <c r="W1198" t="inlineStr">
        <is>
          <t>1996-02-14</t>
        </is>
      </c>
      <c r="X1198" t="inlineStr">
        <is>
          <t>1996-02-14</t>
        </is>
      </c>
      <c r="Y1198" t="n">
        <v>240</v>
      </c>
      <c r="Z1198" t="n">
        <v>224</v>
      </c>
      <c r="AA1198" t="n">
        <v>232</v>
      </c>
      <c r="AB1198" t="n">
        <v>3</v>
      </c>
      <c r="AC1198" t="n">
        <v>3</v>
      </c>
      <c r="AD1198" t="n">
        <v>14</v>
      </c>
      <c r="AE1198" t="n">
        <v>14</v>
      </c>
      <c r="AF1198" t="n">
        <v>2</v>
      </c>
      <c r="AG1198" t="n">
        <v>2</v>
      </c>
      <c r="AH1198" t="n">
        <v>5</v>
      </c>
      <c r="AI1198" t="n">
        <v>5</v>
      </c>
      <c r="AJ1198" t="n">
        <v>8</v>
      </c>
      <c r="AK1198" t="n">
        <v>8</v>
      </c>
      <c r="AL1198" t="n">
        <v>2</v>
      </c>
      <c r="AM1198" t="n">
        <v>2</v>
      </c>
      <c r="AN1198" t="n">
        <v>0</v>
      </c>
      <c r="AO1198" t="n">
        <v>0</v>
      </c>
      <c r="AP1198" t="inlineStr">
        <is>
          <t>No</t>
        </is>
      </c>
      <c r="AQ1198" t="inlineStr">
        <is>
          <t>Yes</t>
        </is>
      </c>
      <c r="AR1198">
        <f>HYPERLINK("http://catalog.hathitrust.org/Record/003009576","HathiTrust Record")</f>
        <v/>
      </c>
      <c r="AS1198">
        <f>HYPERLINK("https://creighton-primo.hosted.exlibrisgroup.com/primo-explore/search?tab=default_tab&amp;search_scope=EVERYTHING&amp;vid=01CRU&amp;lang=en_US&amp;offset=0&amp;query=any,contains,991002455639702656","Catalog Record")</f>
        <v/>
      </c>
      <c r="AT1198">
        <f>HYPERLINK("http://www.worldcat.org/oclc/32014111","WorldCat Record")</f>
        <v/>
      </c>
      <c r="AU1198" t="inlineStr">
        <is>
          <t>33904761:eng</t>
        </is>
      </c>
      <c r="AV1198" t="inlineStr">
        <is>
          <t>32014111</t>
        </is>
      </c>
      <c r="AW1198" t="inlineStr">
        <is>
          <t>991002455639702656</t>
        </is>
      </c>
      <c r="AX1198" t="inlineStr">
        <is>
          <t>991002455639702656</t>
        </is>
      </c>
      <c r="AY1198" t="inlineStr">
        <is>
          <t>2255416920002656</t>
        </is>
      </c>
      <c r="AZ1198" t="inlineStr">
        <is>
          <t>BOOK</t>
        </is>
      </c>
      <c r="BB1198" t="inlineStr">
        <is>
          <t>9780812692808</t>
        </is>
      </c>
      <c r="BC1198" t="inlineStr">
        <is>
          <t>32285002135449</t>
        </is>
      </c>
      <c r="BD1198" t="inlineStr">
        <is>
          <t>893792496</t>
        </is>
      </c>
    </row>
    <row r="1199">
      <c r="A1199" t="inlineStr">
        <is>
          <t>No</t>
        </is>
      </c>
      <c r="B1199" t="inlineStr">
        <is>
          <t>LB2830 .B83 1989</t>
        </is>
      </c>
      <c r="C1199" t="inlineStr">
        <is>
          <t>0                      LB 2830000B  83          1989</t>
        </is>
      </c>
      <c r="D1199" t="inlineStr">
        <is>
          <t>Budget analysis : beyond the numbers : a guide to interpreting local school district budgets / National Education Association, Professional and Organizational Development/Research Division.</t>
        </is>
      </c>
      <c r="F1199" t="inlineStr">
        <is>
          <t>No</t>
        </is>
      </c>
      <c r="G1199" t="inlineStr">
        <is>
          <t>1</t>
        </is>
      </c>
      <c r="H1199" t="inlineStr">
        <is>
          <t>No</t>
        </is>
      </c>
      <c r="I1199" t="inlineStr">
        <is>
          <t>No</t>
        </is>
      </c>
      <c r="J1199" t="inlineStr">
        <is>
          <t>0</t>
        </is>
      </c>
      <c r="L1199" t="inlineStr">
        <is>
          <t>Washington, D.C. : National Education Association, c1989.</t>
        </is>
      </c>
      <c r="M1199" t="inlineStr">
        <is>
          <t>1989</t>
        </is>
      </c>
      <c r="O1199" t="inlineStr">
        <is>
          <t>eng</t>
        </is>
      </c>
      <c r="P1199" t="inlineStr">
        <is>
          <t>dcu</t>
        </is>
      </c>
      <c r="R1199" t="inlineStr">
        <is>
          <t xml:space="preserve">LB </t>
        </is>
      </c>
      <c r="S1199" t="n">
        <v>4</v>
      </c>
      <c r="T1199" t="n">
        <v>4</v>
      </c>
      <c r="U1199" t="inlineStr">
        <is>
          <t>2001-09-19</t>
        </is>
      </c>
      <c r="V1199" t="inlineStr">
        <is>
          <t>2001-09-19</t>
        </is>
      </c>
      <c r="W1199" t="inlineStr">
        <is>
          <t>1992-08-17</t>
        </is>
      </c>
      <c r="X1199" t="inlineStr">
        <is>
          <t>1992-08-17</t>
        </is>
      </c>
      <c r="Y1199" t="n">
        <v>147</v>
      </c>
      <c r="Z1199" t="n">
        <v>146</v>
      </c>
      <c r="AA1199" t="n">
        <v>146</v>
      </c>
      <c r="AB1199" t="n">
        <v>2</v>
      </c>
      <c r="AC1199" t="n">
        <v>2</v>
      </c>
      <c r="AD1199" t="n">
        <v>2</v>
      </c>
      <c r="AE1199" t="n">
        <v>2</v>
      </c>
      <c r="AF1199" t="n">
        <v>1</v>
      </c>
      <c r="AG1199" t="n">
        <v>1</v>
      </c>
      <c r="AH1199" t="n">
        <v>0</v>
      </c>
      <c r="AI1199" t="n">
        <v>0</v>
      </c>
      <c r="AJ1199" t="n">
        <v>0</v>
      </c>
      <c r="AK1199" t="n">
        <v>0</v>
      </c>
      <c r="AL1199" t="n">
        <v>1</v>
      </c>
      <c r="AM1199" t="n">
        <v>1</v>
      </c>
      <c r="AN1199" t="n">
        <v>0</v>
      </c>
      <c r="AO1199" t="n">
        <v>0</v>
      </c>
      <c r="AP1199" t="inlineStr">
        <is>
          <t>No</t>
        </is>
      </c>
      <c r="AQ1199" t="inlineStr">
        <is>
          <t>No</t>
        </is>
      </c>
      <c r="AS1199">
        <f>HYPERLINK("https://creighton-primo.hosted.exlibrisgroup.com/primo-explore/search?tab=default_tab&amp;search_scope=EVERYTHING&amp;vid=01CRU&amp;lang=en_US&amp;offset=0&amp;query=any,contains,991001496129702656","Catalog Record")</f>
        <v/>
      </c>
      <c r="AT1199">
        <f>HYPERLINK("http://www.worldcat.org/oclc/19765596","WorldCat Record")</f>
        <v/>
      </c>
      <c r="AU1199" t="inlineStr">
        <is>
          <t>5575844035:eng</t>
        </is>
      </c>
      <c r="AV1199" t="inlineStr">
        <is>
          <t>19765596</t>
        </is>
      </c>
      <c r="AW1199" t="inlineStr">
        <is>
          <t>991001496129702656</t>
        </is>
      </c>
      <c r="AX1199" t="inlineStr">
        <is>
          <t>991001496129702656</t>
        </is>
      </c>
      <c r="AY1199" t="inlineStr">
        <is>
          <t>2265695960002656</t>
        </is>
      </c>
      <c r="AZ1199" t="inlineStr">
        <is>
          <t>BOOK</t>
        </is>
      </c>
      <c r="BC1199" t="inlineStr">
        <is>
          <t>32285001260479</t>
        </is>
      </c>
      <c r="BD1199" t="inlineStr">
        <is>
          <t>893256283</t>
        </is>
      </c>
    </row>
    <row r="1200">
      <c r="A1200" t="inlineStr">
        <is>
          <t>No</t>
        </is>
      </c>
      <c r="B1200" t="inlineStr">
        <is>
          <t>LB2830 .E43 1984</t>
        </is>
      </c>
      <c r="C1200" t="inlineStr">
        <is>
          <t>0                      LB 2830000E  43          1984</t>
        </is>
      </c>
      <c r="D1200" t="inlineStr">
        <is>
          <t>Elementary school finance manual / produced through the joint efforts of The Department of Elementary Schools and The Office of Development.</t>
        </is>
      </c>
      <c r="F1200" t="inlineStr">
        <is>
          <t>No</t>
        </is>
      </c>
      <c r="G1200" t="inlineStr">
        <is>
          <t>1</t>
        </is>
      </c>
      <c r="H1200" t="inlineStr">
        <is>
          <t>No</t>
        </is>
      </c>
      <c r="I1200" t="inlineStr">
        <is>
          <t>No</t>
        </is>
      </c>
      <c r="J1200" t="inlineStr">
        <is>
          <t>0</t>
        </is>
      </c>
      <c r="L1200" t="inlineStr">
        <is>
          <t>Washington : National Catholic Educational Association, 1984.</t>
        </is>
      </c>
      <c r="M1200" t="inlineStr">
        <is>
          <t>1984</t>
        </is>
      </c>
      <c r="O1200" t="inlineStr">
        <is>
          <t>eng</t>
        </is>
      </c>
      <c r="P1200" t="inlineStr">
        <is>
          <t>dcu</t>
        </is>
      </c>
      <c r="R1200" t="inlineStr">
        <is>
          <t xml:space="preserve">LB </t>
        </is>
      </c>
      <c r="S1200" t="n">
        <v>1</v>
      </c>
      <c r="T1200" t="n">
        <v>1</v>
      </c>
      <c r="U1200" t="inlineStr">
        <is>
          <t>1996-08-24</t>
        </is>
      </c>
      <c r="V1200" t="inlineStr">
        <is>
          <t>1996-08-24</t>
        </is>
      </c>
      <c r="W1200" t="inlineStr">
        <is>
          <t>1992-08-17</t>
        </is>
      </c>
      <c r="X1200" t="inlineStr">
        <is>
          <t>1992-08-17</t>
        </is>
      </c>
      <c r="Y1200" t="n">
        <v>19</v>
      </c>
      <c r="Z1200" t="n">
        <v>18</v>
      </c>
      <c r="AA1200" t="n">
        <v>18</v>
      </c>
      <c r="AB1200" t="n">
        <v>1</v>
      </c>
      <c r="AC1200" t="n">
        <v>1</v>
      </c>
      <c r="AD1200" t="n">
        <v>5</v>
      </c>
      <c r="AE1200" t="n">
        <v>5</v>
      </c>
      <c r="AF1200" t="n">
        <v>2</v>
      </c>
      <c r="AG1200" t="n">
        <v>2</v>
      </c>
      <c r="AH1200" t="n">
        <v>0</v>
      </c>
      <c r="AI1200" t="n">
        <v>0</v>
      </c>
      <c r="AJ1200" t="n">
        <v>4</v>
      </c>
      <c r="AK1200" t="n">
        <v>4</v>
      </c>
      <c r="AL1200" t="n">
        <v>0</v>
      </c>
      <c r="AM1200" t="n">
        <v>0</v>
      </c>
      <c r="AN1200" t="n">
        <v>0</v>
      </c>
      <c r="AO1200" t="n">
        <v>0</v>
      </c>
      <c r="AP1200" t="inlineStr">
        <is>
          <t>No</t>
        </is>
      </c>
      <c r="AQ1200" t="inlineStr">
        <is>
          <t>No</t>
        </is>
      </c>
      <c r="AS1200">
        <f>HYPERLINK("https://creighton-primo.hosted.exlibrisgroup.com/primo-explore/search?tab=default_tab&amp;search_scope=EVERYTHING&amp;vid=01CRU&amp;lang=en_US&amp;offset=0&amp;query=any,contains,991000452219702656","Catalog Record")</f>
        <v/>
      </c>
      <c r="AT1200">
        <f>HYPERLINK("http://www.worldcat.org/oclc/10898072","WorldCat Record")</f>
        <v/>
      </c>
      <c r="AU1200" t="inlineStr">
        <is>
          <t>3655646:eng</t>
        </is>
      </c>
      <c r="AV1200" t="inlineStr">
        <is>
          <t>10898072</t>
        </is>
      </c>
      <c r="AW1200" t="inlineStr">
        <is>
          <t>991000452219702656</t>
        </is>
      </c>
      <c r="AX1200" t="inlineStr">
        <is>
          <t>991000452219702656</t>
        </is>
      </c>
      <c r="AY1200" t="inlineStr">
        <is>
          <t>2259281980002656</t>
        </is>
      </c>
      <c r="AZ1200" t="inlineStr">
        <is>
          <t>BOOK</t>
        </is>
      </c>
      <c r="BC1200" t="inlineStr">
        <is>
          <t>32285001260495</t>
        </is>
      </c>
      <c r="BD1200" t="inlineStr">
        <is>
          <t>893534161</t>
        </is>
      </c>
    </row>
    <row r="1201">
      <c r="A1201" t="inlineStr">
        <is>
          <t>No</t>
        </is>
      </c>
      <c r="B1201" t="inlineStr">
        <is>
          <t>LB2830 .H35 1988</t>
        </is>
      </c>
      <c r="C1201" t="inlineStr">
        <is>
          <t>0                      LB 2830000H  35          1988</t>
        </is>
      </c>
      <c r="D1201" t="inlineStr">
        <is>
          <t>School district budgeting / William T. Hartman.</t>
        </is>
      </c>
      <c r="F1201" t="inlineStr">
        <is>
          <t>No</t>
        </is>
      </c>
      <c r="G1201" t="inlineStr">
        <is>
          <t>1</t>
        </is>
      </c>
      <c r="H1201" t="inlineStr">
        <is>
          <t>No</t>
        </is>
      </c>
      <c r="I1201" t="inlineStr">
        <is>
          <t>No</t>
        </is>
      </c>
      <c r="J1201" t="inlineStr">
        <is>
          <t>0</t>
        </is>
      </c>
      <c r="K1201" t="inlineStr">
        <is>
          <t>Hartman, William T.</t>
        </is>
      </c>
      <c r="L1201" t="inlineStr">
        <is>
          <t>Englewood Cliffs, N.J. : Prentice Hall, c1988.</t>
        </is>
      </c>
      <c r="M1201" t="inlineStr">
        <is>
          <t>1988</t>
        </is>
      </c>
      <c r="O1201" t="inlineStr">
        <is>
          <t>eng</t>
        </is>
      </c>
      <c r="P1201" t="inlineStr">
        <is>
          <t>nju</t>
        </is>
      </c>
      <c r="R1201" t="inlineStr">
        <is>
          <t xml:space="preserve">LB </t>
        </is>
      </c>
      <c r="S1201" t="n">
        <v>3</v>
      </c>
      <c r="T1201" t="n">
        <v>3</v>
      </c>
      <c r="U1201" t="inlineStr">
        <is>
          <t>1996-08-24</t>
        </is>
      </c>
      <c r="V1201" t="inlineStr">
        <is>
          <t>1996-08-24</t>
        </is>
      </c>
      <c r="W1201" t="inlineStr">
        <is>
          <t>1992-08-17</t>
        </is>
      </c>
      <c r="X1201" t="inlineStr">
        <is>
          <t>1992-08-17</t>
        </is>
      </c>
      <c r="Y1201" t="n">
        <v>235</v>
      </c>
      <c r="Z1201" t="n">
        <v>219</v>
      </c>
      <c r="AA1201" t="n">
        <v>257</v>
      </c>
      <c r="AB1201" t="n">
        <v>3</v>
      </c>
      <c r="AC1201" t="n">
        <v>5</v>
      </c>
      <c r="AD1201" t="n">
        <v>9</v>
      </c>
      <c r="AE1201" t="n">
        <v>12</v>
      </c>
      <c r="AF1201" t="n">
        <v>3</v>
      </c>
      <c r="AG1201" t="n">
        <v>4</v>
      </c>
      <c r="AH1201" t="n">
        <v>2</v>
      </c>
      <c r="AI1201" t="n">
        <v>3</v>
      </c>
      <c r="AJ1201" t="n">
        <v>6</v>
      </c>
      <c r="AK1201" t="n">
        <v>6</v>
      </c>
      <c r="AL1201" t="n">
        <v>2</v>
      </c>
      <c r="AM1201" t="n">
        <v>4</v>
      </c>
      <c r="AN1201" t="n">
        <v>0</v>
      </c>
      <c r="AO1201" t="n">
        <v>0</v>
      </c>
      <c r="AP1201" t="inlineStr">
        <is>
          <t>No</t>
        </is>
      </c>
      <c r="AQ1201" t="inlineStr">
        <is>
          <t>Yes</t>
        </is>
      </c>
      <c r="AR1201">
        <f>HYPERLINK("http://catalog.hathitrust.org/Record/000880394","HathiTrust Record")</f>
        <v/>
      </c>
      <c r="AS1201">
        <f>HYPERLINK("https://creighton-primo.hosted.exlibrisgroup.com/primo-explore/search?tab=default_tab&amp;search_scope=EVERYTHING&amp;vid=01CRU&amp;lang=en_US&amp;offset=0&amp;query=any,contains,991001165119702656","Catalog Record")</f>
        <v/>
      </c>
      <c r="AT1201">
        <f>HYPERLINK("http://www.worldcat.org/oclc/16922697","WorldCat Record")</f>
        <v/>
      </c>
      <c r="AU1201" t="inlineStr">
        <is>
          <t>13573906:eng</t>
        </is>
      </c>
      <c r="AV1201" t="inlineStr">
        <is>
          <t>16922697</t>
        </is>
      </c>
      <c r="AW1201" t="inlineStr">
        <is>
          <t>991001165119702656</t>
        </is>
      </c>
      <c r="AX1201" t="inlineStr">
        <is>
          <t>991001165119702656</t>
        </is>
      </c>
      <c r="AY1201" t="inlineStr">
        <is>
          <t>2271893950002656</t>
        </is>
      </c>
      <c r="AZ1201" t="inlineStr">
        <is>
          <t>BOOK</t>
        </is>
      </c>
      <c r="BB1201" t="inlineStr">
        <is>
          <t>9780137922925</t>
        </is>
      </c>
      <c r="BC1201" t="inlineStr">
        <is>
          <t>32285001260503</t>
        </is>
      </c>
      <c r="BD1201" t="inlineStr">
        <is>
          <t>893715235</t>
        </is>
      </c>
    </row>
    <row r="1202">
      <c r="A1202" t="inlineStr">
        <is>
          <t>No</t>
        </is>
      </c>
      <c r="B1202" t="inlineStr">
        <is>
          <t>LB2830.2 .O57 2010</t>
        </is>
      </c>
      <c r="C1202" t="inlineStr">
        <is>
          <t>0                      LB 2830200O  57          2010</t>
        </is>
      </c>
      <c r="D1202" t="inlineStr">
        <is>
          <t>What brain research can teach about cutting school budgets / Karen D. Olsen ; foreword by Susan Kovalik.</t>
        </is>
      </c>
      <c r="F1202" t="inlineStr">
        <is>
          <t>No</t>
        </is>
      </c>
      <c r="G1202" t="inlineStr">
        <is>
          <t>1</t>
        </is>
      </c>
      <c r="H1202" t="inlineStr">
        <is>
          <t>No</t>
        </is>
      </c>
      <c r="I1202" t="inlineStr">
        <is>
          <t>No</t>
        </is>
      </c>
      <c r="J1202" t="inlineStr">
        <is>
          <t>0</t>
        </is>
      </c>
      <c r="K1202" t="inlineStr">
        <is>
          <t>Olsen, Karen (Karen D.)</t>
        </is>
      </c>
      <c r="L1202" t="inlineStr">
        <is>
          <t>Thousand Oaks, Calif. : Corwin, c2010.</t>
        </is>
      </c>
      <c r="M1202" t="inlineStr">
        <is>
          <t>2010</t>
        </is>
      </c>
      <c r="O1202" t="inlineStr">
        <is>
          <t>eng</t>
        </is>
      </c>
      <c r="P1202" t="inlineStr">
        <is>
          <t>cau</t>
        </is>
      </c>
      <c r="R1202" t="inlineStr">
        <is>
          <t xml:space="preserve">LB </t>
        </is>
      </c>
      <c r="S1202" t="n">
        <v>1</v>
      </c>
      <c r="T1202" t="n">
        <v>1</v>
      </c>
      <c r="U1202" t="inlineStr">
        <is>
          <t>2010-04-20</t>
        </is>
      </c>
      <c r="V1202" t="inlineStr">
        <is>
          <t>2010-04-20</t>
        </is>
      </c>
      <c r="W1202" t="inlineStr">
        <is>
          <t>2010-04-20</t>
        </is>
      </c>
      <c r="X1202" t="inlineStr">
        <is>
          <t>2010-04-20</t>
        </is>
      </c>
      <c r="Y1202" t="n">
        <v>122</v>
      </c>
      <c r="Z1202" t="n">
        <v>103</v>
      </c>
      <c r="AA1202" t="n">
        <v>132</v>
      </c>
      <c r="AB1202" t="n">
        <v>3</v>
      </c>
      <c r="AC1202" t="n">
        <v>3</v>
      </c>
      <c r="AD1202" t="n">
        <v>6</v>
      </c>
      <c r="AE1202" t="n">
        <v>7</v>
      </c>
      <c r="AF1202" t="n">
        <v>1</v>
      </c>
      <c r="AG1202" t="n">
        <v>2</v>
      </c>
      <c r="AH1202" t="n">
        <v>1</v>
      </c>
      <c r="AI1202" t="n">
        <v>2</v>
      </c>
      <c r="AJ1202" t="n">
        <v>4</v>
      </c>
      <c r="AK1202" t="n">
        <v>4</v>
      </c>
      <c r="AL1202" t="n">
        <v>2</v>
      </c>
      <c r="AM1202" t="n">
        <v>2</v>
      </c>
      <c r="AN1202" t="n">
        <v>0</v>
      </c>
      <c r="AO1202" t="n">
        <v>0</v>
      </c>
      <c r="AP1202" t="inlineStr">
        <is>
          <t>No</t>
        </is>
      </c>
      <c r="AQ1202" t="inlineStr">
        <is>
          <t>No</t>
        </is>
      </c>
      <c r="AS1202">
        <f>HYPERLINK("https://creighton-primo.hosted.exlibrisgroup.com/primo-explore/search?tab=default_tab&amp;search_scope=EVERYTHING&amp;vid=01CRU&amp;lang=en_US&amp;offset=0&amp;query=any,contains,991005384219702656","Catalog Record")</f>
        <v/>
      </c>
      <c r="AT1202">
        <f>HYPERLINK("http://www.worldcat.org/oclc/430055733","WorldCat Record")</f>
        <v/>
      </c>
      <c r="AU1202" t="inlineStr">
        <is>
          <t>317126354:eng</t>
        </is>
      </c>
      <c r="AV1202" t="inlineStr">
        <is>
          <t>430055733</t>
        </is>
      </c>
      <c r="AW1202" t="inlineStr">
        <is>
          <t>991005384219702656</t>
        </is>
      </c>
      <c r="AX1202" t="inlineStr">
        <is>
          <t>991005384219702656</t>
        </is>
      </c>
      <c r="AY1202" t="inlineStr">
        <is>
          <t>2256959130002656</t>
        </is>
      </c>
      <c r="AZ1202" t="inlineStr">
        <is>
          <t>BOOK</t>
        </is>
      </c>
      <c r="BB1202" t="inlineStr">
        <is>
          <t>9781412980494</t>
        </is>
      </c>
      <c r="BC1202" t="inlineStr">
        <is>
          <t>32285005565931</t>
        </is>
      </c>
      <c r="BD1202" t="inlineStr">
        <is>
          <t>893533747</t>
        </is>
      </c>
    </row>
    <row r="1203">
      <c r="A1203" t="inlineStr">
        <is>
          <t>No</t>
        </is>
      </c>
      <c r="B1203" t="inlineStr">
        <is>
          <t>LB2831.5 .J65 2009</t>
        </is>
      </c>
      <c r="C1203" t="inlineStr">
        <is>
          <t>0                      LB 2831500J  65          2009</t>
        </is>
      </c>
      <c r="D1203" t="inlineStr">
        <is>
          <t>The personnel evaluation standards : how to assess systems for evaluating educators / the Joint Committee on Standards for Educational Evaluation Arlen R. Gullickson, chair, Barbara B. Howard, task force chair.</t>
        </is>
      </c>
      <c r="F1203" t="inlineStr">
        <is>
          <t>No</t>
        </is>
      </c>
      <c r="G1203" t="inlineStr">
        <is>
          <t>1</t>
        </is>
      </c>
      <c r="H1203" t="inlineStr">
        <is>
          <t>No</t>
        </is>
      </c>
      <c r="I1203" t="inlineStr">
        <is>
          <t>No</t>
        </is>
      </c>
      <c r="J1203" t="inlineStr">
        <is>
          <t>0</t>
        </is>
      </c>
      <c r="K1203" t="inlineStr">
        <is>
          <t>Joint Committee on Standards for Educational Evaluation.</t>
        </is>
      </c>
      <c r="L1203" t="inlineStr">
        <is>
          <t>Thousand Oaks : Corwin Press, c2009.</t>
        </is>
      </c>
      <c r="M1203" t="inlineStr">
        <is>
          <t>2009</t>
        </is>
      </c>
      <c r="N1203" t="inlineStr">
        <is>
          <t>2nd ed.</t>
        </is>
      </c>
      <c r="O1203" t="inlineStr">
        <is>
          <t>eng</t>
        </is>
      </c>
      <c r="P1203" t="inlineStr">
        <is>
          <t>cau</t>
        </is>
      </c>
      <c r="Q1203" t="inlineStr">
        <is>
          <t>The joint committee on standards for educational evaluation.</t>
        </is>
      </c>
      <c r="R1203" t="inlineStr">
        <is>
          <t xml:space="preserve">LB </t>
        </is>
      </c>
      <c r="S1203" t="n">
        <v>1</v>
      </c>
      <c r="T1203" t="n">
        <v>1</v>
      </c>
      <c r="U1203" t="inlineStr">
        <is>
          <t>2008-12-12</t>
        </is>
      </c>
      <c r="V1203" t="inlineStr">
        <is>
          <t>2008-12-12</t>
        </is>
      </c>
      <c r="W1203" t="inlineStr">
        <is>
          <t>2008-12-12</t>
        </is>
      </c>
      <c r="X1203" t="inlineStr">
        <is>
          <t>2008-12-12</t>
        </is>
      </c>
      <c r="Y1203" t="n">
        <v>164</v>
      </c>
      <c r="Z1203" t="n">
        <v>132</v>
      </c>
      <c r="AA1203" t="n">
        <v>751</v>
      </c>
      <c r="AB1203" t="n">
        <v>2</v>
      </c>
      <c r="AC1203" t="n">
        <v>7</v>
      </c>
      <c r="AD1203" t="n">
        <v>7</v>
      </c>
      <c r="AE1203" t="n">
        <v>30</v>
      </c>
      <c r="AF1203" t="n">
        <v>2</v>
      </c>
      <c r="AG1203" t="n">
        <v>11</v>
      </c>
      <c r="AH1203" t="n">
        <v>3</v>
      </c>
      <c r="AI1203" t="n">
        <v>6</v>
      </c>
      <c r="AJ1203" t="n">
        <v>4</v>
      </c>
      <c r="AK1203" t="n">
        <v>14</v>
      </c>
      <c r="AL1203" t="n">
        <v>1</v>
      </c>
      <c r="AM1203" t="n">
        <v>6</v>
      </c>
      <c r="AN1203" t="n">
        <v>0</v>
      </c>
      <c r="AO1203" t="n">
        <v>0</v>
      </c>
      <c r="AP1203" t="inlineStr">
        <is>
          <t>No</t>
        </is>
      </c>
      <c r="AQ1203" t="inlineStr">
        <is>
          <t>No</t>
        </is>
      </c>
      <c r="AS1203">
        <f>HYPERLINK("https://creighton-primo.hosted.exlibrisgroup.com/primo-explore/search?tab=default_tab&amp;search_scope=EVERYTHING&amp;vid=01CRU&amp;lang=en_US&amp;offset=0&amp;query=any,contains,991005279389702656","Catalog Record")</f>
        <v/>
      </c>
      <c r="AT1203">
        <f>HYPERLINK("http://www.worldcat.org/oclc/229342540","WorldCat Record")</f>
        <v/>
      </c>
      <c r="AU1203" t="inlineStr">
        <is>
          <t>802838982:eng</t>
        </is>
      </c>
      <c r="AV1203" t="inlineStr">
        <is>
          <t>229342540</t>
        </is>
      </c>
      <c r="AW1203" t="inlineStr">
        <is>
          <t>991005279389702656</t>
        </is>
      </c>
      <c r="AX1203" t="inlineStr">
        <is>
          <t>991005279389702656</t>
        </is>
      </c>
      <c r="AY1203" t="inlineStr">
        <is>
          <t>2260208920002656</t>
        </is>
      </c>
      <c r="AZ1203" t="inlineStr">
        <is>
          <t>BOOK</t>
        </is>
      </c>
      <c r="BB1203" t="inlineStr">
        <is>
          <t>9780761975083</t>
        </is>
      </c>
      <c r="BC1203" t="inlineStr">
        <is>
          <t>32285005472443</t>
        </is>
      </c>
      <c r="BD1203" t="inlineStr">
        <is>
          <t>893777148</t>
        </is>
      </c>
    </row>
    <row r="1204">
      <c r="A1204" t="inlineStr">
        <is>
          <t>No</t>
        </is>
      </c>
      <c r="B1204" t="inlineStr">
        <is>
          <t>LB2831.5 .L68 2007</t>
        </is>
      </c>
      <c r="C1204" t="inlineStr">
        <is>
          <t>0                      LB 2831500L  68          2007</t>
        </is>
      </c>
      <c r="D1204" t="inlineStr">
        <is>
          <t>Generations at school : building an age-friendly learning community / Suzette Lovely, Austin G. Buffum ; foreword by Roland S. Barth.</t>
        </is>
      </c>
      <c r="F1204" t="inlineStr">
        <is>
          <t>No</t>
        </is>
      </c>
      <c r="G1204" t="inlineStr">
        <is>
          <t>1</t>
        </is>
      </c>
      <c r="H1204" t="inlineStr">
        <is>
          <t>No</t>
        </is>
      </c>
      <c r="I1204" t="inlineStr">
        <is>
          <t>No</t>
        </is>
      </c>
      <c r="J1204" t="inlineStr">
        <is>
          <t>0</t>
        </is>
      </c>
      <c r="K1204" t="inlineStr">
        <is>
          <t>Lovely, Suzette, 1958-</t>
        </is>
      </c>
      <c r="L1204" t="inlineStr">
        <is>
          <t>Thousand Oaks, CA : Corwin Press, c2007.</t>
        </is>
      </c>
      <c r="M1204" t="inlineStr">
        <is>
          <t>2007</t>
        </is>
      </c>
      <c r="O1204" t="inlineStr">
        <is>
          <t>eng</t>
        </is>
      </c>
      <c r="P1204" t="inlineStr">
        <is>
          <t>cau</t>
        </is>
      </c>
      <c r="R1204" t="inlineStr">
        <is>
          <t xml:space="preserve">LB </t>
        </is>
      </c>
      <c r="S1204" t="n">
        <v>2</v>
      </c>
      <c r="T1204" t="n">
        <v>2</v>
      </c>
      <c r="U1204" t="inlineStr">
        <is>
          <t>2007-04-23</t>
        </is>
      </c>
      <c r="V1204" t="inlineStr">
        <is>
          <t>2007-04-23</t>
        </is>
      </c>
      <c r="W1204" t="inlineStr">
        <is>
          <t>2007-04-23</t>
        </is>
      </c>
      <c r="X1204" t="inlineStr">
        <is>
          <t>2007-04-23</t>
        </is>
      </c>
      <c r="Y1204" t="n">
        <v>173</v>
      </c>
      <c r="Z1204" t="n">
        <v>142</v>
      </c>
      <c r="AA1204" t="n">
        <v>160</v>
      </c>
      <c r="AB1204" t="n">
        <v>3</v>
      </c>
      <c r="AC1204" t="n">
        <v>4</v>
      </c>
      <c r="AD1204" t="n">
        <v>7</v>
      </c>
      <c r="AE1204" t="n">
        <v>9</v>
      </c>
      <c r="AF1204" t="n">
        <v>1</v>
      </c>
      <c r="AG1204" t="n">
        <v>2</v>
      </c>
      <c r="AH1204" t="n">
        <v>1</v>
      </c>
      <c r="AI1204" t="n">
        <v>2</v>
      </c>
      <c r="AJ1204" t="n">
        <v>4</v>
      </c>
      <c r="AK1204" t="n">
        <v>4</v>
      </c>
      <c r="AL1204" t="n">
        <v>2</v>
      </c>
      <c r="AM1204" t="n">
        <v>3</v>
      </c>
      <c r="AN1204" t="n">
        <v>0</v>
      </c>
      <c r="AO1204" t="n">
        <v>0</v>
      </c>
      <c r="AP1204" t="inlineStr">
        <is>
          <t>No</t>
        </is>
      </c>
      <c r="AQ1204" t="inlineStr">
        <is>
          <t>No</t>
        </is>
      </c>
      <c r="AS1204">
        <f>HYPERLINK("https://creighton-primo.hosted.exlibrisgroup.com/primo-explore/search?tab=default_tab&amp;search_scope=EVERYTHING&amp;vid=01CRU&amp;lang=en_US&amp;offset=0&amp;query=any,contains,991005073699702656","Catalog Record")</f>
        <v/>
      </c>
      <c r="AT1204">
        <f>HYPERLINK("http://www.worldcat.org/oclc/71243880","WorldCat Record")</f>
        <v/>
      </c>
      <c r="AU1204" t="inlineStr">
        <is>
          <t>1814753099:eng</t>
        </is>
      </c>
      <c r="AV1204" t="inlineStr">
        <is>
          <t>71243880</t>
        </is>
      </c>
      <c r="AW1204" t="inlineStr">
        <is>
          <t>991005073699702656</t>
        </is>
      </c>
      <c r="AX1204" t="inlineStr">
        <is>
          <t>991005073699702656</t>
        </is>
      </c>
      <c r="AY1204" t="inlineStr">
        <is>
          <t>2261288820002656</t>
        </is>
      </c>
      <c r="AZ1204" t="inlineStr">
        <is>
          <t>BOOK</t>
        </is>
      </c>
      <c r="BB1204" t="inlineStr">
        <is>
          <t>9781412927277</t>
        </is>
      </c>
      <c r="BC1204" t="inlineStr">
        <is>
          <t>32285005289136</t>
        </is>
      </c>
      <c r="BD1204" t="inlineStr">
        <is>
          <t>893902052</t>
        </is>
      </c>
    </row>
    <row r="1205">
      <c r="A1205" t="inlineStr">
        <is>
          <t>No</t>
        </is>
      </c>
      <c r="B1205" t="inlineStr">
        <is>
          <t>LB2831.57.E35 B37 2004</t>
        </is>
      </c>
      <c r="C1205" t="inlineStr">
        <is>
          <t>0                      LB 2831570E  35                 B  37          2004</t>
        </is>
      </c>
      <c r="D1205" t="inlineStr">
        <is>
          <t>Writing meaningful evaluations for non-instructional staff--right now!! : the principal's quick-start reference guide / Cornelius L. Barker, Claudette J. Searchwell.</t>
        </is>
      </c>
      <c r="F1205" t="inlineStr">
        <is>
          <t>No</t>
        </is>
      </c>
      <c r="G1205" t="inlineStr">
        <is>
          <t>1</t>
        </is>
      </c>
      <c r="H1205" t="inlineStr">
        <is>
          <t>No</t>
        </is>
      </c>
      <c r="I1205" t="inlineStr">
        <is>
          <t>No</t>
        </is>
      </c>
      <c r="J1205" t="inlineStr">
        <is>
          <t>0</t>
        </is>
      </c>
      <c r="K1205" t="inlineStr">
        <is>
          <t>Barker, Cornelius L.</t>
        </is>
      </c>
      <c r="L1205" t="inlineStr">
        <is>
          <t>Thousand Oaks, Calif. : Corwin Press, c2004.</t>
        </is>
      </c>
      <c r="M1205" t="inlineStr">
        <is>
          <t>2004</t>
        </is>
      </c>
      <c r="O1205" t="inlineStr">
        <is>
          <t>eng</t>
        </is>
      </c>
      <c r="P1205" t="inlineStr">
        <is>
          <t>cau</t>
        </is>
      </c>
      <c r="R1205" t="inlineStr">
        <is>
          <t xml:space="preserve">LB </t>
        </is>
      </c>
      <c r="S1205" t="n">
        <v>1</v>
      </c>
      <c r="T1205" t="n">
        <v>1</v>
      </c>
      <c r="U1205" t="inlineStr">
        <is>
          <t>2004-03-24</t>
        </is>
      </c>
      <c r="V1205" t="inlineStr">
        <is>
          <t>2004-03-24</t>
        </is>
      </c>
      <c r="W1205" t="inlineStr">
        <is>
          <t>2004-03-11</t>
        </is>
      </c>
      <c r="X1205" t="inlineStr">
        <is>
          <t>2004-03-11</t>
        </is>
      </c>
      <c r="Y1205" t="n">
        <v>119</v>
      </c>
      <c r="Z1205" t="n">
        <v>103</v>
      </c>
      <c r="AA1205" t="n">
        <v>104</v>
      </c>
      <c r="AB1205" t="n">
        <v>2</v>
      </c>
      <c r="AC1205" t="n">
        <v>2</v>
      </c>
      <c r="AD1205" t="n">
        <v>4</v>
      </c>
      <c r="AE1205" t="n">
        <v>4</v>
      </c>
      <c r="AF1205" t="n">
        <v>2</v>
      </c>
      <c r="AG1205" t="n">
        <v>2</v>
      </c>
      <c r="AH1205" t="n">
        <v>1</v>
      </c>
      <c r="AI1205" t="n">
        <v>1</v>
      </c>
      <c r="AJ1205" t="n">
        <v>2</v>
      </c>
      <c r="AK1205" t="n">
        <v>2</v>
      </c>
      <c r="AL1205" t="n">
        <v>1</v>
      </c>
      <c r="AM1205" t="n">
        <v>1</v>
      </c>
      <c r="AN1205" t="n">
        <v>0</v>
      </c>
      <c r="AO1205" t="n">
        <v>0</v>
      </c>
      <c r="AP1205" t="inlineStr">
        <is>
          <t>No</t>
        </is>
      </c>
      <c r="AQ1205" t="inlineStr">
        <is>
          <t>Yes</t>
        </is>
      </c>
      <c r="AR1205">
        <f>HYPERLINK("http://catalog.hathitrust.org/Record/102030872","HathiTrust Record")</f>
        <v/>
      </c>
      <c r="AS1205">
        <f>HYPERLINK("https://creighton-primo.hosted.exlibrisgroup.com/primo-explore/search?tab=default_tab&amp;search_scope=EVERYTHING&amp;vid=01CRU&amp;lang=en_US&amp;offset=0&amp;query=any,contains,991004256269702656","Catalog Record")</f>
        <v/>
      </c>
      <c r="AT1205">
        <f>HYPERLINK("http://www.worldcat.org/oclc/53178288","WorldCat Record")</f>
        <v/>
      </c>
      <c r="AU1205" t="inlineStr">
        <is>
          <t>755702:eng</t>
        </is>
      </c>
      <c r="AV1205" t="inlineStr">
        <is>
          <t>53178288</t>
        </is>
      </c>
      <c r="AW1205" t="inlineStr">
        <is>
          <t>991004256269702656</t>
        </is>
      </c>
      <c r="AX1205" t="inlineStr">
        <is>
          <t>991004256269702656</t>
        </is>
      </c>
      <c r="AY1205" t="inlineStr">
        <is>
          <t>2259984470002656</t>
        </is>
      </c>
      <c r="AZ1205" t="inlineStr">
        <is>
          <t>BOOK</t>
        </is>
      </c>
      <c r="BB1205" t="inlineStr">
        <is>
          <t>9780761929642</t>
        </is>
      </c>
      <c r="BC1205" t="inlineStr">
        <is>
          <t>32285004916747</t>
        </is>
      </c>
      <c r="BD1205" t="inlineStr">
        <is>
          <t>893810434</t>
        </is>
      </c>
    </row>
    <row r="1206">
      <c r="A1206" t="inlineStr">
        <is>
          <t>No</t>
        </is>
      </c>
      <c r="B1206" t="inlineStr">
        <is>
          <t>LB2831.58 .L38 2003</t>
        </is>
      </c>
      <c r="C1206" t="inlineStr">
        <is>
          <t>0                      LB 2831580L  38          2003</t>
        </is>
      </c>
      <c r="D1206" t="inlineStr">
        <is>
          <t>How to handle staff misconduct : a practical guide for school principals and supervisors / C. Edward Lawrence, Myra K. Vachon.</t>
        </is>
      </c>
      <c r="F1206" t="inlineStr">
        <is>
          <t>No</t>
        </is>
      </c>
      <c r="G1206" t="inlineStr">
        <is>
          <t>1</t>
        </is>
      </c>
      <c r="H1206" t="inlineStr">
        <is>
          <t>No</t>
        </is>
      </c>
      <c r="I1206" t="inlineStr">
        <is>
          <t>No</t>
        </is>
      </c>
      <c r="J1206" t="inlineStr">
        <is>
          <t>0</t>
        </is>
      </c>
      <c r="K1206" t="inlineStr">
        <is>
          <t>Lawrence, C. Edward.</t>
        </is>
      </c>
      <c r="L1206" t="inlineStr">
        <is>
          <t>Thousand Oaks, Calif. : Corwin Press, c2003.</t>
        </is>
      </c>
      <c r="M1206" t="inlineStr">
        <is>
          <t>2003</t>
        </is>
      </c>
      <c r="N1206" t="inlineStr">
        <is>
          <t>2nd ed.</t>
        </is>
      </c>
      <c r="O1206" t="inlineStr">
        <is>
          <t>eng</t>
        </is>
      </c>
      <c r="P1206" t="inlineStr">
        <is>
          <t>cau</t>
        </is>
      </c>
      <c r="R1206" t="inlineStr">
        <is>
          <t xml:space="preserve">LB </t>
        </is>
      </c>
      <c r="S1206" t="n">
        <v>1</v>
      </c>
      <c r="T1206" t="n">
        <v>1</v>
      </c>
      <c r="U1206" t="inlineStr">
        <is>
          <t>2003-04-14</t>
        </is>
      </c>
      <c r="V1206" t="inlineStr">
        <is>
          <t>2003-04-14</t>
        </is>
      </c>
      <c r="W1206" t="inlineStr">
        <is>
          <t>2003-04-14</t>
        </is>
      </c>
      <c r="X1206" t="inlineStr">
        <is>
          <t>2003-04-14</t>
        </is>
      </c>
      <c r="Y1206" t="n">
        <v>214</v>
      </c>
      <c r="Z1206" t="n">
        <v>189</v>
      </c>
      <c r="AA1206" t="n">
        <v>192</v>
      </c>
      <c r="AB1206" t="n">
        <v>5</v>
      </c>
      <c r="AC1206" t="n">
        <v>5</v>
      </c>
      <c r="AD1206" t="n">
        <v>13</v>
      </c>
      <c r="AE1206" t="n">
        <v>13</v>
      </c>
      <c r="AF1206" t="n">
        <v>3</v>
      </c>
      <c r="AG1206" t="n">
        <v>3</v>
      </c>
      <c r="AH1206" t="n">
        <v>1</v>
      </c>
      <c r="AI1206" t="n">
        <v>1</v>
      </c>
      <c r="AJ1206" t="n">
        <v>8</v>
      </c>
      <c r="AK1206" t="n">
        <v>8</v>
      </c>
      <c r="AL1206" t="n">
        <v>4</v>
      </c>
      <c r="AM1206" t="n">
        <v>4</v>
      </c>
      <c r="AN1206" t="n">
        <v>0</v>
      </c>
      <c r="AO1206" t="n">
        <v>0</v>
      </c>
      <c r="AP1206" t="inlineStr">
        <is>
          <t>No</t>
        </is>
      </c>
      <c r="AQ1206" t="inlineStr">
        <is>
          <t>No</t>
        </is>
      </c>
      <c r="AS1206">
        <f>HYPERLINK("https://creighton-primo.hosted.exlibrisgroup.com/primo-explore/search?tab=default_tab&amp;search_scope=EVERYTHING&amp;vid=01CRU&amp;lang=en_US&amp;offset=0&amp;query=any,contains,991004037019702656","Catalog Record")</f>
        <v/>
      </c>
      <c r="AT1206">
        <f>HYPERLINK("http://www.worldcat.org/oclc/51028950","WorldCat Record")</f>
        <v/>
      </c>
      <c r="AU1206" t="inlineStr">
        <is>
          <t>2287899952:eng</t>
        </is>
      </c>
      <c r="AV1206" t="inlineStr">
        <is>
          <t>51028950</t>
        </is>
      </c>
      <c r="AW1206" t="inlineStr">
        <is>
          <t>991004037019702656</t>
        </is>
      </c>
      <c r="AX1206" t="inlineStr">
        <is>
          <t>991004037019702656</t>
        </is>
      </c>
      <c r="AY1206" t="inlineStr">
        <is>
          <t>2268081980002656</t>
        </is>
      </c>
      <c r="AZ1206" t="inlineStr">
        <is>
          <t>BOOK</t>
        </is>
      </c>
      <c r="BB1206" t="inlineStr">
        <is>
          <t>9780761938149</t>
        </is>
      </c>
      <c r="BC1206" t="inlineStr">
        <is>
          <t>32285004741509</t>
        </is>
      </c>
      <c r="BD1206" t="inlineStr">
        <is>
          <t>893810325</t>
        </is>
      </c>
    </row>
    <row r="1207">
      <c r="A1207" t="inlineStr">
        <is>
          <t>No</t>
        </is>
      </c>
      <c r="B1207" t="inlineStr">
        <is>
          <t>LB2831.58 .S67 2009</t>
        </is>
      </c>
      <c r="C1207" t="inlineStr">
        <is>
          <t>0                      LB 2831580S  67          2009</t>
        </is>
      </c>
      <c r="D1207" t="inlineStr">
        <is>
          <t>The principal's guide to managing school personnel / Richard D. Sorenson, Lloyd M. Goldsmith.</t>
        </is>
      </c>
      <c r="F1207" t="inlineStr">
        <is>
          <t>No</t>
        </is>
      </c>
      <c r="G1207" t="inlineStr">
        <is>
          <t>1</t>
        </is>
      </c>
      <c r="H1207" t="inlineStr">
        <is>
          <t>No</t>
        </is>
      </c>
      <c r="I1207" t="inlineStr">
        <is>
          <t>No</t>
        </is>
      </c>
      <c r="J1207" t="inlineStr">
        <is>
          <t>0</t>
        </is>
      </c>
      <c r="K1207" t="inlineStr">
        <is>
          <t>Sorenson, Richard D.</t>
        </is>
      </c>
      <c r="L1207" t="inlineStr">
        <is>
          <t>Thousand Oaks, Calif. : Corwin Press, c2009.</t>
        </is>
      </c>
      <c r="M1207" t="inlineStr">
        <is>
          <t>2009</t>
        </is>
      </c>
      <c r="O1207" t="inlineStr">
        <is>
          <t>eng</t>
        </is>
      </c>
      <c r="P1207" t="inlineStr">
        <is>
          <t>cau</t>
        </is>
      </c>
      <c r="R1207" t="inlineStr">
        <is>
          <t xml:space="preserve">LB </t>
        </is>
      </c>
      <c r="S1207" t="n">
        <v>1</v>
      </c>
      <c r="T1207" t="n">
        <v>1</v>
      </c>
      <c r="U1207" t="inlineStr">
        <is>
          <t>2009-02-23</t>
        </is>
      </c>
      <c r="V1207" t="inlineStr">
        <is>
          <t>2009-02-23</t>
        </is>
      </c>
      <c r="W1207" t="inlineStr">
        <is>
          <t>2009-02-23</t>
        </is>
      </c>
      <c r="X1207" t="inlineStr">
        <is>
          <t>2009-02-23</t>
        </is>
      </c>
      <c r="Y1207" t="n">
        <v>167</v>
      </c>
      <c r="Z1207" t="n">
        <v>135</v>
      </c>
      <c r="AA1207" t="n">
        <v>510</v>
      </c>
      <c r="AB1207" t="n">
        <v>2</v>
      </c>
      <c r="AC1207" t="n">
        <v>5</v>
      </c>
      <c r="AD1207" t="n">
        <v>10</v>
      </c>
      <c r="AE1207" t="n">
        <v>17</v>
      </c>
      <c r="AF1207" t="n">
        <v>3</v>
      </c>
      <c r="AG1207" t="n">
        <v>6</v>
      </c>
      <c r="AH1207" t="n">
        <v>1</v>
      </c>
      <c r="AI1207" t="n">
        <v>3</v>
      </c>
      <c r="AJ1207" t="n">
        <v>8</v>
      </c>
      <c r="AK1207" t="n">
        <v>10</v>
      </c>
      <c r="AL1207" t="n">
        <v>1</v>
      </c>
      <c r="AM1207" t="n">
        <v>4</v>
      </c>
      <c r="AN1207" t="n">
        <v>0</v>
      </c>
      <c r="AO1207" t="n">
        <v>0</v>
      </c>
      <c r="AP1207" t="inlineStr">
        <is>
          <t>No</t>
        </is>
      </c>
      <c r="AQ1207" t="inlineStr">
        <is>
          <t>No</t>
        </is>
      </c>
      <c r="AS1207">
        <f>HYPERLINK("https://creighton-primo.hosted.exlibrisgroup.com/primo-explore/search?tab=default_tab&amp;search_scope=EVERYTHING&amp;vid=01CRU&amp;lang=en_US&amp;offset=0&amp;query=any,contains,991005297469702656","Catalog Record")</f>
        <v/>
      </c>
      <c r="AT1207">
        <f>HYPERLINK("http://www.worldcat.org/oclc/232605751","WorldCat Record")</f>
        <v/>
      </c>
      <c r="AU1207" t="inlineStr">
        <is>
          <t>139112654:eng</t>
        </is>
      </c>
      <c r="AV1207" t="inlineStr">
        <is>
          <t>232605751</t>
        </is>
      </c>
      <c r="AW1207" t="inlineStr">
        <is>
          <t>991005297469702656</t>
        </is>
      </c>
      <c r="AX1207" t="inlineStr">
        <is>
          <t>991005297469702656</t>
        </is>
      </c>
      <c r="AY1207" t="inlineStr">
        <is>
          <t>2268814540002656</t>
        </is>
      </c>
      <c r="AZ1207" t="inlineStr">
        <is>
          <t>BOOK</t>
        </is>
      </c>
      <c r="BB1207" t="inlineStr">
        <is>
          <t>9781412961226</t>
        </is>
      </c>
      <c r="BC1207" t="inlineStr">
        <is>
          <t>32285005505697</t>
        </is>
      </c>
      <c r="BD1207" t="inlineStr">
        <is>
          <t>893326537</t>
        </is>
      </c>
    </row>
    <row r="1208">
      <c r="A1208" t="inlineStr">
        <is>
          <t>No</t>
        </is>
      </c>
      <c r="B1208" t="inlineStr">
        <is>
          <t>LB2831.6 .H56 2009</t>
        </is>
      </c>
      <c r="C1208" t="inlineStr">
        <is>
          <t>0                      LB 2831600H  56          2009</t>
        </is>
      </c>
      <c r="D1208" t="inlineStr">
        <is>
          <t>People first : the school leader's guide to building &amp; cultivating relationships with teachers / Jennifer Hindman, Angela Seiders, and Leslie Grant.</t>
        </is>
      </c>
      <c r="F1208" t="inlineStr">
        <is>
          <t>No</t>
        </is>
      </c>
      <c r="G1208" t="inlineStr">
        <is>
          <t>1</t>
        </is>
      </c>
      <c r="H1208" t="inlineStr">
        <is>
          <t>No</t>
        </is>
      </c>
      <c r="I1208" t="inlineStr">
        <is>
          <t>No</t>
        </is>
      </c>
      <c r="J1208" t="inlineStr">
        <is>
          <t>0</t>
        </is>
      </c>
      <c r="K1208" t="inlineStr">
        <is>
          <t>Hindman, Jennifer L., 1971-</t>
        </is>
      </c>
      <c r="L1208" t="inlineStr">
        <is>
          <t>Larchmont, NY : Eye On Education, c2009.</t>
        </is>
      </c>
      <c r="M1208" t="inlineStr">
        <is>
          <t>2008</t>
        </is>
      </c>
      <c r="O1208" t="inlineStr">
        <is>
          <t>eng</t>
        </is>
      </c>
      <c r="P1208" t="inlineStr">
        <is>
          <t>nyu</t>
        </is>
      </c>
      <c r="R1208" t="inlineStr">
        <is>
          <t xml:space="preserve">LB </t>
        </is>
      </c>
      <c r="S1208" t="n">
        <v>1</v>
      </c>
      <c r="T1208" t="n">
        <v>1</v>
      </c>
      <c r="U1208" t="inlineStr">
        <is>
          <t>2009-05-20</t>
        </is>
      </c>
      <c r="V1208" t="inlineStr">
        <is>
          <t>2009-05-20</t>
        </is>
      </c>
      <c r="W1208" t="inlineStr">
        <is>
          <t>2009-05-20</t>
        </is>
      </c>
      <c r="X1208" t="inlineStr">
        <is>
          <t>2009-05-20</t>
        </is>
      </c>
      <c r="Y1208" t="n">
        <v>73</v>
      </c>
      <c r="Z1208" t="n">
        <v>52</v>
      </c>
      <c r="AA1208" t="n">
        <v>75</v>
      </c>
      <c r="AB1208" t="n">
        <v>1</v>
      </c>
      <c r="AC1208" t="n">
        <v>1</v>
      </c>
      <c r="AD1208" t="n">
        <v>1</v>
      </c>
      <c r="AE1208" t="n">
        <v>1</v>
      </c>
      <c r="AF1208" t="n">
        <v>1</v>
      </c>
      <c r="AG1208" t="n">
        <v>1</v>
      </c>
      <c r="AH1208" t="n">
        <v>0</v>
      </c>
      <c r="AI1208" t="n">
        <v>0</v>
      </c>
      <c r="AJ1208" t="n">
        <v>0</v>
      </c>
      <c r="AK1208" t="n">
        <v>0</v>
      </c>
      <c r="AL1208" t="n">
        <v>0</v>
      </c>
      <c r="AM1208" t="n">
        <v>0</v>
      </c>
      <c r="AN1208" t="n">
        <v>0</v>
      </c>
      <c r="AO1208" t="n">
        <v>0</v>
      </c>
      <c r="AP1208" t="inlineStr">
        <is>
          <t>No</t>
        </is>
      </c>
      <c r="AQ1208" t="inlineStr">
        <is>
          <t>No</t>
        </is>
      </c>
      <c r="AS1208">
        <f>HYPERLINK("https://creighton-primo.hosted.exlibrisgroup.com/primo-explore/search?tab=default_tab&amp;search_scope=EVERYTHING&amp;vid=01CRU&amp;lang=en_US&amp;offset=0&amp;query=any,contains,991005314409702656","Catalog Record")</f>
        <v/>
      </c>
      <c r="AT1208">
        <f>HYPERLINK("http://www.worldcat.org/oclc/263498114","WorldCat Record")</f>
        <v/>
      </c>
      <c r="AU1208" t="inlineStr">
        <is>
          <t>1028076318:eng</t>
        </is>
      </c>
      <c r="AV1208" t="inlineStr">
        <is>
          <t>263498114</t>
        </is>
      </c>
      <c r="AW1208" t="inlineStr">
        <is>
          <t>991005314409702656</t>
        </is>
      </c>
      <c r="AX1208" t="inlineStr">
        <is>
          <t>991005314409702656</t>
        </is>
      </c>
      <c r="AY1208" t="inlineStr">
        <is>
          <t>2269652860002656</t>
        </is>
      </c>
      <c r="AZ1208" t="inlineStr">
        <is>
          <t>BOOK</t>
        </is>
      </c>
      <c r="BB1208" t="inlineStr">
        <is>
          <t>9781596671133</t>
        </is>
      </c>
      <c r="BC1208" t="inlineStr">
        <is>
          <t>32285005532782</t>
        </is>
      </c>
      <c r="BD1208" t="inlineStr">
        <is>
          <t>893902469</t>
        </is>
      </c>
    </row>
    <row r="1209">
      <c r="A1209" t="inlineStr">
        <is>
          <t>No</t>
        </is>
      </c>
      <c r="B1209" t="inlineStr">
        <is>
          <t>LB2831.62 .P75 1994</t>
        </is>
      </c>
      <c r="C1209" t="inlineStr">
        <is>
          <t>0                      LB 2831620P  75          1994</t>
        </is>
      </c>
      <c r="D1209" t="inlineStr">
        <is>
          <t>The Principal as leader / Larry W. Hughes, editor.</t>
        </is>
      </c>
      <c r="F1209" t="inlineStr">
        <is>
          <t>No</t>
        </is>
      </c>
      <c r="G1209" t="inlineStr">
        <is>
          <t>1</t>
        </is>
      </c>
      <c r="H1209" t="inlineStr">
        <is>
          <t>No</t>
        </is>
      </c>
      <c r="I1209" t="inlineStr">
        <is>
          <t>No</t>
        </is>
      </c>
      <c r="J1209" t="inlineStr">
        <is>
          <t>0</t>
        </is>
      </c>
      <c r="L1209" t="inlineStr">
        <is>
          <t>New York : Merrill, c1994.</t>
        </is>
      </c>
      <c r="M1209" t="inlineStr">
        <is>
          <t>1994</t>
        </is>
      </c>
      <c r="O1209" t="inlineStr">
        <is>
          <t>eng</t>
        </is>
      </c>
      <c r="P1209" t="inlineStr">
        <is>
          <t>nju</t>
        </is>
      </c>
      <c r="R1209" t="inlineStr">
        <is>
          <t xml:space="preserve">LB </t>
        </is>
      </c>
      <c r="S1209" t="n">
        <v>2</v>
      </c>
      <c r="T1209" t="n">
        <v>2</v>
      </c>
      <c r="U1209" t="inlineStr">
        <is>
          <t>2003-05-04</t>
        </is>
      </c>
      <c r="V1209" t="inlineStr">
        <is>
          <t>2003-05-04</t>
        </is>
      </c>
      <c r="W1209" t="inlineStr">
        <is>
          <t>1996-05-22</t>
        </is>
      </c>
      <c r="X1209" t="inlineStr">
        <is>
          <t>1996-05-22</t>
        </is>
      </c>
      <c r="Y1209" t="n">
        <v>176</v>
      </c>
      <c r="Z1209" t="n">
        <v>152</v>
      </c>
      <c r="AA1209" t="n">
        <v>263</v>
      </c>
      <c r="AB1209" t="n">
        <v>2</v>
      </c>
      <c r="AC1209" t="n">
        <v>4</v>
      </c>
      <c r="AD1209" t="n">
        <v>8</v>
      </c>
      <c r="AE1209" t="n">
        <v>16</v>
      </c>
      <c r="AF1209" t="n">
        <v>2</v>
      </c>
      <c r="AG1209" t="n">
        <v>4</v>
      </c>
      <c r="AH1209" t="n">
        <v>2</v>
      </c>
      <c r="AI1209" t="n">
        <v>5</v>
      </c>
      <c r="AJ1209" t="n">
        <v>4</v>
      </c>
      <c r="AK1209" t="n">
        <v>6</v>
      </c>
      <c r="AL1209" t="n">
        <v>1</v>
      </c>
      <c r="AM1209" t="n">
        <v>3</v>
      </c>
      <c r="AN1209" t="n">
        <v>0</v>
      </c>
      <c r="AO1209" t="n">
        <v>0</v>
      </c>
      <c r="AP1209" t="inlineStr">
        <is>
          <t>No</t>
        </is>
      </c>
      <c r="AQ1209" t="inlineStr">
        <is>
          <t>Yes</t>
        </is>
      </c>
      <c r="AR1209">
        <f>HYPERLINK("http://catalog.hathitrust.org/Record/002797863","HathiTrust Record")</f>
        <v/>
      </c>
      <c r="AS1209">
        <f>HYPERLINK("https://creighton-primo.hosted.exlibrisgroup.com/primo-explore/search?tab=default_tab&amp;search_scope=EVERYTHING&amp;vid=01CRU&amp;lang=en_US&amp;offset=0&amp;query=any,contains,991002195129702656","Catalog Record")</f>
        <v/>
      </c>
      <c r="AT1209">
        <f>HYPERLINK("http://www.worldcat.org/oclc/28221449","WorldCat Record")</f>
        <v/>
      </c>
      <c r="AU1209" t="inlineStr">
        <is>
          <t>55714188:eng</t>
        </is>
      </c>
      <c r="AV1209" t="inlineStr">
        <is>
          <t>28221449</t>
        </is>
      </c>
      <c r="AW1209" t="inlineStr">
        <is>
          <t>991002195129702656</t>
        </is>
      </c>
      <c r="AX1209" t="inlineStr">
        <is>
          <t>991002195129702656</t>
        </is>
      </c>
      <c r="AY1209" t="inlineStr">
        <is>
          <t>2261547240002656</t>
        </is>
      </c>
      <c r="AZ1209" t="inlineStr">
        <is>
          <t>BOOK</t>
        </is>
      </c>
      <c r="BB1209" t="inlineStr">
        <is>
          <t>9780023584411</t>
        </is>
      </c>
      <c r="BC1209" t="inlineStr">
        <is>
          <t>32285002177045</t>
        </is>
      </c>
      <c r="BD1209" t="inlineStr">
        <is>
          <t>893773316</t>
        </is>
      </c>
    </row>
    <row r="1210">
      <c r="A1210" t="inlineStr">
        <is>
          <t>No</t>
        </is>
      </c>
      <c r="B1210" t="inlineStr">
        <is>
          <t>LB2831.8 .L68 2004</t>
        </is>
      </c>
      <c r="C1210" t="inlineStr">
        <is>
          <t>0                      LB 2831800L  68          2004</t>
        </is>
      </c>
      <c r="D1210" t="inlineStr">
        <is>
          <t>If it's not broken -- polish it! : what you need to know (and practice) to be a more successful school administrator &amp; organizational leader (what the textbooks don't tell you!) / O.K. LoVette.</t>
        </is>
      </c>
      <c r="F1210" t="inlineStr">
        <is>
          <t>No</t>
        </is>
      </c>
      <c r="G1210" t="inlineStr">
        <is>
          <t>1</t>
        </is>
      </c>
      <c r="H1210" t="inlineStr">
        <is>
          <t>No</t>
        </is>
      </c>
      <c r="I1210" t="inlineStr">
        <is>
          <t>No</t>
        </is>
      </c>
      <c r="J1210" t="inlineStr">
        <is>
          <t>0</t>
        </is>
      </c>
      <c r="K1210" t="inlineStr">
        <is>
          <t>LoVette, O. K.</t>
        </is>
      </c>
      <c r="L1210" t="inlineStr">
        <is>
          <t>Lanham, Md. : University Press of America, c2004.</t>
        </is>
      </c>
      <c r="M1210" t="inlineStr">
        <is>
          <t>2004</t>
        </is>
      </c>
      <c r="O1210" t="inlineStr">
        <is>
          <t>eng</t>
        </is>
      </c>
      <c r="P1210" t="inlineStr">
        <is>
          <t>mdu</t>
        </is>
      </c>
      <c r="R1210" t="inlineStr">
        <is>
          <t xml:space="preserve">LB </t>
        </is>
      </c>
      <c r="S1210" t="n">
        <v>1</v>
      </c>
      <c r="T1210" t="n">
        <v>1</v>
      </c>
      <c r="U1210" t="inlineStr">
        <is>
          <t>2005-05-19</t>
        </is>
      </c>
      <c r="V1210" t="inlineStr">
        <is>
          <t>2005-05-19</t>
        </is>
      </c>
      <c r="W1210" t="inlineStr">
        <is>
          <t>2005-05-19</t>
        </is>
      </c>
      <c r="X1210" t="inlineStr">
        <is>
          <t>2005-05-19</t>
        </is>
      </c>
      <c r="Y1210" t="n">
        <v>102</v>
      </c>
      <c r="Z1210" t="n">
        <v>90</v>
      </c>
      <c r="AA1210" t="n">
        <v>90</v>
      </c>
      <c r="AB1210" t="n">
        <v>2</v>
      </c>
      <c r="AC1210" t="n">
        <v>2</v>
      </c>
      <c r="AD1210" t="n">
        <v>3</v>
      </c>
      <c r="AE1210" t="n">
        <v>3</v>
      </c>
      <c r="AF1210" t="n">
        <v>0</v>
      </c>
      <c r="AG1210" t="n">
        <v>0</v>
      </c>
      <c r="AH1210" t="n">
        <v>0</v>
      </c>
      <c r="AI1210" t="n">
        <v>0</v>
      </c>
      <c r="AJ1210" t="n">
        <v>2</v>
      </c>
      <c r="AK1210" t="n">
        <v>2</v>
      </c>
      <c r="AL1210" t="n">
        <v>1</v>
      </c>
      <c r="AM1210" t="n">
        <v>1</v>
      </c>
      <c r="AN1210" t="n">
        <v>0</v>
      </c>
      <c r="AO1210" t="n">
        <v>0</v>
      </c>
      <c r="AP1210" t="inlineStr">
        <is>
          <t>No</t>
        </is>
      </c>
      <c r="AQ1210" t="inlineStr">
        <is>
          <t>No</t>
        </is>
      </c>
      <c r="AS1210">
        <f>HYPERLINK("https://creighton-primo.hosted.exlibrisgroup.com/primo-explore/search?tab=default_tab&amp;search_scope=EVERYTHING&amp;vid=01CRU&amp;lang=en_US&amp;offset=0&amp;query=any,contains,991004552739702656","Catalog Record")</f>
        <v/>
      </c>
      <c r="AT1210">
        <f>HYPERLINK("http://www.worldcat.org/oclc/57666053","WorldCat Record")</f>
        <v/>
      </c>
      <c r="AU1210" t="inlineStr">
        <is>
          <t>898571:eng</t>
        </is>
      </c>
      <c r="AV1210" t="inlineStr">
        <is>
          <t>57666053</t>
        </is>
      </c>
      <c r="AW1210" t="inlineStr">
        <is>
          <t>991004552739702656</t>
        </is>
      </c>
      <c r="AX1210" t="inlineStr">
        <is>
          <t>991004552739702656</t>
        </is>
      </c>
      <c r="AY1210" t="inlineStr">
        <is>
          <t>2255815640002656</t>
        </is>
      </c>
      <c r="AZ1210" t="inlineStr">
        <is>
          <t>BOOK</t>
        </is>
      </c>
      <c r="BB1210" t="inlineStr">
        <is>
          <t>9780761829478</t>
        </is>
      </c>
      <c r="BC1210" t="inlineStr">
        <is>
          <t>32285005037931</t>
        </is>
      </c>
      <c r="BD1210" t="inlineStr">
        <is>
          <t>893776151</t>
        </is>
      </c>
    </row>
    <row r="1211">
      <c r="A1211" t="inlineStr">
        <is>
          <t>No</t>
        </is>
      </c>
      <c r="B1211" t="inlineStr">
        <is>
          <t>LB2831.8 .R36 2010</t>
        </is>
      </c>
      <c r="C1211" t="inlineStr">
        <is>
          <t>0                      LB 2831800R  36          2010</t>
        </is>
      </c>
      <c r="D1211" t="inlineStr">
        <is>
          <t>Lifelong leadership by design : how to do more good for kids and feel better about your life's work / Robert D. Ramsey.</t>
        </is>
      </c>
      <c r="F1211" t="inlineStr">
        <is>
          <t>No</t>
        </is>
      </c>
      <c r="G1211" t="inlineStr">
        <is>
          <t>1</t>
        </is>
      </c>
      <c r="H1211" t="inlineStr">
        <is>
          <t>No</t>
        </is>
      </c>
      <c r="I1211" t="inlineStr">
        <is>
          <t>No</t>
        </is>
      </c>
      <c r="J1211" t="inlineStr">
        <is>
          <t>0</t>
        </is>
      </c>
      <c r="K1211" t="inlineStr">
        <is>
          <t>Ramsey, Robert D.</t>
        </is>
      </c>
      <c r="L1211" t="inlineStr">
        <is>
          <t>Thousand Oaks, Calif. : Corwin, c2010.</t>
        </is>
      </c>
      <c r="M1211" t="inlineStr">
        <is>
          <t>2010</t>
        </is>
      </c>
      <c r="O1211" t="inlineStr">
        <is>
          <t>eng</t>
        </is>
      </c>
      <c r="P1211" t="inlineStr">
        <is>
          <t>cau</t>
        </is>
      </c>
      <c r="R1211" t="inlineStr">
        <is>
          <t xml:space="preserve">LB </t>
        </is>
      </c>
      <c r="S1211" t="n">
        <v>1</v>
      </c>
      <c r="T1211" t="n">
        <v>1</v>
      </c>
      <c r="U1211" t="inlineStr">
        <is>
          <t>2010-02-16</t>
        </is>
      </c>
      <c r="V1211" t="inlineStr">
        <is>
          <t>2010-02-16</t>
        </is>
      </c>
      <c r="W1211" t="inlineStr">
        <is>
          <t>2010-02-16</t>
        </is>
      </c>
      <c r="X1211" t="inlineStr">
        <is>
          <t>2010-02-16</t>
        </is>
      </c>
      <c r="Y1211" t="n">
        <v>115</v>
      </c>
      <c r="Z1211" t="n">
        <v>89</v>
      </c>
      <c r="AA1211" t="n">
        <v>111</v>
      </c>
      <c r="AB1211" t="n">
        <v>2</v>
      </c>
      <c r="AC1211" t="n">
        <v>3</v>
      </c>
      <c r="AD1211" t="n">
        <v>6</v>
      </c>
      <c r="AE1211" t="n">
        <v>8</v>
      </c>
      <c r="AF1211" t="n">
        <v>2</v>
      </c>
      <c r="AG1211" t="n">
        <v>3</v>
      </c>
      <c r="AH1211" t="n">
        <v>2</v>
      </c>
      <c r="AI1211" t="n">
        <v>3</v>
      </c>
      <c r="AJ1211" t="n">
        <v>3</v>
      </c>
      <c r="AK1211" t="n">
        <v>3</v>
      </c>
      <c r="AL1211" t="n">
        <v>1</v>
      </c>
      <c r="AM1211" t="n">
        <v>2</v>
      </c>
      <c r="AN1211" t="n">
        <v>0</v>
      </c>
      <c r="AO1211" t="n">
        <v>0</v>
      </c>
      <c r="AP1211" t="inlineStr">
        <is>
          <t>No</t>
        </is>
      </c>
      <c r="AQ1211" t="inlineStr">
        <is>
          <t>No</t>
        </is>
      </c>
      <c r="AS1211">
        <f>HYPERLINK("https://creighton-primo.hosted.exlibrisgroup.com/primo-explore/search?tab=default_tab&amp;search_scope=EVERYTHING&amp;vid=01CRU&amp;lang=en_US&amp;offset=0&amp;query=any,contains,991005365849702656","Catalog Record")</f>
        <v/>
      </c>
      <c r="AT1211">
        <f>HYPERLINK("http://www.worldcat.org/oclc/326626407","WorldCat Record")</f>
        <v/>
      </c>
      <c r="AU1211" t="inlineStr">
        <is>
          <t>205008472:eng</t>
        </is>
      </c>
      <c r="AV1211" t="inlineStr">
        <is>
          <t>326626407</t>
        </is>
      </c>
      <c r="AW1211" t="inlineStr">
        <is>
          <t>991005365849702656</t>
        </is>
      </c>
      <c r="AX1211" t="inlineStr">
        <is>
          <t>991005365849702656</t>
        </is>
      </c>
      <c r="AY1211" t="inlineStr">
        <is>
          <t>2270963690002656</t>
        </is>
      </c>
      <c r="AZ1211" t="inlineStr">
        <is>
          <t>BOOK</t>
        </is>
      </c>
      <c r="BB1211" t="inlineStr">
        <is>
          <t>9781412969055</t>
        </is>
      </c>
      <c r="BC1211" t="inlineStr">
        <is>
          <t>32285005574206</t>
        </is>
      </c>
      <c r="BD1211" t="inlineStr">
        <is>
          <t>893521037</t>
        </is>
      </c>
    </row>
    <row r="1212">
      <c r="A1212" t="inlineStr">
        <is>
          <t>No</t>
        </is>
      </c>
      <c r="B1212" t="inlineStr">
        <is>
          <t>LB2831.9 .B575 2004</t>
        </is>
      </c>
      <c r="C1212" t="inlineStr">
        <is>
          <t>0                      LB 2831900B  575         2004</t>
        </is>
      </c>
      <c r="D1212" t="inlineStr">
        <is>
          <t>Survival skills for the principalship : a treasure chest of time-savers, short-cuts, and strategies to help you keep a balance in your life / John Blaydes.</t>
        </is>
      </c>
      <c r="F1212" t="inlineStr">
        <is>
          <t>No</t>
        </is>
      </c>
      <c r="G1212" t="inlineStr">
        <is>
          <t>1</t>
        </is>
      </c>
      <c r="H1212" t="inlineStr">
        <is>
          <t>No</t>
        </is>
      </c>
      <c r="I1212" t="inlineStr">
        <is>
          <t>No</t>
        </is>
      </c>
      <c r="J1212" t="inlineStr">
        <is>
          <t>0</t>
        </is>
      </c>
      <c r="K1212" t="inlineStr">
        <is>
          <t>Blaydes, John.</t>
        </is>
      </c>
      <c r="L1212" t="inlineStr">
        <is>
          <t>Thousand Oaks, Calif. : Corwin Press, c2004.</t>
        </is>
      </c>
      <c r="M1212" t="inlineStr">
        <is>
          <t>2004</t>
        </is>
      </c>
      <c r="O1212" t="inlineStr">
        <is>
          <t>eng</t>
        </is>
      </c>
      <c r="P1212" t="inlineStr">
        <is>
          <t>cau</t>
        </is>
      </c>
      <c r="R1212" t="inlineStr">
        <is>
          <t xml:space="preserve">LB </t>
        </is>
      </c>
      <c r="S1212" t="n">
        <v>1</v>
      </c>
      <c r="T1212" t="n">
        <v>1</v>
      </c>
      <c r="U1212" t="inlineStr">
        <is>
          <t>2004-03-15</t>
        </is>
      </c>
      <c r="V1212" t="inlineStr">
        <is>
          <t>2004-03-15</t>
        </is>
      </c>
      <c r="W1212" t="inlineStr">
        <is>
          <t>2004-03-15</t>
        </is>
      </c>
      <c r="X1212" t="inlineStr">
        <is>
          <t>2004-03-15</t>
        </is>
      </c>
      <c r="Y1212" t="n">
        <v>218</v>
      </c>
      <c r="Z1212" t="n">
        <v>179</v>
      </c>
      <c r="AA1212" t="n">
        <v>180</v>
      </c>
      <c r="AB1212" t="n">
        <v>2</v>
      </c>
      <c r="AC1212" t="n">
        <v>2</v>
      </c>
      <c r="AD1212" t="n">
        <v>10</v>
      </c>
      <c r="AE1212" t="n">
        <v>10</v>
      </c>
      <c r="AF1212" t="n">
        <v>4</v>
      </c>
      <c r="AG1212" t="n">
        <v>4</v>
      </c>
      <c r="AH1212" t="n">
        <v>1</v>
      </c>
      <c r="AI1212" t="n">
        <v>1</v>
      </c>
      <c r="AJ1212" t="n">
        <v>7</v>
      </c>
      <c r="AK1212" t="n">
        <v>7</v>
      </c>
      <c r="AL1212" t="n">
        <v>1</v>
      </c>
      <c r="AM1212" t="n">
        <v>1</v>
      </c>
      <c r="AN1212" t="n">
        <v>0</v>
      </c>
      <c r="AO1212" t="n">
        <v>0</v>
      </c>
      <c r="AP1212" t="inlineStr">
        <is>
          <t>No</t>
        </is>
      </c>
      <c r="AQ1212" t="inlineStr">
        <is>
          <t>No</t>
        </is>
      </c>
      <c r="AS1212">
        <f>HYPERLINK("https://creighton-primo.hosted.exlibrisgroup.com/primo-explore/search?tab=default_tab&amp;search_scope=EVERYTHING&amp;vid=01CRU&amp;lang=en_US&amp;offset=0&amp;query=any,contains,991004256099702656","Catalog Record")</f>
        <v/>
      </c>
      <c r="AT1212">
        <f>HYPERLINK("http://www.worldcat.org/oclc/53138742","WorldCat Record")</f>
        <v/>
      </c>
      <c r="AU1212" t="inlineStr">
        <is>
          <t>837843261:eng</t>
        </is>
      </c>
      <c r="AV1212" t="inlineStr">
        <is>
          <t>53138742</t>
        </is>
      </c>
      <c r="AW1212" t="inlineStr">
        <is>
          <t>991004256099702656</t>
        </is>
      </c>
      <c r="AX1212" t="inlineStr">
        <is>
          <t>991004256099702656</t>
        </is>
      </c>
      <c r="AY1212" t="inlineStr">
        <is>
          <t>2266202350002656</t>
        </is>
      </c>
      <c r="AZ1212" t="inlineStr">
        <is>
          <t>BOOK</t>
        </is>
      </c>
      <c r="BB1212" t="inlineStr">
        <is>
          <t>9780761938606</t>
        </is>
      </c>
      <c r="BC1212" t="inlineStr">
        <is>
          <t>32285004893565</t>
        </is>
      </c>
      <c r="BD1212" t="inlineStr">
        <is>
          <t>893436080</t>
        </is>
      </c>
    </row>
    <row r="1213">
      <c r="A1213" t="inlineStr">
        <is>
          <t>No</t>
        </is>
      </c>
      <c r="B1213" t="inlineStr">
        <is>
          <t>LB2831.9 .D84 2010</t>
        </is>
      </c>
      <c r="C1213" t="inlineStr">
        <is>
          <t>0                      LB 2831900D  84          2010</t>
        </is>
      </c>
      <c r="D1213" t="inlineStr">
        <is>
          <t>Differentiating school leadership : facing the challenges of practice / Daniel L. Duke.</t>
        </is>
      </c>
      <c r="F1213" t="inlineStr">
        <is>
          <t>No</t>
        </is>
      </c>
      <c r="G1213" t="inlineStr">
        <is>
          <t>1</t>
        </is>
      </c>
      <c r="H1213" t="inlineStr">
        <is>
          <t>No</t>
        </is>
      </c>
      <c r="I1213" t="inlineStr">
        <is>
          <t>No</t>
        </is>
      </c>
      <c r="J1213" t="inlineStr">
        <is>
          <t>0</t>
        </is>
      </c>
      <c r="K1213" t="inlineStr">
        <is>
          <t>Duke, Daniel Linden.</t>
        </is>
      </c>
      <c r="L1213" t="inlineStr">
        <is>
          <t>Thousand Oaks, Calif. : Corwin, c2010.</t>
        </is>
      </c>
      <c r="M1213" t="inlineStr">
        <is>
          <t>2010</t>
        </is>
      </c>
      <c r="O1213" t="inlineStr">
        <is>
          <t>eng</t>
        </is>
      </c>
      <c r="P1213" t="inlineStr">
        <is>
          <t>cau</t>
        </is>
      </c>
      <c r="R1213" t="inlineStr">
        <is>
          <t xml:space="preserve">LB </t>
        </is>
      </c>
      <c r="S1213" t="n">
        <v>1</v>
      </c>
      <c r="T1213" t="n">
        <v>1</v>
      </c>
      <c r="U1213" t="inlineStr">
        <is>
          <t>2010-01-14</t>
        </is>
      </c>
      <c r="V1213" t="inlineStr">
        <is>
          <t>2010-01-14</t>
        </is>
      </c>
      <c r="W1213" t="inlineStr">
        <is>
          <t>2010-01-14</t>
        </is>
      </c>
      <c r="X1213" t="inlineStr">
        <is>
          <t>2010-01-14</t>
        </is>
      </c>
      <c r="Y1213" t="n">
        <v>157</v>
      </c>
      <c r="Z1213" t="n">
        <v>121</v>
      </c>
      <c r="AA1213" t="n">
        <v>147</v>
      </c>
      <c r="AB1213" t="n">
        <v>1</v>
      </c>
      <c r="AC1213" t="n">
        <v>2</v>
      </c>
      <c r="AD1213" t="n">
        <v>9</v>
      </c>
      <c r="AE1213" t="n">
        <v>11</v>
      </c>
      <c r="AF1213" t="n">
        <v>4</v>
      </c>
      <c r="AG1213" t="n">
        <v>5</v>
      </c>
      <c r="AH1213" t="n">
        <v>1</v>
      </c>
      <c r="AI1213" t="n">
        <v>2</v>
      </c>
      <c r="AJ1213" t="n">
        <v>7</v>
      </c>
      <c r="AK1213" t="n">
        <v>7</v>
      </c>
      <c r="AL1213" t="n">
        <v>0</v>
      </c>
      <c r="AM1213" t="n">
        <v>1</v>
      </c>
      <c r="AN1213" t="n">
        <v>0</v>
      </c>
      <c r="AO1213" t="n">
        <v>0</v>
      </c>
      <c r="AP1213" t="inlineStr">
        <is>
          <t>No</t>
        </is>
      </c>
      <c r="AQ1213" t="inlineStr">
        <is>
          <t>No</t>
        </is>
      </c>
      <c r="AS1213">
        <f>HYPERLINK("https://creighton-primo.hosted.exlibrisgroup.com/primo-explore/search?tab=default_tab&amp;search_scope=EVERYTHING&amp;vid=01CRU&amp;lang=en_US&amp;offset=0&amp;query=any,contains,991005351289702656","Catalog Record")</f>
        <v/>
      </c>
      <c r="AT1213">
        <f>HYPERLINK("http://www.worldcat.org/oclc/424554946","WorldCat Record")</f>
        <v/>
      </c>
      <c r="AU1213" t="inlineStr">
        <is>
          <t>1310721037:eng</t>
        </is>
      </c>
      <c r="AV1213" t="inlineStr">
        <is>
          <t>424554946</t>
        </is>
      </c>
      <c r="AW1213" t="inlineStr">
        <is>
          <t>991005351289702656</t>
        </is>
      </c>
      <c r="AX1213" t="inlineStr">
        <is>
          <t>991005351289702656</t>
        </is>
      </c>
      <c r="AY1213" t="inlineStr">
        <is>
          <t>2262476860002656</t>
        </is>
      </c>
      <c r="AZ1213" t="inlineStr">
        <is>
          <t>BOOK</t>
        </is>
      </c>
      <c r="BB1213" t="inlineStr">
        <is>
          <t>9781412970501</t>
        </is>
      </c>
      <c r="BC1213" t="inlineStr">
        <is>
          <t>32285005557417</t>
        </is>
      </c>
      <c r="BD1213" t="inlineStr">
        <is>
          <t>893412711</t>
        </is>
      </c>
    </row>
    <row r="1214">
      <c r="A1214" t="inlineStr">
        <is>
          <t>No</t>
        </is>
      </c>
      <c r="B1214" t="inlineStr">
        <is>
          <t>LB2831.9 .J46</t>
        </is>
      </c>
      <c r="C1214" t="inlineStr">
        <is>
          <t>0                      LB 2831900J  46</t>
        </is>
      </c>
      <c r="D1214" t="inlineStr">
        <is>
          <t>Leadership and learning : personal change in a professional setting / Barry C. Jentz and Joan W. Wofford.</t>
        </is>
      </c>
      <c r="F1214" t="inlineStr">
        <is>
          <t>No</t>
        </is>
      </c>
      <c r="G1214" t="inlineStr">
        <is>
          <t>1</t>
        </is>
      </c>
      <c r="H1214" t="inlineStr">
        <is>
          <t>No</t>
        </is>
      </c>
      <c r="I1214" t="inlineStr">
        <is>
          <t>No</t>
        </is>
      </c>
      <c r="J1214" t="inlineStr">
        <is>
          <t>0</t>
        </is>
      </c>
      <c r="K1214" t="inlineStr">
        <is>
          <t>Jentz, Barry C.</t>
        </is>
      </c>
      <c r="L1214" t="inlineStr">
        <is>
          <t>[New York] : McGraw-Hill, c1979.</t>
        </is>
      </c>
      <c r="M1214" t="inlineStr">
        <is>
          <t>1979</t>
        </is>
      </c>
      <c r="O1214" t="inlineStr">
        <is>
          <t>eng</t>
        </is>
      </c>
      <c r="P1214" t="inlineStr">
        <is>
          <t>nyu</t>
        </is>
      </c>
      <c r="R1214" t="inlineStr">
        <is>
          <t xml:space="preserve">LB </t>
        </is>
      </c>
      <c r="S1214" t="n">
        <v>6</v>
      </c>
      <c r="T1214" t="n">
        <v>6</v>
      </c>
      <c r="U1214" t="inlineStr">
        <is>
          <t>2006-01-19</t>
        </is>
      </c>
      <c r="V1214" t="inlineStr">
        <is>
          <t>2006-01-19</t>
        </is>
      </c>
      <c r="W1214" t="inlineStr">
        <is>
          <t>1992-08-17</t>
        </is>
      </c>
      <c r="X1214" t="inlineStr">
        <is>
          <t>1992-08-17</t>
        </is>
      </c>
      <c r="Y1214" t="n">
        <v>362</v>
      </c>
      <c r="Z1214" t="n">
        <v>294</v>
      </c>
      <c r="AA1214" t="n">
        <v>295</v>
      </c>
      <c r="AB1214" t="n">
        <v>2</v>
      </c>
      <c r="AC1214" t="n">
        <v>2</v>
      </c>
      <c r="AD1214" t="n">
        <v>10</v>
      </c>
      <c r="AE1214" t="n">
        <v>10</v>
      </c>
      <c r="AF1214" t="n">
        <v>5</v>
      </c>
      <c r="AG1214" t="n">
        <v>5</v>
      </c>
      <c r="AH1214" t="n">
        <v>0</v>
      </c>
      <c r="AI1214" t="n">
        <v>0</v>
      </c>
      <c r="AJ1214" t="n">
        <v>7</v>
      </c>
      <c r="AK1214" t="n">
        <v>7</v>
      </c>
      <c r="AL1214" t="n">
        <v>1</v>
      </c>
      <c r="AM1214" t="n">
        <v>1</v>
      </c>
      <c r="AN1214" t="n">
        <v>0</v>
      </c>
      <c r="AO1214" t="n">
        <v>0</v>
      </c>
      <c r="AP1214" t="inlineStr">
        <is>
          <t>No</t>
        </is>
      </c>
      <c r="AQ1214" t="inlineStr">
        <is>
          <t>No</t>
        </is>
      </c>
      <c r="AS1214">
        <f>HYPERLINK("https://creighton-primo.hosted.exlibrisgroup.com/primo-explore/search?tab=default_tab&amp;search_scope=EVERYTHING&amp;vid=01CRU&amp;lang=en_US&amp;offset=0&amp;query=any,contains,991004714289702656","Catalog Record")</f>
        <v/>
      </c>
      <c r="AT1214">
        <f>HYPERLINK("http://www.worldcat.org/oclc/4775468","WorldCat Record")</f>
        <v/>
      </c>
      <c r="AU1214" t="inlineStr">
        <is>
          <t>348432804:eng</t>
        </is>
      </c>
      <c r="AV1214" t="inlineStr">
        <is>
          <t>4775468</t>
        </is>
      </c>
      <c r="AW1214" t="inlineStr">
        <is>
          <t>991004714289702656</t>
        </is>
      </c>
      <c r="AX1214" t="inlineStr">
        <is>
          <t>991004714289702656</t>
        </is>
      </c>
      <c r="AY1214" t="inlineStr">
        <is>
          <t>2255202030002656</t>
        </is>
      </c>
      <c r="AZ1214" t="inlineStr">
        <is>
          <t>BOOK</t>
        </is>
      </c>
      <c r="BB1214" t="inlineStr">
        <is>
          <t>9780070324978</t>
        </is>
      </c>
      <c r="BC1214" t="inlineStr">
        <is>
          <t>32285001260826</t>
        </is>
      </c>
      <c r="BD1214" t="inlineStr">
        <is>
          <t>893241757</t>
        </is>
      </c>
    </row>
    <row r="1215">
      <c r="A1215" t="inlineStr">
        <is>
          <t>No</t>
        </is>
      </c>
      <c r="B1215" t="inlineStr">
        <is>
          <t>LB2831.92 .A45 2008</t>
        </is>
      </c>
      <c r="C1215" t="inlineStr">
        <is>
          <t>0                      LB 2831920A  45          2008</t>
        </is>
      </c>
      <c r="D1215" t="inlineStr">
        <is>
          <t>Coaching whole school change : lessons in practice from a small high school / David Allen with Suzanne Wichterle Ort ... [et al.] ; foreword by Thomas Sobol ; afterword by Sylvia Rabiner.</t>
        </is>
      </c>
      <c r="F1215" t="inlineStr">
        <is>
          <t>No</t>
        </is>
      </c>
      <c r="G1215" t="inlineStr">
        <is>
          <t>1</t>
        </is>
      </c>
      <c r="H1215" t="inlineStr">
        <is>
          <t>No</t>
        </is>
      </c>
      <c r="I1215" t="inlineStr">
        <is>
          <t>No</t>
        </is>
      </c>
      <c r="J1215" t="inlineStr">
        <is>
          <t>0</t>
        </is>
      </c>
      <c r="K1215" t="inlineStr">
        <is>
          <t>Allen, David, 1961-</t>
        </is>
      </c>
      <c r="L1215" t="inlineStr">
        <is>
          <t>New York, NY : Teachers College Press, c2008.</t>
        </is>
      </c>
      <c r="M1215" t="inlineStr">
        <is>
          <t>2008</t>
        </is>
      </c>
      <c r="O1215" t="inlineStr">
        <is>
          <t>eng</t>
        </is>
      </c>
      <c r="P1215" t="inlineStr">
        <is>
          <t>nyu</t>
        </is>
      </c>
      <c r="R1215" t="inlineStr">
        <is>
          <t xml:space="preserve">LB </t>
        </is>
      </c>
      <c r="S1215" t="n">
        <v>1</v>
      </c>
      <c r="T1215" t="n">
        <v>1</v>
      </c>
      <c r="U1215" t="inlineStr">
        <is>
          <t>2008-11-06</t>
        </is>
      </c>
      <c r="V1215" t="inlineStr">
        <is>
          <t>2008-11-06</t>
        </is>
      </c>
      <c r="W1215" t="inlineStr">
        <is>
          <t>2008-11-06</t>
        </is>
      </c>
      <c r="X1215" t="inlineStr">
        <is>
          <t>2008-11-06</t>
        </is>
      </c>
      <c r="Y1215" t="n">
        <v>220</v>
      </c>
      <c r="Z1215" t="n">
        <v>187</v>
      </c>
      <c r="AA1215" t="n">
        <v>187</v>
      </c>
      <c r="AB1215" t="n">
        <v>2</v>
      </c>
      <c r="AC1215" t="n">
        <v>2</v>
      </c>
      <c r="AD1215" t="n">
        <v>7</v>
      </c>
      <c r="AE1215" t="n">
        <v>7</v>
      </c>
      <c r="AF1215" t="n">
        <v>3</v>
      </c>
      <c r="AG1215" t="n">
        <v>3</v>
      </c>
      <c r="AH1215" t="n">
        <v>1</v>
      </c>
      <c r="AI1215" t="n">
        <v>1</v>
      </c>
      <c r="AJ1215" t="n">
        <v>6</v>
      </c>
      <c r="AK1215" t="n">
        <v>6</v>
      </c>
      <c r="AL1215" t="n">
        <v>1</v>
      </c>
      <c r="AM1215" t="n">
        <v>1</v>
      </c>
      <c r="AN1215" t="n">
        <v>0</v>
      </c>
      <c r="AO1215" t="n">
        <v>0</v>
      </c>
      <c r="AP1215" t="inlineStr">
        <is>
          <t>No</t>
        </is>
      </c>
      <c r="AQ1215" t="inlineStr">
        <is>
          <t>No</t>
        </is>
      </c>
      <c r="AS1215">
        <f>HYPERLINK("https://creighton-primo.hosted.exlibrisgroup.com/primo-explore/search?tab=default_tab&amp;search_scope=EVERYTHING&amp;vid=01CRU&amp;lang=en_US&amp;offset=0&amp;query=any,contains,991005274709702656","Catalog Record")</f>
        <v/>
      </c>
      <c r="AT1215">
        <f>HYPERLINK("http://www.worldcat.org/oclc/230209238","WorldCat Record")</f>
        <v/>
      </c>
      <c r="AU1215" t="inlineStr">
        <is>
          <t>138421833:eng</t>
        </is>
      </c>
      <c r="AV1215" t="inlineStr">
        <is>
          <t>230209238</t>
        </is>
      </c>
      <c r="AW1215" t="inlineStr">
        <is>
          <t>991005274709702656</t>
        </is>
      </c>
      <c r="AX1215" t="inlineStr">
        <is>
          <t>991005274709702656</t>
        </is>
      </c>
      <c r="AY1215" t="inlineStr">
        <is>
          <t>2266895960002656</t>
        </is>
      </c>
      <c r="AZ1215" t="inlineStr">
        <is>
          <t>BOOK</t>
        </is>
      </c>
      <c r="BB1215" t="inlineStr">
        <is>
          <t>9780807749029</t>
        </is>
      </c>
      <c r="BC1215" t="inlineStr">
        <is>
          <t>32285005466023</t>
        </is>
      </c>
      <c r="BD1215" t="inlineStr">
        <is>
          <t>893424831</t>
        </is>
      </c>
    </row>
    <row r="1216">
      <c r="A1216" t="inlineStr">
        <is>
          <t>No</t>
        </is>
      </c>
      <c r="B1216" t="inlineStr">
        <is>
          <t>LB2831.92 .B77 2001</t>
        </is>
      </c>
      <c r="C1216" t="inlineStr">
        <is>
          <t>0                      LB 2831920B  77          2001</t>
        </is>
      </c>
      <c r="D1216" t="inlineStr">
        <is>
          <t>The principal portfolio / Genevieve Brown, Beverly J. Irby.</t>
        </is>
      </c>
      <c r="F1216" t="inlineStr">
        <is>
          <t>No</t>
        </is>
      </c>
      <c r="G1216" t="inlineStr">
        <is>
          <t>1</t>
        </is>
      </c>
      <c r="H1216" t="inlineStr">
        <is>
          <t>No</t>
        </is>
      </c>
      <c r="I1216" t="inlineStr">
        <is>
          <t>No</t>
        </is>
      </c>
      <c r="J1216" t="inlineStr">
        <is>
          <t>0</t>
        </is>
      </c>
      <c r="K1216" t="inlineStr">
        <is>
          <t>Brown, Genevieve.</t>
        </is>
      </c>
      <c r="L1216" t="inlineStr">
        <is>
          <t>Thousand Oaks, Calif. : Corwin Press, c2001.</t>
        </is>
      </c>
      <c r="M1216" t="inlineStr">
        <is>
          <t>2001</t>
        </is>
      </c>
      <c r="N1216" t="inlineStr">
        <is>
          <t>2nd ed.</t>
        </is>
      </c>
      <c r="O1216" t="inlineStr">
        <is>
          <t>eng</t>
        </is>
      </c>
      <c r="P1216" t="inlineStr">
        <is>
          <t>cau</t>
        </is>
      </c>
      <c r="R1216" t="inlineStr">
        <is>
          <t xml:space="preserve">LB </t>
        </is>
      </c>
      <c r="S1216" t="n">
        <v>1</v>
      </c>
      <c r="T1216" t="n">
        <v>1</v>
      </c>
      <c r="U1216" t="inlineStr">
        <is>
          <t>2001-06-05</t>
        </is>
      </c>
      <c r="V1216" t="inlineStr">
        <is>
          <t>2001-06-05</t>
        </is>
      </c>
      <c r="W1216" t="inlineStr">
        <is>
          <t>2001-06-04</t>
        </is>
      </c>
      <c r="X1216" t="inlineStr">
        <is>
          <t>2001-06-04</t>
        </is>
      </c>
      <c r="Y1216" t="n">
        <v>233</v>
      </c>
      <c r="Z1216" t="n">
        <v>194</v>
      </c>
      <c r="AA1216" t="n">
        <v>326</v>
      </c>
      <c r="AB1216" t="n">
        <v>4</v>
      </c>
      <c r="AC1216" t="n">
        <v>5</v>
      </c>
      <c r="AD1216" t="n">
        <v>12</v>
      </c>
      <c r="AE1216" t="n">
        <v>18</v>
      </c>
      <c r="AF1216" t="n">
        <v>3</v>
      </c>
      <c r="AG1216" t="n">
        <v>5</v>
      </c>
      <c r="AH1216" t="n">
        <v>1</v>
      </c>
      <c r="AI1216" t="n">
        <v>4</v>
      </c>
      <c r="AJ1216" t="n">
        <v>7</v>
      </c>
      <c r="AK1216" t="n">
        <v>8</v>
      </c>
      <c r="AL1216" t="n">
        <v>3</v>
      </c>
      <c r="AM1216" t="n">
        <v>4</v>
      </c>
      <c r="AN1216" t="n">
        <v>0</v>
      </c>
      <c r="AO1216" t="n">
        <v>0</v>
      </c>
      <c r="AP1216" t="inlineStr">
        <is>
          <t>No</t>
        </is>
      </c>
      <c r="AQ1216" t="inlineStr">
        <is>
          <t>No</t>
        </is>
      </c>
      <c r="AS1216">
        <f>HYPERLINK("https://creighton-primo.hosted.exlibrisgroup.com/primo-explore/search?tab=default_tab&amp;search_scope=EVERYTHING&amp;vid=01CRU&amp;lang=en_US&amp;offset=0&amp;query=any,contains,991003543849702656","Catalog Record")</f>
        <v/>
      </c>
      <c r="AT1216">
        <f>HYPERLINK("http://www.worldcat.org/oclc/45129285","WorldCat Record")</f>
        <v/>
      </c>
      <c r="AU1216" t="inlineStr">
        <is>
          <t>612723:eng</t>
        </is>
      </c>
      <c r="AV1216" t="inlineStr">
        <is>
          <t>45129285</t>
        </is>
      </c>
      <c r="AW1216" t="inlineStr">
        <is>
          <t>991003543849702656</t>
        </is>
      </c>
      <c r="AX1216" t="inlineStr">
        <is>
          <t>991003543849702656</t>
        </is>
      </c>
      <c r="AY1216" t="inlineStr">
        <is>
          <t>2260194490002656</t>
        </is>
      </c>
      <c r="AZ1216" t="inlineStr">
        <is>
          <t>BOOK</t>
        </is>
      </c>
      <c r="BB1216" t="inlineStr">
        <is>
          <t>9780761976998</t>
        </is>
      </c>
      <c r="BC1216" t="inlineStr">
        <is>
          <t>32285004319843</t>
        </is>
      </c>
      <c r="BD1216" t="inlineStr">
        <is>
          <t>893717777</t>
        </is>
      </c>
    </row>
    <row r="1217">
      <c r="A1217" t="inlineStr">
        <is>
          <t>No</t>
        </is>
      </c>
      <c r="B1217" t="inlineStr">
        <is>
          <t>LB2831.92 .D39 2002</t>
        </is>
      </c>
      <c r="C1217" t="inlineStr">
        <is>
          <t>0                      LB 2831920D  39          2002</t>
        </is>
      </c>
      <c r="D1217" t="inlineStr">
        <is>
          <t>What it means to be a principal : your guide to leadership / John C. Daresh.</t>
        </is>
      </c>
      <c r="F1217" t="inlineStr">
        <is>
          <t>No</t>
        </is>
      </c>
      <c r="G1217" t="inlineStr">
        <is>
          <t>1</t>
        </is>
      </c>
      <c r="H1217" t="inlineStr">
        <is>
          <t>No</t>
        </is>
      </c>
      <c r="I1217" t="inlineStr">
        <is>
          <t>No</t>
        </is>
      </c>
      <c r="J1217" t="inlineStr">
        <is>
          <t>0</t>
        </is>
      </c>
      <c r="K1217" t="inlineStr">
        <is>
          <t>Daresh, John C.</t>
        </is>
      </c>
      <c r="L1217" t="inlineStr">
        <is>
          <t>Thousand Oaks, Calif. : Corwin Press, c2002.</t>
        </is>
      </c>
      <c r="M1217" t="inlineStr">
        <is>
          <t>2002</t>
        </is>
      </c>
      <c r="O1217" t="inlineStr">
        <is>
          <t>eng</t>
        </is>
      </c>
      <c r="P1217" t="inlineStr">
        <is>
          <t>cau</t>
        </is>
      </c>
      <c r="R1217" t="inlineStr">
        <is>
          <t xml:space="preserve">LB </t>
        </is>
      </c>
      <c r="S1217" t="n">
        <v>2</v>
      </c>
      <c r="T1217" t="n">
        <v>2</v>
      </c>
      <c r="U1217" t="inlineStr">
        <is>
          <t>2002-02-19</t>
        </is>
      </c>
      <c r="V1217" t="inlineStr">
        <is>
          <t>2002-02-19</t>
        </is>
      </c>
      <c r="W1217" t="inlineStr">
        <is>
          <t>2001-11-20</t>
        </is>
      </c>
      <c r="X1217" t="inlineStr">
        <is>
          <t>2001-11-20</t>
        </is>
      </c>
      <c r="Y1217" t="n">
        <v>317</v>
      </c>
      <c r="Z1217" t="n">
        <v>271</v>
      </c>
      <c r="AA1217" t="n">
        <v>278</v>
      </c>
      <c r="AB1217" t="n">
        <v>5</v>
      </c>
      <c r="AC1217" t="n">
        <v>5</v>
      </c>
      <c r="AD1217" t="n">
        <v>18</v>
      </c>
      <c r="AE1217" t="n">
        <v>18</v>
      </c>
      <c r="AF1217" t="n">
        <v>6</v>
      </c>
      <c r="AG1217" t="n">
        <v>6</v>
      </c>
      <c r="AH1217" t="n">
        <v>4</v>
      </c>
      <c r="AI1217" t="n">
        <v>4</v>
      </c>
      <c r="AJ1217" t="n">
        <v>6</v>
      </c>
      <c r="AK1217" t="n">
        <v>6</v>
      </c>
      <c r="AL1217" t="n">
        <v>4</v>
      </c>
      <c r="AM1217" t="n">
        <v>4</v>
      </c>
      <c r="AN1217" t="n">
        <v>0</v>
      </c>
      <c r="AO1217" t="n">
        <v>0</v>
      </c>
      <c r="AP1217" t="inlineStr">
        <is>
          <t>No</t>
        </is>
      </c>
      <c r="AQ1217" t="inlineStr">
        <is>
          <t>Yes</t>
        </is>
      </c>
      <c r="AR1217">
        <f>HYPERLINK("http://catalog.hathitrust.org/Record/004200247","HathiTrust Record")</f>
        <v/>
      </c>
      <c r="AS1217">
        <f>HYPERLINK("https://creighton-primo.hosted.exlibrisgroup.com/primo-explore/search?tab=default_tab&amp;search_scope=EVERYTHING&amp;vid=01CRU&amp;lang=en_US&amp;offset=0&amp;query=any,contains,991003680219702656","Catalog Record")</f>
        <v/>
      </c>
      <c r="AT1217">
        <f>HYPERLINK("http://www.worldcat.org/oclc/45958050","WorldCat Record")</f>
        <v/>
      </c>
      <c r="AU1217" t="inlineStr">
        <is>
          <t>837034822:eng</t>
        </is>
      </c>
      <c r="AV1217" t="inlineStr">
        <is>
          <t>45958050</t>
        </is>
      </c>
      <c r="AW1217" t="inlineStr">
        <is>
          <t>991003680219702656</t>
        </is>
      </c>
      <c r="AX1217" t="inlineStr">
        <is>
          <t>991003680219702656</t>
        </is>
      </c>
      <c r="AY1217" t="inlineStr">
        <is>
          <t>2261429410002656</t>
        </is>
      </c>
      <c r="AZ1217" t="inlineStr">
        <is>
          <t>BOOK</t>
        </is>
      </c>
      <c r="BB1217" t="inlineStr">
        <is>
          <t>9780761921561</t>
        </is>
      </c>
      <c r="BC1217" t="inlineStr">
        <is>
          <t>32285004412887</t>
        </is>
      </c>
      <c r="BD1217" t="inlineStr">
        <is>
          <t>893512238</t>
        </is>
      </c>
    </row>
    <row r="1218">
      <c r="A1218" t="inlineStr">
        <is>
          <t>No</t>
        </is>
      </c>
      <c r="B1218" t="inlineStr">
        <is>
          <t>LB2831.92 .D42 1994</t>
        </is>
      </c>
      <c r="C1218" t="inlineStr">
        <is>
          <t>0                      LB 2831920D  42          1994</t>
        </is>
      </c>
      <c r="D1218" t="inlineStr">
        <is>
          <t>The leadership paradox : balancing logic and artistry in schools / Terrence E. Deal, Kent D. Peterson.</t>
        </is>
      </c>
      <c r="F1218" t="inlineStr">
        <is>
          <t>No</t>
        </is>
      </c>
      <c r="G1218" t="inlineStr">
        <is>
          <t>1</t>
        </is>
      </c>
      <c r="H1218" t="inlineStr">
        <is>
          <t>No</t>
        </is>
      </c>
      <c r="I1218" t="inlineStr">
        <is>
          <t>No</t>
        </is>
      </c>
      <c r="J1218" t="inlineStr">
        <is>
          <t>0</t>
        </is>
      </c>
      <c r="K1218" t="inlineStr">
        <is>
          <t>Deal, Terrence E.</t>
        </is>
      </c>
      <c r="L1218" t="inlineStr">
        <is>
          <t>San Francisco, Calif. : Jossey-Bass Publishers, c1994.</t>
        </is>
      </c>
      <c r="M1218" t="inlineStr">
        <is>
          <t>1994</t>
        </is>
      </c>
      <c r="N1218" t="inlineStr">
        <is>
          <t>1st ed.</t>
        </is>
      </c>
      <c r="O1218" t="inlineStr">
        <is>
          <t>eng</t>
        </is>
      </c>
      <c r="P1218" t="inlineStr">
        <is>
          <t>cau</t>
        </is>
      </c>
      <c r="Q1218" t="inlineStr">
        <is>
          <t>The Jossey-Bass education series</t>
        </is>
      </c>
      <c r="R1218" t="inlineStr">
        <is>
          <t xml:space="preserve">LB </t>
        </is>
      </c>
      <c r="S1218" t="n">
        <v>2</v>
      </c>
      <c r="T1218" t="n">
        <v>2</v>
      </c>
      <c r="U1218" t="inlineStr">
        <is>
          <t>2003-02-13</t>
        </is>
      </c>
      <c r="V1218" t="inlineStr">
        <is>
          <t>2003-02-13</t>
        </is>
      </c>
      <c r="W1218" t="inlineStr">
        <is>
          <t>1995-01-23</t>
        </is>
      </c>
      <c r="X1218" t="inlineStr">
        <is>
          <t>1995-01-23</t>
        </is>
      </c>
      <c r="Y1218" t="n">
        <v>494</v>
      </c>
      <c r="Z1218" t="n">
        <v>420</v>
      </c>
      <c r="AA1218" t="n">
        <v>479</v>
      </c>
      <c r="AB1218" t="n">
        <v>5</v>
      </c>
      <c r="AC1218" t="n">
        <v>6</v>
      </c>
      <c r="AD1218" t="n">
        <v>25</v>
      </c>
      <c r="AE1218" t="n">
        <v>27</v>
      </c>
      <c r="AF1218" t="n">
        <v>13</v>
      </c>
      <c r="AG1218" t="n">
        <v>14</v>
      </c>
      <c r="AH1218" t="n">
        <v>4</v>
      </c>
      <c r="AI1218" t="n">
        <v>4</v>
      </c>
      <c r="AJ1218" t="n">
        <v>12</v>
      </c>
      <c r="AK1218" t="n">
        <v>13</v>
      </c>
      <c r="AL1218" t="n">
        <v>3</v>
      </c>
      <c r="AM1218" t="n">
        <v>4</v>
      </c>
      <c r="AN1218" t="n">
        <v>0</v>
      </c>
      <c r="AO1218" t="n">
        <v>0</v>
      </c>
      <c r="AP1218" t="inlineStr">
        <is>
          <t>No</t>
        </is>
      </c>
      <c r="AQ1218" t="inlineStr">
        <is>
          <t>Yes</t>
        </is>
      </c>
      <c r="AR1218">
        <f>HYPERLINK("http://catalog.hathitrust.org/Record/002812184","HathiTrust Record")</f>
        <v/>
      </c>
      <c r="AS1218">
        <f>HYPERLINK("https://creighton-primo.hosted.exlibrisgroup.com/primo-explore/search?tab=default_tab&amp;search_scope=EVERYTHING&amp;vid=01CRU&amp;lang=en_US&amp;offset=0&amp;query=any,contains,991002277449702656","Catalog Record")</f>
        <v/>
      </c>
      <c r="AT1218">
        <f>HYPERLINK("http://www.worldcat.org/oclc/29548726","WorldCat Record")</f>
        <v/>
      </c>
      <c r="AU1218" t="inlineStr">
        <is>
          <t>837069645:eng</t>
        </is>
      </c>
      <c r="AV1218" t="inlineStr">
        <is>
          <t>29548726</t>
        </is>
      </c>
      <c r="AW1218" t="inlineStr">
        <is>
          <t>991002277449702656</t>
        </is>
      </c>
      <c r="AX1218" t="inlineStr">
        <is>
          <t>991002277449702656</t>
        </is>
      </c>
      <c r="AY1218" t="inlineStr">
        <is>
          <t>2270982090002656</t>
        </is>
      </c>
      <c r="AZ1218" t="inlineStr">
        <is>
          <t>BOOK</t>
        </is>
      </c>
      <c r="BB1218" t="inlineStr">
        <is>
          <t>9781555426484</t>
        </is>
      </c>
      <c r="BC1218" t="inlineStr">
        <is>
          <t>32285001994846</t>
        </is>
      </c>
      <c r="BD1218" t="inlineStr">
        <is>
          <t>893529768</t>
        </is>
      </c>
    </row>
    <row r="1219">
      <c r="A1219" t="inlineStr">
        <is>
          <t>No</t>
        </is>
      </c>
      <c r="B1219" t="inlineStr">
        <is>
          <t>LB2831.92 .E43 2001</t>
        </is>
      </c>
      <c r="C1219" t="inlineStr">
        <is>
          <t>0                      LB 2831920E  43          2001</t>
        </is>
      </c>
      <c r="D1219" t="inlineStr">
        <is>
          <t>The emerging principalship / Linda Skrla ... [et al.].</t>
        </is>
      </c>
      <c r="F1219" t="inlineStr">
        <is>
          <t>No</t>
        </is>
      </c>
      <c r="G1219" t="inlineStr">
        <is>
          <t>1</t>
        </is>
      </c>
      <c r="H1219" t="inlineStr">
        <is>
          <t>No</t>
        </is>
      </c>
      <c r="I1219" t="inlineStr">
        <is>
          <t>No</t>
        </is>
      </c>
      <c r="J1219" t="inlineStr">
        <is>
          <t>0</t>
        </is>
      </c>
      <c r="L1219" t="inlineStr">
        <is>
          <t>Larchmont, NY : Eye on Education, c2001.</t>
        </is>
      </c>
      <c r="M1219" t="inlineStr">
        <is>
          <t>2001</t>
        </is>
      </c>
      <c r="O1219" t="inlineStr">
        <is>
          <t>eng</t>
        </is>
      </c>
      <c r="P1219" t="inlineStr">
        <is>
          <t>nyu</t>
        </is>
      </c>
      <c r="Q1219" t="inlineStr">
        <is>
          <t>The school leadership library</t>
        </is>
      </c>
      <c r="R1219" t="inlineStr">
        <is>
          <t xml:space="preserve">LB </t>
        </is>
      </c>
      <c r="S1219" t="n">
        <v>1</v>
      </c>
      <c r="T1219" t="n">
        <v>1</v>
      </c>
      <c r="U1219" t="inlineStr">
        <is>
          <t>2001-05-17</t>
        </is>
      </c>
      <c r="V1219" t="inlineStr">
        <is>
          <t>2001-05-17</t>
        </is>
      </c>
      <c r="W1219" t="inlineStr">
        <is>
          <t>2001-05-17</t>
        </is>
      </c>
      <c r="X1219" t="inlineStr">
        <is>
          <t>2001-05-17</t>
        </is>
      </c>
      <c r="Y1219" t="n">
        <v>146</v>
      </c>
      <c r="Z1219" t="n">
        <v>138</v>
      </c>
      <c r="AA1219" t="n">
        <v>161</v>
      </c>
      <c r="AB1219" t="n">
        <v>1</v>
      </c>
      <c r="AC1219" t="n">
        <v>1</v>
      </c>
      <c r="AD1219" t="n">
        <v>8</v>
      </c>
      <c r="AE1219" t="n">
        <v>8</v>
      </c>
      <c r="AF1219" t="n">
        <v>7</v>
      </c>
      <c r="AG1219" t="n">
        <v>7</v>
      </c>
      <c r="AH1219" t="n">
        <v>0</v>
      </c>
      <c r="AI1219" t="n">
        <v>0</v>
      </c>
      <c r="AJ1219" t="n">
        <v>2</v>
      </c>
      <c r="AK1219" t="n">
        <v>2</v>
      </c>
      <c r="AL1219" t="n">
        <v>0</v>
      </c>
      <c r="AM1219" t="n">
        <v>0</v>
      </c>
      <c r="AN1219" t="n">
        <v>0</v>
      </c>
      <c r="AO1219" t="n">
        <v>0</v>
      </c>
      <c r="AP1219" t="inlineStr">
        <is>
          <t>No</t>
        </is>
      </c>
      <c r="AQ1219" t="inlineStr">
        <is>
          <t>No</t>
        </is>
      </c>
      <c r="AS1219">
        <f>HYPERLINK("https://creighton-primo.hosted.exlibrisgroup.com/primo-explore/search?tab=default_tab&amp;search_scope=EVERYTHING&amp;vid=01CRU&amp;lang=en_US&amp;offset=0&amp;query=any,contains,991003488629702656","Catalog Record")</f>
        <v/>
      </c>
      <c r="AT1219">
        <f>HYPERLINK("http://www.worldcat.org/oclc/44811719","WorldCat Record")</f>
        <v/>
      </c>
      <c r="AU1219" t="inlineStr">
        <is>
          <t>34144335:eng</t>
        </is>
      </c>
      <c r="AV1219" t="inlineStr">
        <is>
          <t>44811719</t>
        </is>
      </c>
      <c r="AW1219" t="inlineStr">
        <is>
          <t>991003488629702656</t>
        </is>
      </c>
      <c r="AX1219" t="inlineStr">
        <is>
          <t>991003488629702656</t>
        </is>
      </c>
      <c r="AY1219" t="inlineStr">
        <is>
          <t>2271588420002656</t>
        </is>
      </c>
      <c r="AZ1219" t="inlineStr">
        <is>
          <t>BOOK</t>
        </is>
      </c>
      <c r="BB1219" t="inlineStr">
        <is>
          <t>9781930556119</t>
        </is>
      </c>
      <c r="BC1219" t="inlineStr">
        <is>
          <t>32285004318050</t>
        </is>
      </c>
      <c r="BD1219" t="inlineStr">
        <is>
          <t>893904383</t>
        </is>
      </c>
    </row>
    <row r="1220">
      <c r="A1220" t="inlineStr">
        <is>
          <t>No</t>
        </is>
      </c>
      <c r="B1220" t="inlineStr">
        <is>
          <t>LB2831.92 .F45 2001</t>
        </is>
      </c>
      <c r="C1220" t="inlineStr">
        <is>
          <t>0                      LB 2831920F  45          2001</t>
        </is>
      </c>
      <c r="D1220" t="inlineStr">
        <is>
          <t>Indispensable tools : a principal builds his high school : dialogues on charter education with Peter Thorp / Keith Spencer Felton.</t>
        </is>
      </c>
      <c r="F1220" t="inlineStr">
        <is>
          <t>No</t>
        </is>
      </c>
      <c r="G1220" t="inlineStr">
        <is>
          <t>1</t>
        </is>
      </c>
      <c r="H1220" t="inlineStr">
        <is>
          <t>No</t>
        </is>
      </c>
      <c r="I1220" t="inlineStr">
        <is>
          <t>No</t>
        </is>
      </c>
      <c r="J1220" t="inlineStr">
        <is>
          <t>0</t>
        </is>
      </c>
      <c r="K1220" t="inlineStr">
        <is>
          <t>Felton, Keith Spencer.</t>
        </is>
      </c>
      <c r="L1220" t="inlineStr">
        <is>
          <t>Lanham, Md. : University Press of America, c2001.</t>
        </is>
      </c>
      <c r="M1220" t="inlineStr">
        <is>
          <t>2001</t>
        </is>
      </c>
      <c r="O1220" t="inlineStr">
        <is>
          <t>eng</t>
        </is>
      </c>
      <c r="P1220" t="inlineStr">
        <is>
          <t>mdu</t>
        </is>
      </c>
      <c r="R1220" t="inlineStr">
        <is>
          <t xml:space="preserve">LB </t>
        </is>
      </c>
      <c r="S1220" t="n">
        <v>1</v>
      </c>
      <c r="T1220" t="n">
        <v>1</v>
      </c>
      <c r="U1220" t="inlineStr">
        <is>
          <t>2001-08-30</t>
        </is>
      </c>
      <c r="V1220" t="inlineStr">
        <is>
          <t>2001-08-30</t>
        </is>
      </c>
      <c r="W1220" t="inlineStr">
        <is>
          <t>2001-08-30</t>
        </is>
      </c>
      <c r="X1220" t="inlineStr">
        <is>
          <t>2001-08-30</t>
        </is>
      </c>
      <c r="Y1220" t="n">
        <v>137</v>
      </c>
      <c r="Z1220" t="n">
        <v>123</v>
      </c>
      <c r="AA1220" t="n">
        <v>124</v>
      </c>
      <c r="AB1220" t="n">
        <v>2</v>
      </c>
      <c r="AC1220" t="n">
        <v>2</v>
      </c>
      <c r="AD1220" t="n">
        <v>8</v>
      </c>
      <c r="AE1220" t="n">
        <v>8</v>
      </c>
      <c r="AF1220" t="n">
        <v>1</v>
      </c>
      <c r="AG1220" t="n">
        <v>1</v>
      </c>
      <c r="AH1220" t="n">
        <v>2</v>
      </c>
      <c r="AI1220" t="n">
        <v>2</v>
      </c>
      <c r="AJ1220" t="n">
        <v>6</v>
      </c>
      <c r="AK1220" t="n">
        <v>6</v>
      </c>
      <c r="AL1220" t="n">
        <v>1</v>
      </c>
      <c r="AM1220" t="n">
        <v>1</v>
      </c>
      <c r="AN1220" t="n">
        <v>0</v>
      </c>
      <c r="AO1220" t="n">
        <v>0</v>
      </c>
      <c r="AP1220" t="inlineStr">
        <is>
          <t>No</t>
        </is>
      </c>
      <c r="AQ1220" t="inlineStr">
        <is>
          <t>Yes</t>
        </is>
      </c>
      <c r="AR1220">
        <f>HYPERLINK("http://catalog.hathitrust.org/Record/004176757","HathiTrust Record")</f>
        <v/>
      </c>
      <c r="AS1220">
        <f>HYPERLINK("https://creighton-primo.hosted.exlibrisgroup.com/primo-explore/search?tab=default_tab&amp;search_scope=EVERYTHING&amp;vid=01CRU&amp;lang=en_US&amp;offset=0&amp;query=any,contains,991003612169702656","Catalog Record")</f>
        <v/>
      </c>
      <c r="AT1220">
        <f>HYPERLINK("http://www.worldcat.org/oclc/46401583","WorldCat Record")</f>
        <v/>
      </c>
      <c r="AU1220" t="inlineStr">
        <is>
          <t>35069428:eng</t>
        </is>
      </c>
      <c r="AV1220" t="inlineStr">
        <is>
          <t>46401583</t>
        </is>
      </c>
      <c r="AW1220" t="inlineStr">
        <is>
          <t>991003612169702656</t>
        </is>
      </c>
      <c r="AX1220" t="inlineStr">
        <is>
          <t>991003612169702656</t>
        </is>
      </c>
      <c r="AY1220" t="inlineStr">
        <is>
          <t>2263182810002656</t>
        </is>
      </c>
      <c r="AZ1220" t="inlineStr">
        <is>
          <t>BOOK</t>
        </is>
      </c>
      <c r="BB1220" t="inlineStr">
        <is>
          <t>9780761820154</t>
        </is>
      </c>
      <c r="BC1220" t="inlineStr">
        <is>
          <t>32285004383880</t>
        </is>
      </c>
      <c r="BD1220" t="inlineStr">
        <is>
          <t>893781185</t>
        </is>
      </c>
    </row>
    <row r="1221">
      <c r="A1221" t="inlineStr">
        <is>
          <t>No</t>
        </is>
      </c>
      <c r="B1221" t="inlineStr">
        <is>
          <t>LB2831.92 .H363 2003</t>
        </is>
      </c>
      <c r="C1221" t="inlineStr">
        <is>
          <t>0                      LB 2831920H  363         2003</t>
        </is>
      </c>
      <c r="D1221" t="inlineStr">
        <is>
          <t>Standards-based leadership : a case study book for the principalship / Sandra Harris and Sandra Lowery.</t>
        </is>
      </c>
      <c r="F1221" t="inlineStr">
        <is>
          <t>No</t>
        </is>
      </c>
      <c r="G1221" t="inlineStr">
        <is>
          <t>1</t>
        </is>
      </c>
      <c r="H1221" t="inlineStr">
        <is>
          <t>No</t>
        </is>
      </c>
      <c r="I1221" t="inlineStr">
        <is>
          <t>No</t>
        </is>
      </c>
      <c r="J1221" t="inlineStr">
        <is>
          <t>0</t>
        </is>
      </c>
      <c r="K1221" t="inlineStr">
        <is>
          <t>Harris, Sandra, 1946-</t>
        </is>
      </c>
      <c r="L1221" t="inlineStr">
        <is>
          <t>Lanham, Md. : Scarecrow Press, c2003.</t>
        </is>
      </c>
      <c r="M1221" t="inlineStr">
        <is>
          <t>2003</t>
        </is>
      </c>
      <c r="O1221" t="inlineStr">
        <is>
          <t>eng</t>
        </is>
      </c>
      <c r="P1221" t="inlineStr">
        <is>
          <t>mdu</t>
        </is>
      </c>
      <c r="R1221" t="inlineStr">
        <is>
          <t xml:space="preserve">LB </t>
        </is>
      </c>
      <c r="S1221" t="n">
        <v>1</v>
      </c>
      <c r="T1221" t="n">
        <v>1</v>
      </c>
      <c r="U1221" t="inlineStr">
        <is>
          <t>2004-01-21</t>
        </is>
      </c>
      <c r="V1221" t="inlineStr">
        <is>
          <t>2004-01-21</t>
        </is>
      </c>
      <c r="W1221" t="inlineStr">
        <is>
          <t>2004-01-21</t>
        </is>
      </c>
      <c r="X1221" t="inlineStr">
        <is>
          <t>2004-01-21</t>
        </is>
      </c>
      <c r="Y1221" t="n">
        <v>176</v>
      </c>
      <c r="Z1221" t="n">
        <v>169</v>
      </c>
      <c r="AA1221" t="n">
        <v>283</v>
      </c>
      <c r="AB1221" t="n">
        <v>2</v>
      </c>
      <c r="AC1221" t="n">
        <v>4</v>
      </c>
      <c r="AD1221" t="n">
        <v>8</v>
      </c>
      <c r="AE1221" t="n">
        <v>16</v>
      </c>
      <c r="AF1221" t="n">
        <v>3</v>
      </c>
      <c r="AG1221" t="n">
        <v>6</v>
      </c>
      <c r="AH1221" t="n">
        <v>1</v>
      </c>
      <c r="AI1221" t="n">
        <v>3</v>
      </c>
      <c r="AJ1221" t="n">
        <v>5</v>
      </c>
      <c r="AK1221" t="n">
        <v>10</v>
      </c>
      <c r="AL1221" t="n">
        <v>1</v>
      </c>
      <c r="AM1221" t="n">
        <v>3</v>
      </c>
      <c r="AN1221" t="n">
        <v>0</v>
      </c>
      <c r="AO1221" t="n">
        <v>0</v>
      </c>
      <c r="AP1221" t="inlineStr">
        <is>
          <t>No</t>
        </is>
      </c>
      <c r="AQ1221" t="inlineStr">
        <is>
          <t>Yes</t>
        </is>
      </c>
      <c r="AR1221">
        <f>HYPERLINK("http://catalog.hathitrust.org/Record/004354875","HathiTrust Record")</f>
        <v/>
      </c>
      <c r="AS1221">
        <f>HYPERLINK("https://creighton-primo.hosted.exlibrisgroup.com/primo-explore/search?tab=default_tab&amp;search_scope=EVERYTHING&amp;vid=01CRU&amp;lang=en_US&amp;offset=0&amp;query=any,contains,991004211159702656","Catalog Record")</f>
        <v/>
      </c>
      <c r="AT1221">
        <f>HYPERLINK("http://www.worldcat.org/oclc/52079745","WorldCat Record")</f>
        <v/>
      </c>
      <c r="AU1221" t="inlineStr">
        <is>
          <t>788148:eng</t>
        </is>
      </c>
      <c r="AV1221" t="inlineStr">
        <is>
          <t>52079745</t>
        </is>
      </c>
      <c r="AW1221" t="inlineStr">
        <is>
          <t>991004211159702656</t>
        </is>
      </c>
      <c r="AX1221" t="inlineStr">
        <is>
          <t>991004211159702656</t>
        </is>
      </c>
      <c r="AY1221" t="inlineStr">
        <is>
          <t>2261825120002656</t>
        </is>
      </c>
      <c r="AZ1221" t="inlineStr">
        <is>
          <t>BOOK</t>
        </is>
      </c>
      <c r="BB1221" t="inlineStr">
        <is>
          <t>9781578860586</t>
        </is>
      </c>
      <c r="BC1221" t="inlineStr">
        <is>
          <t>32285004635701</t>
        </is>
      </c>
      <c r="BD1221" t="inlineStr">
        <is>
          <t>893506556</t>
        </is>
      </c>
    </row>
    <row r="1222">
      <c r="A1222" t="inlineStr">
        <is>
          <t>No</t>
        </is>
      </c>
      <c r="B1222" t="inlineStr">
        <is>
          <t>LB2831.92 .S26 2009</t>
        </is>
      </c>
      <c r="C1222" t="inlineStr">
        <is>
          <t>0                      LB 2831920S  26          2009</t>
        </is>
      </c>
      <c r="D1222" t="inlineStr">
        <is>
          <t>Principals matter : a guide to school, family, and community partnerships / Mavis G. Sanders, Steven B. Sheldon.</t>
        </is>
      </c>
      <c r="F1222" t="inlineStr">
        <is>
          <t>No</t>
        </is>
      </c>
      <c r="G1222" t="inlineStr">
        <is>
          <t>1</t>
        </is>
      </c>
      <c r="H1222" t="inlineStr">
        <is>
          <t>No</t>
        </is>
      </c>
      <c r="I1222" t="inlineStr">
        <is>
          <t>No</t>
        </is>
      </c>
      <c r="J1222" t="inlineStr">
        <is>
          <t>0</t>
        </is>
      </c>
      <c r="K1222" t="inlineStr">
        <is>
          <t>Sanders, Mavis G.</t>
        </is>
      </c>
      <c r="L1222" t="inlineStr">
        <is>
          <t>Thousand Oaks, Calif. : Corwin, c2009.</t>
        </is>
      </c>
      <c r="M1222" t="inlineStr">
        <is>
          <t>2009</t>
        </is>
      </c>
      <c r="O1222" t="inlineStr">
        <is>
          <t>eng</t>
        </is>
      </c>
      <c r="P1222" t="inlineStr">
        <is>
          <t>cau</t>
        </is>
      </c>
      <c r="R1222" t="inlineStr">
        <is>
          <t xml:space="preserve">LB </t>
        </is>
      </c>
      <c r="S1222" t="n">
        <v>2</v>
      </c>
      <c r="T1222" t="n">
        <v>2</v>
      </c>
      <c r="U1222" t="inlineStr">
        <is>
          <t>2009-09-20</t>
        </is>
      </c>
      <c r="V1222" t="inlineStr">
        <is>
          <t>2009-09-20</t>
        </is>
      </c>
      <c r="W1222" t="inlineStr">
        <is>
          <t>2009-07-08</t>
        </is>
      </c>
      <c r="X1222" t="inlineStr">
        <is>
          <t>2009-07-08</t>
        </is>
      </c>
      <c r="Y1222" t="n">
        <v>167</v>
      </c>
      <c r="Z1222" t="n">
        <v>130</v>
      </c>
      <c r="AA1222" t="n">
        <v>174</v>
      </c>
      <c r="AB1222" t="n">
        <v>1</v>
      </c>
      <c r="AC1222" t="n">
        <v>2</v>
      </c>
      <c r="AD1222" t="n">
        <v>8</v>
      </c>
      <c r="AE1222" t="n">
        <v>10</v>
      </c>
      <c r="AF1222" t="n">
        <v>4</v>
      </c>
      <c r="AG1222" t="n">
        <v>5</v>
      </c>
      <c r="AH1222" t="n">
        <v>1</v>
      </c>
      <c r="AI1222" t="n">
        <v>2</v>
      </c>
      <c r="AJ1222" t="n">
        <v>6</v>
      </c>
      <c r="AK1222" t="n">
        <v>6</v>
      </c>
      <c r="AL1222" t="n">
        <v>0</v>
      </c>
      <c r="AM1222" t="n">
        <v>1</v>
      </c>
      <c r="AN1222" t="n">
        <v>0</v>
      </c>
      <c r="AO1222" t="n">
        <v>0</v>
      </c>
      <c r="AP1222" t="inlineStr">
        <is>
          <t>No</t>
        </is>
      </c>
      <c r="AQ1222" t="inlineStr">
        <is>
          <t>Yes</t>
        </is>
      </c>
      <c r="AR1222">
        <f>HYPERLINK("http://catalog.hathitrust.org/Record/102063974","HathiTrust Record")</f>
        <v/>
      </c>
      <c r="AS1222">
        <f>HYPERLINK("https://creighton-primo.hosted.exlibrisgroup.com/primo-explore/search?tab=default_tab&amp;search_scope=EVERYTHING&amp;vid=01CRU&amp;lang=en_US&amp;offset=0&amp;query=any,contains,991005325479702656","Catalog Record")</f>
        <v/>
      </c>
      <c r="AT1222">
        <f>HYPERLINK("http://www.worldcat.org/oclc/288932992","WorldCat Record")</f>
        <v/>
      </c>
      <c r="AU1222" t="inlineStr">
        <is>
          <t>170721034:eng</t>
        </is>
      </c>
      <c r="AV1222" t="inlineStr">
        <is>
          <t>288932992</t>
        </is>
      </c>
      <c r="AW1222" t="inlineStr">
        <is>
          <t>991005325479702656</t>
        </is>
      </c>
      <c r="AX1222" t="inlineStr">
        <is>
          <t>991005325479702656</t>
        </is>
      </c>
      <c r="AY1222" t="inlineStr">
        <is>
          <t>2265634160002656</t>
        </is>
      </c>
      <c r="AZ1222" t="inlineStr">
        <is>
          <t>BOOK</t>
        </is>
      </c>
      <c r="BB1222" t="inlineStr">
        <is>
          <t>9781412960410</t>
        </is>
      </c>
      <c r="BC1222" t="inlineStr">
        <is>
          <t>32285005537112</t>
        </is>
      </c>
      <c r="BD1222" t="inlineStr">
        <is>
          <t>893896227</t>
        </is>
      </c>
    </row>
    <row r="1223">
      <c r="A1223" t="inlineStr">
        <is>
          <t>No</t>
        </is>
      </c>
      <c r="B1223" t="inlineStr">
        <is>
          <t>LB2831.92 .W46 2002</t>
        </is>
      </c>
      <c r="C1223" t="inlineStr">
        <is>
          <t>0                      LB 2831920W  46          2002</t>
        </is>
      </c>
      <c r="D1223" t="inlineStr">
        <is>
          <t>The assistant principal : essentials for effective school leadership / L. David Weller, Sylvia J. Weller.</t>
        </is>
      </c>
      <c r="F1223" t="inlineStr">
        <is>
          <t>No</t>
        </is>
      </c>
      <c r="G1223" t="inlineStr">
        <is>
          <t>1</t>
        </is>
      </c>
      <c r="H1223" t="inlineStr">
        <is>
          <t>No</t>
        </is>
      </c>
      <c r="I1223" t="inlineStr">
        <is>
          <t>No</t>
        </is>
      </c>
      <c r="J1223" t="inlineStr">
        <is>
          <t>0</t>
        </is>
      </c>
      <c r="K1223" t="inlineStr">
        <is>
          <t>Weller, L. David.</t>
        </is>
      </c>
      <c r="L1223" t="inlineStr">
        <is>
          <t>Thousand Oaks, Calif. : Corwin Press, c2002.</t>
        </is>
      </c>
      <c r="M1223" t="inlineStr">
        <is>
          <t>2002</t>
        </is>
      </c>
      <c r="O1223" t="inlineStr">
        <is>
          <t>eng</t>
        </is>
      </c>
      <c r="P1223" t="inlineStr">
        <is>
          <t>cau</t>
        </is>
      </c>
      <c r="R1223" t="inlineStr">
        <is>
          <t xml:space="preserve">LB </t>
        </is>
      </c>
      <c r="S1223" t="n">
        <v>1</v>
      </c>
      <c r="T1223" t="n">
        <v>1</v>
      </c>
      <c r="U1223" t="inlineStr">
        <is>
          <t>2002-03-25</t>
        </is>
      </c>
      <c r="V1223" t="inlineStr">
        <is>
          <t>2002-03-25</t>
        </is>
      </c>
      <c r="W1223" t="inlineStr">
        <is>
          <t>2002-02-27</t>
        </is>
      </c>
      <c r="X1223" t="inlineStr">
        <is>
          <t>2002-02-27</t>
        </is>
      </c>
      <c r="Y1223" t="n">
        <v>329</v>
      </c>
      <c r="Z1223" t="n">
        <v>282</v>
      </c>
      <c r="AA1223" t="n">
        <v>291</v>
      </c>
      <c r="AB1223" t="n">
        <v>5</v>
      </c>
      <c r="AC1223" t="n">
        <v>5</v>
      </c>
      <c r="AD1223" t="n">
        <v>10</v>
      </c>
      <c r="AE1223" t="n">
        <v>10</v>
      </c>
      <c r="AF1223" t="n">
        <v>2</v>
      </c>
      <c r="AG1223" t="n">
        <v>2</v>
      </c>
      <c r="AH1223" t="n">
        <v>1</v>
      </c>
      <c r="AI1223" t="n">
        <v>1</v>
      </c>
      <c r="AJ1223" t="n">
        <v>5</v>
      </c>
      <c r="AK1223" t="n">
        <v>5</v>
      </c>
      <c r="AL1223" t="n">
        <v>4</v>
      </c>
      <c r="AM1223" t="n">
        <v>4</v>
      </c>
      <c r="AN1223" t="n">
        <v>0</v>
      </c>
      <c r="AO1223" t="n">
        <v>0</v>
      </c>
      <c r="AP1223" t="inlineStr">
        <is>
          <t>No</t>
        </is>
      </c>
      <c r="AQ1223" t="inlineStr">
        <is>
          <t>Yes</t>
        </is>
      </c>
      <c r="AR1223">
        <f>HYPERLINK("http://catalog.hathitrust.org/Record/004206684","HathiTrust Record")</f>
        <v/>
      </c>
      <c r="AS1223">
        <f>HYPERLINK("https://creighton-primo.hosted.exlibrisgroup.com/primo-explore/search?tab=default_tab&amp;search_scope=EVERYTHING&amp;vid=01CRU&amp;lang=en_US&amp;offset=0&amp;query=any,contains,991003752759702656","Catalog Record")</f>
        <v/>
      </c>
      <c r="AT1223">
        <f>HYPERLINK("http://www.worldcat.org/oclc/46729449","WorldCat Record")</f>
        <v/>
      </c>
      <c r="AU1223" t="inlineStr">
        <is>
          <t>36018871:eng</t>
        </is>
      </c>
      <c r="AV1223" t="inlineStr">
        <is>
          <t>46729449</t>
        </is>
      </c>
      <c r="AW1223" t="inlineStr">
        <is>
          <t>991003752759702656</t>
        </is>
      </c>
      <c r="AX1223" t="inlineStr">
        <is>
          <t>991003752759702656</t>
        </is>
      </c>
      <c r="AY1223" t="inlineStr">
        <is>
          <t>2256289360002656</t>
        </is>
      </c>
      <c r="AZ1223" t="inlineStr">
        <is>
          <t>BOOK</t>
        </is>
      </c>
      <c r="BB1223" t="inlineStr">
        <is>
          <t>9780761977933</t>
        </is>
      </c>
      <c r="BC1223" t="inlineStr">
        <is>
          <t>32285004458369</t>
        </is>
      </c>
      <c r="BD1223" t="inlineStr">
        <is>
          <t>893234530</t>
        </is>
      </c>
    </row>
    <row r="1224">
      <c r="A1224" t="inlineStr">
        <is>
          <t>No</t>
        </is>
      </c>
      <c r="B1224" t="inlineStr">
        <is>
          <t>LB2831.92 .W53 2009</t>
        </is>
      </c>
      <c r="C1224" t="inlineStr">
        <is>
          <t>0                      LB 2831920W  53          2009</t>
        </is>
      </c>
      <c r="D1224" t="inlineStr">
        <is>
          <t>Developing successful K-8 schools : a principal's guide / Jon Wiles.</t>
        </is>
      </c>
      <c r="F1224" t="inlineStr">
        <is>
          <t>No</t>
        </is>
      </c>
      <c r="G1224" t="inlineStr">
        <is>
          <t>1</t>
        </is>
      </c>
      <c r="H1224" t="inlineStr">
        <is>
          <t>No</t>
        </is>
      </c>
      <c r="I1224" t="inlineStr">
        <is>
          <t>No</t>
        </is>
      </c>
      <c r="J1224" t="inlineStr">
        <is>
          <t>0</t>
        </is>
      </c>
      <c r="K1224" t="inlineStr">
        <is>
          <t>Wiles, Jon.</t>
        </is>
      </c>
      <c r="L1224" t="inlineStr">
        <is>
          <t>Thousand Oaks, Calif. : Corwin Press, c2009.</t>
        </is>
      </c>
      <c r="M1224" t="inlineStr">
        <is>
          <t>2009</t>
        </is>
      </c>
      <c r="O1224" t="inlineStr">
        <is>
          <t>eng</t>
        </is>
      </c>
      <c r="P1224" t="inlineStr">
        <is>
          <t>cau</t>
        </is>
      </c>
      <c r="R1224" t="inlineStr">
        <is>
          <t xml:space="preserve">LB </t>
        </is>
      </c>
      <c r="S1224" t="n">
        <v>1</v>
      </c>
      <c r="T1224" t="n">
        <v>1</v>
      </c>
      <c r="U1224" t="inlineStr">
        <is>
          <t>2009-09-10</t>
        </is>
      </c>
      <c r="V1224" t="inlineStr">
        <is>
          <t>2009-09-10</t>
        </is>
      </c>
      <c r="W1224" t="inlineStr">
        <is>
          <t>2009-09-10</t>
        </is>
      </c>
      <c r="X1224" t="inlineStr">
        <is>
          <t>2009-09-10</t>
        </is>
      </c>
      <c r="Y1224" t="n">
        <v>115</v>
      </c>
      <c r="Z1224" t="n">
        <v>95</v>
      </c>
      <c r="AA1224" t="n">
        <v>119</v>
      </c>
      <c r="AB1224" t="n">
        <v>1</v>
      </c>
      <c r="AC1224" t="n">
        <v>2</v>
      </c>
      <c r="AD1224" t="n">
        <v>3</v>
      </c>
      <c r="AE1224" t="n">
        <v>5</v>
      </c>
      <c r="AF1224" t="n">
        <v>2</v>
      </c>
      <c r="AG1224" t="n">
        <v>3</v>
      </c>
      <c r="AH1224" t="n">
        <v>1</v>
      </c>
      <c r="AI1224" t="n">
        <v>2</v>
      </c>
      <c r="AJ1224" t="n">
        <v>3</v>
      </c>
      <c r="AK1224" t="n">
        <v>3</v>
      </c>
      <c r="AL1224" t="n">
        <v>0</v>
      </c>
      <c r="AM1224" t="n">
        <v>1</v>
      </c>
      <c r="AN1224" t="n">
        <v>0</v>
      </c>
      <c r="AO1224" t="n">
        <v>0</v>
      </c>
      <c r="AP1224" t="inlineStr">
        <is>
          <t>No</t>
        </is>
      </c>
      <c r="AQ1224" t="inlineStr">
        <is>
          <t>No</t>
        </is>
      </c>
      <c r="AS1224">
        <f>HYPERLINK("https://creighton-primo.hosted.exlibrisgroup.com/primo-explore/search?tab=default_tab&amp;search_scope=EVERYTHING&amp;vid=01CRU&amp;lang=en_US&amp;offset=0&amp;query=any,contains,991005334349702656","Catalog Record")</f>
        <v/>
      </c>
      <c r="AT1224">
        <f>HYPERLINK("http://www.worldcat.org/oclc/299709396","WorldCat Record")</f>
        <v/>
      </c>
      <c r="AU1224" t="inlineStr">
        <is>
          <t>1028054597:eng</t>
        </is>
      </c>
      <c r="AV1224" t="inlineStr">
        <is>
          <t>299709396</t>
        </is>
      </c>
      <c r="AW1224" t="inlineStr">
        <is>
          <t>991005334349702656</t>
        </is>
      </c>
      <c r="AX1224" t="inlineStr">
        <is>
          <t>991005334349702656</t>
        </is>
      </c>
      <c r="AY1224" t="inlineStr">
        <is>
          <t>2254904780002656</t>
        </is>
      </c>
      <c r="AZ1224" t="inlineStr">
        <is>
          <t>BOOK</t>
        </is>
      </c>
      <c r="BB1224" t="inlineStr">
        <is>
          <t>9781412966160</t>
        </is>
      </c>
      <c r="BC1224" t="inlineStr">
        <is>
          <t>32285005543540</t>
        </is>
      </c>
      <c r="BD1224" t="inlineStr">
        <is>
          <t>893514453</t>
        </is>
      </c>
    </row>
    <row r="1225">
      <c r="A1225" t="inlineStr">
        <is>
          <t>No</t>
        </is>
      </c>
      <c r="B1225" t="inlineStr">
        <is>
          <t>LB2831.92 .Y68 2004</t>
        </is>
      </c>
      <c r="C1225" t="inlineStr">
        <is>
          <t>0                      LB 2831920Y  68          2004</t>
        </is>
      </c>
      <c r="D1225" t="inlineStr">
        <is>
          <t>You have to go to school-- you're the principal! : 101 tips to make it better for your students, your staff, and yourself / Paul G. Young ; foreword by Vincent Ferrandino.</t>
        </is>
      </c>
      <c r="F1225" t="inlineStr">
        <is>
          <t>No</t>
        </is>
      </c>
      <c r="G1225" t="inlineStr">
        <is>
          <t>1</t>
        </is>
      </c>
      <c r="H1225" t="inlineStr">
        <is>
          <t>No</t>
        </is>
      </c>
      <c r="I1225" t="inlineStr">
        <is>
          <t>No</t>
        </is>
      </c>
      <c r="J1225" t="inlineStr">
        <is>
          <t>0</t>
        </is>
      </c>
      <c r="K1225" t="inlineStr">
        <is>
          <t>Young, Paul G., 1950-</t>
        </is>
      </c>
      <c r="L1225" t="inlineStr">
        <is>
          <t>Thousand Oaks, Calif. : Corwin Press, c2004.</t>
        </is>
      </c>
      <c r="M1225" t="inlineStr">
        <is>
          <t>2004</t>
        </is>
      </c>
      <c r="O1225" t="inlineStr">
        <is>
          <t>eng</t>
        </is>
      </c>
      <c r="P1225" t="inlineStr">
        <is>
          <t>cau</t>
        </is>
      </c>
      <c r="R1225" t="inlineStr">
        <is>
          <t xml:space="preserve">LB </t>
        </is>
      </c>
      <c r="S1225" t="n">
        <v>22</v>
      </c>
      <c r="T1225" t="n">
        <v>22</v>
      </c>
      <c r="U1225" t="inlineStr">
        <is>
          <t>2010-08-16</t>
        </is>
      </c>
      <c r="V1225" t="inlineStr">
        <is>
          <t>2010-08-16</t>
        </is>
      </c>
      <c r="W1225" t="inlineStr">
        <is>
          <t>2004-06-29</t>
        </is>
      </c>
      <c r="X1225" t="inlineStr">
        <is>
          <t>2004-06-29</t>
        </is>
      </c>
      <c r="Y1225" t="n">
        <v>192</v>
      </c>
      <c r="Z1225" t="n">
        <v>162</v>
      </c>
      <c r="AA1225" t="n">
        <v>164</v>
      </c>
      <c r="AB1225" t="n">
        <v>2</v>
      </c>
      <c r="AC1225" t="n">
        <v>2</v>
      </c>
      <c r="AD1225" t="n">
        <v>6</v>
      </c>
      <c r="AE1225" t="n">
        <v>6</v>
      </c>
      <c r="AF1225" t="n">
        <v>1</v>
      </c>
      <c r="AG1225" t="n">
        <v>1</v>
      </c>
      <c r="AH1225" t="n">
        <v>1</v>
      </c>
      <c r="AI1225" t="n">
        <v>1</v>
      </c>
      <c r="AJ1225" t="n">
        <v>5</v>
      </c>
      <c r="AK1225" t="n">
        <v>5</v>
      </c>
      <c r="AL1225" t="n">
        <v>1</v>
      </c>
      <c r="AM1225" t="n">
        <v>1</v>
      </c>
      <c r="AN1225" t="n">
        <v>0</v>
      </c>
      <c r="AO1225" t="n">
        <v>0</v>
      </c>
      <c r="AP1225" t="inlineStr">
        <is>
          <t>No</t>
        </is>
      </c>
      <c r="AQ1225" t="inlineStr">
        <is>
          <t>Yes</t>
        </is>
      </c>
      <c r="AR1225">
        <f>HYPERLINK("http://catalog.hathitrust.org/Record/102032953","HathiTrust Record")</f>
        <v/>
      </c>
      <c r="AS1225">
        <f>HYPERLINK("https://creighton-primo.hosted.exlibrisgroup.com/primo-explore/search?tab=default_tab&amp;search_scope=EVERYTHING&amp;vid=01CRU&amp;lang=en_US&amp;offset=0&amp;query=any,contains,991004317069702656","Catalog Record")</f>
        <v/>
      </c>
      <c r="AT1225">
        <f>HYPERLINK("http://www.worldcat.org/oclc/54529893","WorldCat Record")</f>
        <v/>
      </c>
      <c r="AU1225" t="inlineStr">
        <is>
          <t>1028158580:eng</t>
        </is>
      </c>
      <c r="AV1225" t="inlineStr">
        <is>
          <t>54529893</t>
        </is>
      </c>
      <c r="AW1225" t="inlineStr">
        <is>
          <t>991004317069702656</t>
        </is>
      </c>
      <c r="AX1225" t="inlineStr">
        <is>
          <t>991004317069702656</t>
        </is>
      </c>
      <c r="AY1225" t="inlineStr">
        <is>
          <t>2272556110002656</t>
        </is>
      </c>
      <c r="AZ1225" t="inlineStr">
        <is>
          <t>BOOK</t>
        </is>
      </c>
      <c r="BB1225" t="inlineStr">
        <is>
          <t>9781412904711</t>
        </is>
      </c>
      <c r="BC1225" t="inlineStr">
        <is>
          <t>32285004921283</t>
        </is>
      </c>
      <c r="BD1225" t="inlineStr">
        <is>
          <t>893506697</t>
        </is>
      </c>
    </row>
    <row r="1226">
      <c r="A1226" t="inlineStr">
        <is>
          <t>No</t>
        </is>
      </c>
      <c r="B1226" t="inlineStr">
        <is>
          <t>LB2831.924.I3 L96 2000</t>
        </is>
      </c>
      <c r="C1226" t="inlineStr">
        <is>
          <t>0                      LB 2831924I  3                  L  96          2000</t>
        </is>
      </c>
      <c r="D1226" t="inlineStr">
        <is>
          <t>How do they know you care? : the principal's challenge / Linda L. Lyman ; foreword by Roland S. Barth.</t>
        </is>
      </c>
      <c r="F1226" t="inlineStr">
        <is>
          <t>No</t>
        </is>
      </c>
      <c r="G1226" t="inlineStr">
        <is>
          <t>1</t>
        </is>
      </c>
      <c r="H1226" t="inlineStr">
        <is>
          <t>No</t>
        </is>
      </c>
      <c r="I1226" t="inlineStr">
        <is>
          <t>No</t>
        </is>
      </c>
      <c r="J1226" t="inlineStr">
        <is>
          <t>0</t>
        </is>
      </c>
      <c r="K1226" t="inlineStr">
        <is>
          <t>Lyman, Linda L.</t>
        </is>
      </c>
      <c r="L1226" t="inlineStr">
        <is>
          <t>New York : Teachers College Press, c2000.</t>
        </is>
      </c>
      <c r="M1226" t="inlineStr">
        <is>
          <t>2000</t>
        </is>
      </c>
      <c r="O1226" t="inlineStr">
        <is>
          <t>eng</t>
        </is>
      </c>
      <c r="P1226" t="inlineStr">
        <is>
          <t>nyu</t>
        </is>
      </c>
      <c r="R1226" t="inlineStr">
        <is>
          <t xml:space="preserve">LB </t>
        </is>
      </c>
      <c r="S1226" t="n">
        <v>1</v>
      </c>
      <c r="T1226" t="n">
        <v>1</v>
      </c>
      <c r="U1226" t="inlineStr">
        <is>
          <t>2003-02-28</t>
        </is>
      </c>
      <c r="V1226" t="inlineStr">
        <is>
          <t>2003-02-28</t>
        </is>
      </c>
      <c r="W1226" t="inlineStr">
        <is>
          <t>2000-07-19</t>
        </is>
      </c>
      <c r="X1226" t="inlineStr">
        <is>
          <t>2000-07-19</t>
        </is>
      </c>
      <c r="Y1226" t="n">
        <v>351</v>
      </c>
      <c r="Z1226" t="n">
        <v>313</v>
      </c>
      <c r="AA1226" t="n">
        <v>1194</v>
      </c>
      <c r="AB1226" t="n">
        <v>5</v>
      </c>
      <c r="AC1226" t="n">
        <v>7</v>
      </c>
      <c r="AD1226" t="n">
        <v>18</v>
      </c>
      <c r="AE1226" t="n">
        <v>33</v>
      </c>
      <c r="AF1226" t="n">
        <v>6</v>
      </c>
      <c r="AG1226" t="n">
        <v>17</v>
      </c>
      <c r="AH1226" t="n">
        <v>3</v>
      </c>
      <c r="AI1226" t="n">
        <v>5</v>
      </c>
      <c r="AJ1226" t="n">
        <v>8</v>
      </c>
      <c r="AK1226" t="n">
        <v>12</v>
      </c>
      <c r="AL1226" t="n">
        <v>4</v>
      </c>
      <c r="AM1226" t="n">
        <v>5</v>
      </c>
      <c r="AN1226" t="n">
        <v>0</v>
      </c>
      <c r="AO1226" t="n">
        <v>0</v>
      </c>
      <c r="AP1226" t="inlineStr">
        <is>
          <t>No</t>
        </is>
      </c>
      <c r="AQ1226" t="inlineStr">
        <is>
          <t>No</t>
        </is>
      </c>
      <c r="AS1226">
        <f>HYPERLINK("https://creighton-primo.hosted.exlibrisgroup.com/primo-explore/search?tab=default_tab&amp;search_scope=EVERYTHING&amp;vid=01CRU&amp;lang=en_US&amp;offset=0&amp;query=any,contains,991003207819702656","Catalog Record")</f>
        <v/>
      </c>
      <c r="AT1226">
        <f>HYPERLINK("http://www.worldcat.org/oclc/42892223","WorldCat Record")</f>
        <v/>
      </c>
      <c r="AU1226" t="inlineStr">
        <is>
          <t>837013061:eng</t>
        </is>
      </c>
      <c r="AV1226" t="inlineStr">
        <is>
          <t>42892223</t>
        </is>
      </c>
      <c r="AW1226" t="inlineStr">
        <is>
          <t>991003207819702656</t>
        </is>
      </c>
      <c r="AX1226" t="inlineStr">
        <is>
          <t>991003207819702656</t>
        </is>
      </c>
      <c r="AY1226" t="inlineStr">
        <is>
          <t>2271386950002656</t>
        </is>
      </c>
      <c r="AZ1226" t="inlineStr">
        <is>
          <t>BOOK</t>
        </is>
      </c>
      <c r="BB1226" t="inlineStr">
        <is>
          <t>9780807739297</t>
        </is>
      </c>
      <c r="BC1226" t="inlineStr">
        <is>
          <t>32285003741112</t>
        </is>
      </c>
      <c r="BD1226" t="inlineStr">
        <is>
          <t>893604533</t>
        </is>
      </c>
    </row>
    <row r="1227">
      <c r="A1227" t="inlineStr">
        <is>
          <t>No</t>
        </is>
      </c>
      <c r="B1227" t="inlineStr">
        <is>
          <t>LB2831.926.C2 R44 2003</t>
        </is>
      </c>
      <c r="C1227" t="inlineStr">
        <is>
          <t>0                      LB 2831926C  2                  R  44          2003</t>
        </is>
      </c>
      <c r="D1227" t="inlineStr">
        <is>
          <t>A new era in educational leadership--one principal, two schools : twinning / Ruth Rees.</t>
        </is>
      </c>
      <c r="F1227" t="inlineStr">
        <is>
          <t>No</t>
        </is>
      </c>
      <c r="G1227" t="inlineStr">
        <is>
          <t>1</t>
        </is>
      </c>
      <c r="H1227" t="inlineStr">
        <is>
          <t>No</t>
        </is>
      </c>
      <c r="I1227" t="inlineStr">
        <is>
          <t>No</t>
        </is>
      </c>
      <c r="J1227" t="inlineStr">
        <is>
          <t>0</t>
        </is>
      </c>
      <c r="K1227" t="inlineStr">
        <is>
          <t>Rees, Ruth, 1947-</t>
        </is>
      </c>
      <c r="L1227" t="inlineStr">
        <is>
          <t>Lewiston, N.Y. : E. Mellen Press, c2003.</t>
        </is>
      </c>
      <c r="M1227" t="inlineStr">
        <is>
          <t>2003</t>
        </is>
      </c>
      <c r="O1227" t="inlineStr">
        <is>
          <t>eng</t>
        </is>
      </c>
      <c r="P1227" t="inlineStr">
        <is>
          <t>nyu</t>
        </is>
      </c>
      <c r="Q1227" t="inlineStr">
        <is>
          <t>Mellen studies in education ; v. 83</t>
        </is>
      </c>
      <c r="R1227" t="inlineStr">
        <is>
          <t xml:space="preserve">LB </t>
        </is>
      </c>
      <c r="S1227" t="n">
        <v>1</v>
      </c>
      <c r="T1227" t="n">
        <v>1</v>
      </c>
      <c r="U1227" t="inlineStr">
        <is>
          <t>2004-01-21</t>
        </is>
      </c>
      <c r="V1227" t="inlineStr">
        <is>
          <t>2004-01-21</t>
        </is>
      </c>
      <c r="W1227" t="inlineStr">
        <is>
          <t>2004-01-21</t>
        </is>
      </c>
      <c r="X1227" t="inlineStr">
        <is>
          <t>2004-01-21</t>
        </is>
      </c>
      <c r="Y1227" t="n">
        <v>87</v>
      </c>
      <c r="Z1227" t="n">
        <v>64</v>
      </c>
      <c r="AA1227" t="n">
        <v>65</v>
      </c>
      <c r="AB1227" t="n">
        <v>2</v>
      </c>
      <c r="AC1227" t="n">
        <v>2</v>
      </c>
      <c r="AD1227" t="n">
        <v>3</v>
      </c>
      <c r="AE1227" t="n">
        <v>3</v>
      </c>
      <c r="AF1227" t="n">
        <v>1</v>
      </c>
      <c r="AG1227" t="n">
        <v>1</v>
      </c>
      <c r="AH1227" t="n">
        <v>0</v>
      </c>
      <c r="AI1227" t="n">
        <v>0</v>
      </c>
      <c r="AJ1227" t="n">
        <v>2</v>
      </c>
      <c r="AK1227" t="n">
        <v>2</v>
      </c>
      <c r="AL1227" t="n">
        <v>1</v>
      </c>
      <c r="AM1227" t="n">
        <v>1</v>
      </c>
      <c r="AN1227" t="n">
        <v>0</v>
      </c>
      <c r="AO1227" t="n">
        <v>0</v>
      </c>
      <c r="AP1227" t="inlineStr">
        <is>
          <t>No</t>
        </is>
      </c>
      <c r="AQ1227" t="inlineStr">
        <is>
          <t>Yes</t>
        </is>
      </c>
      <c r="AR1227">
        <f>HYPERLINK("http://catalog.hathitrust.org/Record/102029658","HathiTrust Record")</f>
        <v/>
      </c>
      <c r="AS1227">
        <f>HYPERLINK("https://creighton-primo.hosted.exlibrisgroup.com/primo-explore/search?tab=default_tab&amp;search_scope=EVERYTHING&amp;vid=01CRU&amp;lang=en_US&amp;offset=0&amp;query=any,contains,991004211429702656","Catalog Record")</f>
        <v/>
      </c>
      <c r="AT1227">
        <f>HYPERLINK("http://www.worldcat.org/oclc/52602840","WorldCat Record")</f>
        <v/>
      </c>
      <c r="AU1227" t="inlineStr">
        <is>
          <t>367641078:eng</t>
        </is>
      </c>
      <c r="AV1227" t="inlineStr">
        <is>
          <t>52602840</t>
        </is>
      </c>
      <c r="AW1227" t="inlineStr">
        <is>
          <t>991004211429702656</t>
        </is>
      </c>
      <c r="AX1227" t="inlineStr">
        <is>
          <t>991004211429702656</t>
        </is>
      </c>
      <c r="AY1227" t="inlineStr">
        <is>
          <t>2262881390002656</t>
        </is>
      </c>
      <c r="AZ1227" t="inlineStr">
        <is>
          <t>BOOK</t>
        </is>
      </c>
      <c r="BB1227" t="inlineStr">
        <is>
          <t>9780773466395</t>
        </is>
      </c>
      <c r="BC1227" t="inlineStr">
        <is>
          <t>32285004635685</t>
        </is>
      </c>
      <c r="BD1227" t="inlineStr">
        <is>
          <t>893247298</t>
        </is>
      </c>
    </row>
    <row r="1228">
      <c r="A1228" t="inlineStr">
        <is>
          <t>No</t>
        </is>
      </c>
      <c r="B1228" t="inlineStr">
        <is>
          <t>LB2831.93 .B56 2005</t>
        </is>
      </c>
      <c r="C1228" t="inlineStr">
        <is>
          <t>0                      LB 2831930B  56          2005</t>
        </is>
      </c>
      <c r="D1228" t="inlineStr">
        <is>
          <t>Blended coaching : skills and strategies to support principal development / Gary Bloom ... [et al.]</t>
        </is>
      </c>
      <c r="F1228" t="inlineStr">
        <is>
          <t>No</t>
        </is>
      </c>
      <c r="G1228" t="inlineStr">
        <is>
          <t>1</t>
        </is>
      </c>
      <c r="H1228" t="inlineStr">
        <is>
          <t>No</t>
        </is>
      </c>
      <c r="I1228" t="inlineStr">
        <is>
          <t>No</t>
        </is>
      </c>
      <c r="J1228" t="inlineStr">
        <is>
          <t>0</t>
        </is>
      </c>
      <c r="K1228" t="inlineStr">
        <is>
          <t>Bloom, Gary, 1953-</t>
        </is>
      </c>
      <c r="L1228" t="inlineStr">
        <is>
          <t>Thousand Oaks, Calif. : Corwin Press, c2005.</t>
        </is>
      </c>
      <c r="M1228" t="inlineStr">
        <is>
          <t>2005</t>
        </is>
      </c>
      <c r="O1228" t="inlineStr">
        <is>
          <t>eng</t>
        </is>
      </c>
      <c r="P1228" t="inlineStr">
        <is>
          <t>cau</t>
        </is>
      </c>
      <c r="R1228" t="inlineStr">
        <is>
          <t xml:space="preserve">LB </t>
        </is>
      </c>
      <c r="S1228" t="n">
        <v>2</v>
      </c>
      <c r="T1228" t="n">
        <v>2</v>
      </c>
      <c r="U1228" t="inlineStr">
        <is>
          <t>2005-07-20</t>
        </is>
      </c>
      <c r="V1228" t="inlineStr">
        <is>
          <t>2005-07-20</t>
        </is>
      </c>
      <c r="W1228" t="inlineStr">
        <is>
          <t>2005-07-20</t>
        </is>
      </c>
      <c r="X1228" t="inlineStr">
        <is>
          <t>2005-07-20</t>
        </is>
      </c>
      <c r="Y1228" t="n">
        <v>228</v>
      </c>
      <c r="Z1228" t="n">
        <v>182</v>
      </c>
      <c r="AA1228" t="n">
        <v>209</v>
      </c>
      <c r="AB1228" t="n">
        <v>2</v>
      </c>
      <c r="AC1228" t="n">
        <v>3</v>
      </c>
      <c r="AD1228" t="n">
        <v>5</v>
      </c>
      <c r="AE1228" t="n">
        <v>7</v>
      </c>
      <c r="AF1228" t="n">
        <v>0</v>
      </c>
      <c r="AG1228" t="n">
        <v>1</v>
      </c>
      <c r="AH1228" t="n">
        <v>1</v>
      </c>
      <c r="AI1228" t="n">
        <v>2</v>
      </c>
      <c r="AJ1228" t="n">
        <v>4</v>
      </c>
      <c r="AK1228" t="n">
        <v>4</v>
      </c>
      <c r="AL1228" t="n">
        <v>1</v>
      </c>
      <c r="AM1228" t="n">
        <v>2</v>
      </c>
      <c r="AN1228" t="n">
        <v>0</v>
      </c>
      <c r="AO1228" t="n">
        <v>0</v>
      </c>
      <c r="AP1228" t="inlineStr">
        <is>
          <t>No</t>
        </is>
      </c>
      <c r="AQ1228" t="inlineStr">
        <is>
          <t>No</t>
        </is>
      </c>
      <c r="AS1228">
        <f>HYPERLINK("https://creighton-primo.hosted.exlibrisgroup.com/primo-explore/search?tab=default_tab&amp;search_scope=EVERYTHING&amp;vid=01CRU&amp;lang=en_US&amp;offset=0&amp;query=any,contains,991004612989702656","Catalog Record")</f>
        <v/>
      </c>
      <c r="AT1228">
        <f>HYPERLINK("http://www.worldcat.org/oclc/57557522","WorldCat Record")</f>
        <v/>
      </c>
      <c r="AU1228" t="inlineStr">
        <is>
          <t>586937:eng</t>
        </is>
      </c>
      <c r="AV1228" t="inlineStr">
        <is>
          <t>57557522</t>
        </is>
      </c>
      <c r="AW1228" t="inlineStr">
        <is>
          <t>991004612989702656</t>
        </is>
      </c>
      <c r="AX1228" t="inlineStr">
        <is>
          <t>991004612989702656</t>
        </is>
      </c>
      <c r="AY1228" t="inlineStr">
        <is>
          <t>2256880860002656</t>
        </is>
      </c>
      <c r="AZ1228" t="inlineStr">
        <is>
          <t>BOOK</t>
        </is>
      </c>
      <c r="BB1228" t="inlineStr">
        <is>
          <t>9780761939764</t>
        </is>
      </c>
      <c r="BC1228" t="inlineStr">
        <is>
          <t>32285005097331</t>
        </is>
      </c>
      <c r="BD1228" t="inlineStr">
        <is>
          <t>893888950</t>
        </is>
      </c>
    </row>
    <row r="1229">
      <c r="A1229" t="inlineStr">
        <is>
          <t>No</t>
        </is>
      </c>
      <c r="B1229" t="inlineStr">
        <is>
          <t>LB2831.93 .D39 1999</t>
        </is>
      </c>
      <c r="C1229" t="inlineStr">
        <is>
          <t>0                      LB 2831930D  39          1999</t>
        </is>
      </c>
      <c r="D1229" t="inlineStr">
        <is>
          <t>A day in the life of a Catholic elementary/middle school assistant principal / Robert J. Kealy, Ed.D. editor.</t>
        </is>
      </c>
      <c r="F1229" t="inlineStr">
        <is>
          <t>No</t>
        </is>
      </c>
      <c r="G1229" t="inlineStr">
        <is>
          <t>1</t>
        </is>
      </c>
      <c r="H1229" t="inlineStr">
        <is>
          <t>No</t>
        </is>
      </c>
      <c r="I1229" t="inlineStr">
        <is>
          <t>No</t>
        </is>
      </c>
      <c r="J1229" t="inlineStr">
        <is>
          <t>0</t>
        </is>
      </c>
      <c r="L1229" t="inlineStr">
        <is>
          <t>Washington, D.C. : National Catholic Educational Association, 1999.</t>
        </is>
      </c>
      <c r="M1229" t="inlineStr">
        <is>
          <t>1999</t>
        </is>
      </c>
      <c r="O1229" t="inlineStr">
        <is>
          <t>eng</t>
        </is>
      </c>
      <c r="P1229" t="inlineStr">
        <is>
          <t>dcu</t>
        </is>
      </c>
      <c r="R1229" t="inlineStr">
        <is>
          <t xml:space="preserve">LB </t>
        </is>
      </c>
      <c r="S1229" t="n">
        <v>2</v>
      </c>
      <c r="T1229" t="n">
        <v>2</v>
      </c>
      <c r="U1229" t="inlineStr">
        <is>
          <t>2007-05-31</t>
        </is>
      </c>
      <c r="V1229" t="inlineStr">
        <is>
          <t>2007-05-31</t>
        </is>
      </c>
      <c r="W1229" t="inlineStr">
        <is>
          <t>2001-01-16</t>
        </is>
      </c>
      <c r="X1229" t="inlineStr">
        <is>
          <t>2001-01-16</t>
        </is>
      </c>
      <c r="Y1229" t="n">
        <v>17</v>
      </c>
      <c r="Z1229" t="n">
        <v>17</v>
      </c>
      <c r="AA1229" t="n">
        <v>18</v>
      </c>
      <c r="AB1229" t="n">
        <v>1</v>
      </c>
      <c r="AC1229" t="n">
        <v>1</v>
      </c>
      <c r="AD1229" t="n">
        <v>6</v>
      </c>
      <c r="AE1229" t="n">
        <v>6</v>
      </c>
      <c r="AF1229" t="n">
        <v>2</v>
      </c>
      <c r="AG1229" t="n">
        <v>2</v>
      </c>
      <c r="AH1229" t="n">
        <v>1</v>
      </c>
      <c r="AI1229" t="n">
        <v>1</v>
      </c>
      <c r="AJ1229" t="n">
        <v>4</v>
      </c>
      <c r="AK1229" t="n">
        <v>4</v>
      </c>
      <c r="AL1229" t="n">
        <v>0</v>
      </c>
      <c r="AM1229" t="n">
        <v>0</v>
      </c>
      <c r="AN1229" t="n">
        <v>0</v>
      </c>
      <c r="AO1229" t="n">
        <v>0</v>
      </c>
      <c r="AP1229" t="inlineStr">
        <is>
          <t>No</t>
        </is>
      </c>
      <c r="AQ1229" t="inlineStr">
        <is>
          <t>No</t>
        </is>
      </c>
      <c r="AS1229">
        <f>HYPERLINK("https://creighton-primo.hosted.exlibrisgroup.com/primo-explore/search?tab=default_tab&amp;search_scope=EVERYTHING&amp;vid=01CRU&amp;lang=en_US&amp;offset=0&amp;query=any,contains,991003466689702656","Catalog Record")</f>
        <v/>
      </c>
      <c r="AT1229">
        <f>HYPERLINK("http://www.worldcat.org/oclc/45380257","WorldCat Record")</f>
        <v/>
      </c>
      <c r="AU1229" t="inlineStr">
        <is>
          <t>4011144303:eng</t>
        </is>
      </c>
      <c r="AV1229" t="inlineStr">
        <is>
          <t>45380257</t>
        </is>
      </c>
      <c r="AW1229" t="inlineStr">
        <is>
          <t>991003466689702656</t>
        </is>
      </c>
      <c r="AX1229" t="inlineStr">
        <is>
          <t>991003466689702656</t>
        </is>
      </c>
      <c r="AY1229" t="inlineStr">
        <is>
          <t>2268430430002656</t>
        </is>
      </c>
      <c r="AZ1229" t="inlineStr">
        <is>
          <t>BOOK</t>
        </is>
      </c>
      <c r="BB1229" t="inlineStr">
        <is>
          <t>9781558332300</t>
        </is>
      </c>
      <c r="BC1229" t="inlineStr">
        <is>
          <t>32285004283890</t>
        </is>
      </c>
      <c r="BD1229" t="inlineStr">
        <is>
          <t>893428817</t>
        </is>
      </c>
    </row>
    <row r="1230">
      <c r="A1230" t="inlineStr">
        <is>
          <t>No</t>
        </is>
      </c>
      <c r="B1230" t="inlineStr">
        <is>
          <t>LB2831.952 .H65 2006</t>
        </is>
      </c>
      <c r="C1230" t="inlineStr">
        <is>
          <t>0                      LB 2831952H  65          2006</t>
        </is>
      </c>
      <c r="D1230" t="inlineStr">
        <is>
          <t>Selecting school leaders : guidelines for making tough decisions / William R. Holland.</t>
        </is>
      </c>
      <c r="F1230" t="inlineStr">
        <is>
          <t>No</t>
        </is>
      </c>
      <c r="G1230" t="inlineStr">
        <is>
          <t>1</t>
        </is>
      </c>
      <c r="H1230" t="inlineStr">
        <is>
          <t>No</t>
        </is>
      </c>
      <c r="I1230" t="inlineStr">
        <is>
          <t>No</t>
        </is>
      </c>
      <c r="J1230" t="inlineStr">
        <is>
          <t>0</t>
        </is>
      </c>
      <c r="K1230" t="inlineStr">
        <is>
          <t>Holland, William R., 1938-</t>
        </is>
      </c>
      <c r="L1230" t="inlineStr">
        <is>
          <t>Lanham, Md. : Rowman &amp; Littlefield Education, 2006.</t>
        </is>
      </c>
      <c r="M1230" t="inlineStr">
        <is>
          <t>2006</t>
        </is>
      </c>
      <c r="O1230" t="inlineStr">
        <is>
          <t>eng</t>
        </is>
      </c>
      <c r="P1230" t="inlineStr">
        <is>
          <t>mdu</t>
        </is>
      </c>
      <c r="R1230" t="inlineStr">
        <is>
          <t xml:space="preserve">LB </t>
        </is>
      </c>
      <c r="S1230" t="n">
        <v>1</v>
      </c>
      <c r="T1230" t="n">
        <v>1</v>
      </c>
      <c r="U1230" t="inlineStr">
        <is>
          <t>2006-08-02</t>
        </is>
      </c>
      <c r="V1230" t="inlineStr">
        <is>
          <t>2006-08-02</t>
        </is>
      </c>
      <c r="W1230" t="inlineStr">
        <is>
          <t>2006-08-02</t>
        </is>
      </c>
      <c r="X1230" t="inlineStr">
        <is>
          <t>2006-08-02</t>
        </is>
      </c>
      <c r="Y1230" t="n">
        <v>119</v>
      </c>
      <c r="Z1230" t="n">
        <v>108</v>
      </c>
      <c r="AA1230" t="n">
        <v>109</v>
      </c>
      <c r="AB1230" t="n">
        <v>2</v>
      </c>
      <c r="AC1230" t="n">
        <v>2</v>
      </c>
      <c r="AD1230" t="n">
        <v>6</v>
      </c>
      <c r="AE1230" t="n">
        <v>6</v>
      </c>
      <c r="AF1230" t="n">
        <v>1</v>
      </c>
      <c r="AG1230" t="n">
        <v>1</v>
      </c>
      <c r="AH1230" t="n">
        <v>1</v>
      </c>
      <c r="AI1230" t="n">
        <v>1</v>
      </c>
      <c r="AJ1230" t="n">
        <v>5</v>
      </c>
      <c r="AK1230" t="n">
        <v>5</v>
      </c>
      <c r="AL1230" t="n">
        <v>1</v>
      </c>
      <c r="AM1230" t="n">
        <v>1</v>
      </c>
      <c r="AN1230" t="n">
        <v>0</v>
      </c>
      <c r="AO1230" t="n">
        <v>0</v>
      </c>
      <c r="AP1230" t="inlineStr">
        <is>
          <t>No</t>
        </is>
      </c>
      <c r="AQ1230" t="inlineStr">
        <is>
          <t>Yes</t>
        </is>
      </c>
      <c r="AR1230">
        <f>HYPERLINK("http://catalog.hathitrust.org/Record/102044977","HathiTrust Record")</f>
        <v/>
      </c>
      <c r="AS1230">
        <f>HYPERLINK("https://creighton-primo.hosted.exlibrisgroup.com/primo-explore/search?tab=default_tab&amp;search_scope=EVERYTHING&amp;vid=01CRU&amp;lang=en_US&amp;offset=0&amp;query=any,contains,991004862279702656","Catalog Record")</f>
        <v/>
      </c>
      <c r="AT1230">
        <f>HYPERLINK("http://www.worldcat.org/oclc/64486798","WorldCat Record")</f>
        <v/>
      </c>
      <c r="AU1230" t="inlineStr">
        <is>
          <t>480136250:eng</t>
        </is>
      </c>
      <c r="AV1230" t="inlineStr">
        <is>
          <t>64486798</t>
        </is>
      </c>
      <c r="AW1230" t="inlineStr">
        <is>
          <t>991004862279702656</t>
        </is>
      </c>
      <c r="AX1230" t="inlineStr">
        <is>
          <t>991004862279702656</t>
        </is>
      </c>
      <c r="AY1230" t="inlineStr">
        <is>
          <t>2265805120002656</t>
        </is>
      </c>
      <c r="AZ1230" t="inlineStr">
        <is>
          <t>BOOK</t>
        </is>
      </c>
      <c r="BB1230" t="inlineStr">
        <is>
          <t>9781578864874</t>
        </is>
      </c>
      <c r="BC1230" t="inlineStr">
        <is>
          <t>32285005199558</t>
        </is>
      </c>
      <c r="BD1230" t="inlineStr">
        <is>
          <t>893353575</t>
        </is>
      </c>
    </row>
    <row r="1231">
      <c r="A1231" t="inlineStr">
        <is>
          <t>No</t>
        </is>
      </c>
      <c r="B1231" t="inlineStr">
        <is>
          <t>LB2831.958 .Q44 2005</t>
        </is>
      </c>
      <c r="C1231" t="inlineStr">
        <is>
          <t>0                      LB 2831958Q  44          2005</t>
        </is>
      </c>
      <c r="D1231" t="inlineStr">
        <is>
          <t>The frazzled principal's wellness plan : reclaiming time, managing stress, and creating a healthy lifestyle / J. Allen Queen and Patsy S. Queen.</t>
        </is>
      </c>
      <c r="F1231" t="inlineStr">
        <is>
          <t>No</t>
        </is>
      </c>
      <c r="G1231" t="inlineStr">
        <is>
          <t>1</t>
        </is>
      </c>
      <c r="H1231" t="inlineStr">
        <is>
          <t>No</t>
        </is>
      </c>
      <c r="I1231" t="inlineStr">
        <is>
          <t>No</t>
        </is>
      </c>
      <c r="J1231" t="inlineStr">
        <is>
          <t>0</t>
        </is>
      </c>
      <c r="K1231" t="inlineStr">
        <is>
          <t>Queen, J. Allen.</t>
        </is>
      </c>
      <c r="L1231" t="inlineStr">
        <is>
          <t>Thousand Oaks, Calif. : Corwin Press, c2005.</t>
        </is>
      </c>
      <c r="M1231" t="inlineStr">
        <is>
          <t>2005</t>
        </is>
      </c>
      <c r="O1231" t="inlineStr">
        <is>
          <t>eng</t>
        </is>
      </c>
      <c r="P1231" t="inlineStr">
        <is>
          <t>cau</t>
        </is>
      </c>
      <c r="R1231" t="inlineStr">
        <is>
          <t xml:space="preserve">LB </t>
        </is>
      </c>
      <c r="S1231" t="n">
        <v>3</v>
      </c>
      <c r="T1231" t="n">
        <v>3</v>
      </c>
      <c r="U1231" t="inlineStr">
        <is>
          <t>2008-10-16</t>
        </is>
      </c>
      <c r="V1231" t="inlineStr">
        <is>
          <t>2008-10-16</t>
        </is>
      </c>
      <c r="W1231" t="inlineStr">
        <is>
          <t>2005-03-16</t>
        </is>
      </c>
      <c r="X1231" t="inlineStr">
        <is>
          <t>2005-03-16</t>
        </is>
      </c>
      <c r="Y1231" t="n">
        <v>170</v>
      </c>
      <c r="Z1231" t="n">
        <v>140</v>
      </c>
      <c r="AA1231" t="n">
        <v>157</v>
      </c>
      <c r="AB1231" t="n">
        <v>2</v>
      </c>
      <c r="AC1231" t="n">
        <v>3</v>
      </c>
      <c r="AD1231" t="n">
        <v>5</v>
      </c>
      <c r="AE1231" t="n">
        <v>7</v>
      </c>
      <c r="AF1231" t="n">
        <v>1</v>
      </c>
      <c r="AG1231" t="n">
        <v>2</v>
      </c>
      <c r="AH1231" t="n">
        <v>1</v>
      </c>
      <c r="AI1231" t="n">
        <v>2</v>
      </c>
      <c r="AJ1231" t="n">
        <v>4</v>
      </c>
      <c r="AK1231" t="n">
        <v>4</v>
      </c>
      <c r="AL1231" t="n">
        <v>1</v>
      </c>
      <c r="AM1231" t="n">
        <v>2</v>
      </c>
      <c r="AN1231" t="n">
        <v>0</v>
      </c>
      <c r="AO1231" t="n">
        <v>0</v>
      </c>
      <c r="AP1231" t="inlineStr">
        <is>
          <t>No</t>
        </is>
      </c>
      <c r="AQ1231" t="inlineStr">
        <is>
          <t>No</t>
        </is>
      </c>
      <c r="AS1231">
        <f>HYPERLINK("https://creighton-primo.hosted.exlibrisgroup.com/primo-explore/search?tab=default_tab&amp;search_scope=EVERYTHING&amp;vid=01CRU&amp;lang=en_US&amp;offset=0&amp;query=any,contains,991004497649702656","Catalog Record")</f>
        <v/>
      </c>
      <c r="AT1231">
        <f>HYPERLINK("http://www.worldcat.org/oclc/55955308","WorldCat Record")</f>
        <v/>
      </c>
      <c r="AU1231" t="inlineStr">
        <is>
          <t>947219:eng</t>
        </is>
      </c>
      <c r="AV1231" t="inlineStr">
        <is>
          <t>55955308</t>
        </is>
      </c>
      <c r="AW1231" t="inlineStr">
        <is>
          <t>991004497649702656</t>
        </is>
      </c>
      <c r="AX1231" t="inlineStr">
        <is>
          <t>991004497649702656</t>
        </is>
      </c>
      <c r="AY1231" t="inlineStr">
        <is>
          <t>2268299040002656</t>
        </is>
      </c>
      <c r="AZ1231" t="inlineStr">
        <is>
          <t>BOOK</t>
        </is>
      </c>
      <c r="BB1231" t="inlineStr">
        <is>
          <t>9780761988847</t>
        </is>
      </c>
      <c r="BC1231" t="inlineStr">
        <is>
          <t>32285005042089</t>
        </is>
      </c>
      <c r="BD1231" t="inlineStr">
        <is>
          <t>893895060</t>
        </is>
      </c>
    </row>
    <row r="1232">
      <c r="A1232" t="inlineStr">
        <is>
          <t>No</t>
        </is>
      </c>
      <c r="B1232" t="inlineStr">
        <is>
          <t>LB2833 .W33 2005</t>
        </is>
      </c>
      <c r="C1232" t="inlineStr">
        <is>
          <t>0                      LB 2833000W  33          2005</t>
        </is>
      </c>
      <c r="D1232" t="inlineStr">
        <is>
          <t>The teacher's guide to successful job transfers and promotions / Joanne C. Wachter.</t>
        </is>
      </c>
      <c r="F1232" t="inlineStr">
        <is>
          <t>No</t>
        </is>
      </c>
      <c r="G1232" t="inlineStr">
        <is>
          <t>1</t>
        </is>
      </c>
      <c r="H1232" t="inlineStr">
        <is>
          <t>No</t>
        </is>
      </c>
      <c r="I1232" t="inlineStr">
        <is>
          <t>No</t>
        </is>
      </c>
      <c r="J1232" t="inlineStr">
        <is>
          <t>0</t>
        </is>
      </c>
      <c r="K1232" t="inlineStr">
        <is>
          <t>Wachter, Joanne C.</t>
        </is>
      </c>
      <c r="L1232" t="inlineStr">
        <is>
          <t>Thousand Oaks, Calif. : Corwin Press, c2005.</t>
        </is>
      </c>
      <c r="M1232" t="inlineStr">
        <is>
          <t>2005</t>
        </is>
      </c>
      <c r="O1232" t="inlineStr">
        <is>
          <t>eng</t>
        </is>
      </c>
      <c r="P1232" t="inlineStr">
        <is>
          <t>cau</t>
        </is>
      </c>
      <c r="R1232" t="inlineStr">
        <is>
          <t xml:space="preserve">LB </t>
        </is>
      </c>
      <c r="S1232" t="n">
        <v>1</v>
      </c>
      <c r="T1232" t="n">
        <v>1</v>
      </c>
      <c r="U1232" t="inlineStr">
        <is>
          <t>2005-05-23</t>
        </is>
      </c>
      <c r="V1232" t="inlineStr">
        <is>
          <t>2005-05-23</t>
        </is>
      </c>
      <c r="W1232" t="inlineStr">
        <is>
          <t>2005-05-23</t>
        </is>
      </c>
      <c r="X1232" t="inlineStr">
        <is>
          <t>2005-05-23</t>
        </is>
      </c>
      <c r="Y1232" t="n">
        <v>141</v>
      </c>
      <c r="Z1232" t="n">
        <v>121</v>
      </c>
      <c r="AA1232" t="n">
        <v>138</v>
      </c>
      <c r="AB1232" t="n">
        <v>3</v>
      </c>
      <c r="AC1232" t="n">
        <v>3</v>
      </c>
      <c r="AD1232" t="n">
        <v>5</v>
      </c>
      <c r="AE1232" t="n">
        <v>6</v>
      </c>
      <c r="AF1232" t="n">
        <v>0</v>
      </c>
      <c r="AG1232" t="n">
        <v>1</v>
      </c>
      <c r="AH1232" t="n">
        <v>1</v>
      </c>
      <c r="AI1232" t="n">
        <v>2</v>
      </c>
      <c r="AJ1232" t="n">
        <v>3</v>
      </c>
      <c r="AK1232" t="n">
        <v>3</v>
      </c>
      <c r="AL1232" t="n">
        <v>2</v>
      </c>
      <c r="AM1232" t="n">
        <v>2</v>
      </c>
      <c r="AN1232" t="n">
        <v>0</v>
      </c>
      <c r="AO1232" t="n">
        <v>0</v>
      </c>
      <c r="AP1232" t="inlineStr">
        <is>
          <t>No</t>
        </is>
      </c>
      <c r="AQ1232" t="inlineStr">
        <is>
          <t>Yes</t>
        </is>
      </c>
      <c r="AR1232">
        <f>HYPERLINK("http://catalog.hathitrust.org/Record/102038339","HathiTrust Record")</f>
        <v/>
      </c>
      <c r="AS1232">
        <f>HYPERLINK("https://creighton-primo.hosted.exlibrisgroup.com/primo-explore/search?tab=default_tab&amp;search_scope=EVERYTHING&amp;vid=01CRU&amp;lang=en_US&amp;offset=0&amp;query=any,contains,991004556309702656","Catalog Record")</f>
        <v/>
      </c>
      <c r="AT1232">
        <f>HYPERLINK("http://www.worldcat.org/oclc/60381107","WorldCat Record")</f>
        <v/>
      </c>
      <c r="AU1232" t="inlineStr">
        <is>
          <t>2596339196:eng</t>
        </is>
      </c>
      <c r="AV1232" t="inlineStr">
        <is>
          <t>60381107</t>
        </is>
      </c>
      <c r="AW1232" t="inlineStr">
        <is>
          <t>991004556309702656</t>
        </is>
      </c>
      <c r="AX1232" t="inlineStr">
        <is>
          <t>991004556309702656</t>
        </is>
      </c>
      <c r="AY1232" t="inlineStr">
        <is>
          <t>2260961570002656</t>
        </is>
      </c>
      <c r="AZ1232" t="inlineStr">
        <is>
          <t>BOOK</t>
        </is>
      </c>
      <c r="BB1232" t="inlineStr">
        <is>
          <t>9781412914543</t>
        </is>
      </c>
      <c r="BC1232" t="inlineStr">
        <is>
          <t>32285005039580</t>
        </is>
      </c>
      <c r="BD1232" t="inlineStr">
        <is>
          <t>893904916</t>
        </is>
      </c>
    </row>
    <row r="1233">
      <c r="A1233" t="inlineStr">
        <is>
          <t>No</t>
        </is>
      </c>
      <c r="B1233" t="inlineStr">
        <is>
          <t>LB2833.2 .J64 2006</t>
        </is>
      </c>
      <c r="C1233" t="inlineStr">
        <is>
          <t>0                      LB 2833200J  64          2006</t>
        </is>
      </c>
      <c r="D1233" t="inlineStr">
        <is>
          <t>The workplace matters teacher quality, retention, and effectiveness / Susan Moore Johnson.</t>
        </is>
      </c>
      <c r="F1233" t="inlineStr">
        <is>
          <t>No</t>
        </is>
      </c>
      <c r="G1233" t="inlineStr">
        <is>
          <t>1</t>
        </is>
      </c>
      <c r="H1233" t="inlineStr">
        <is>
          <t>No</t>
        </is>
      </c>
      <c r="I1233" t="inlineStr">
        <is>
          <t>No</t>
        </is>
      </c>
      <c r="J1233" t="inlineStr">
        <is>
          <t>0</t>
        </is>
      </c>
      <c r="K1233" t="inlineStr">
        <is>
          <t>Johnson, Susan Moore.</t>
        </is>
      </c>
      <c r="L1233" t="inlineStr">
        <is>
          <t>Washington, DC : National Education Association, c2006.</t>
        </is>
      </c>
      <c r="M1233" t="inlineStr">
        <is>
          <t>2006</t>
        </is>
      </c>
      <c r="O1233" t="inlineStr">
        <is>
          <t>eng</t>
        </is>
      </c>
      <c r="P1233" t="inlineStr">
        <is>
          <t>dcu</t>
        </is>
      </c>
      <c r="Q1233" t="inlineStr">
        <is>
          <t>NEA research working paper</t>
        </is>
      </c>
      <c r="R1233" t="inlineStr">
        <is>
          <t xml:space="preserve">LB </t>
        </is>
      </c>
      <c r="S1233" t="n">
        <v>1</v>
      </c>
      <c r="T1233" t="n">
        <v>1</v>
      </c>
      <c r="U1233" t="inlineStr">
        <is>
          <t>2007-02-13</t>
        </is>
      </c>
      <c r="V1233" t="inlineStr">
        <is>
          <t>2007-02-13</t>
        </is>
      </c>
      <c r="W1233" t="inlineStr">
        <is>
          <t>2007-02-13</t>
        </is>
      </c>
      <c r="X1233" t="inlineStr">
        <is>
          <t>2007-02-13</t>
        </is>
      </c>
      <c r="Y1233" t="n">
        <v>107</v>
      </c>
      <c r="Z1233" t="n">
        <v>105</v>
      </c>
      <c r="AA1233" t="n">
        <v>110</v>
      </c>
      <c r="AB1233" t="n">
        <v>2</v>
      </c>
      <c r="AC1233" t="n">
        <v>2</v>
      </c>
      <c r="AD1233" t="n">
        <v>5</v>
      </c>
      <c r="AE1233" t="n">
        <v>6</v>
      </c>
      <c r="AF1233" t="n">
        <v>4</v>
      </c>
      <c r="AG1233" t="n">
        <v>5</v>
      </c>
      <c r="AH1233" t="n">
        <v>0</v>
      </c>
      <c r="AI1233" t="n">
        <v>0</v>
      </c>
      <c r="AJ1233" t="n">
        <v>2</v>
      </c>
      <c r="AK1233" t="n">
        <v>3</v>
      </c>
      <c r="AL1233" t="n">
        <v>1</v>
      </c>
      <c r="AM1233" t="n">
        <v>1</v>
      </c>
      <c r="AN1233" t="n">
        <v>0</v>
      </c>
      <c r="AO1233" t="n">
        <v>0</v>
      </c>
      <c r="AP1233" t="inlineStr">
        <is>
          <t>No</t>
        </is>
      </c>
      <c r="AQ1233" t="inlineStr">
        <is>
          <t>No</t>
        </is>
      </c>
      <c r="AS1233">
        <f>HYPERLINK("https://creighton-primo.hosted.exlibrisgroup.com/primo-explore/search?tab=default_tab&amp;search_scope=EVERYTHING&amp;vid=01CRU&amp;lang=en_US&amp;offset=0&amp;query=any,contains,991005034709702656","Catalog Record")</f>
        <v/>
      </c>
      <c r="AT1233">
        <f>HYPERLINK("http://www.worldcat.org/oclc/71685376","WorldCat Record")</f>
        <v/>
      </c>
      <c r="AU1233" t="inlineStr">
        <is>
          <t>3769041656:eng</t>
        </is>
      </c>
      <c r="AV1233" t="inlineStr">
        <is>
          <t>71685376</t>
        </is>
      </c>
      <c r="AW1233" t="inlineStr">
        <is>
          <t>991005034709702656</t>
        </is>
      </c>
      <c r="AX1233" t="inlineStr">
        <is>
          <t>991005034709702656</t>
        </is>
      </c>
      <c r="AY1233" t="inlineStr">
        <is>
          <t>2257612930002656</t>
        </is>
      </c>
      <c r="AZ1233" t="inlineStr">
        <is>
          <t>BOOK</t>
        </is>
      </c>
      <c r="BC1233" t="inlineStr">
        <is>
          <t>32285005276406</t>
        </is>
      </c>
      <c r="BD1233" t="inlineStr">
        <is>
          <t>893326076</t>
        </is>
      </c>
    </row>
    <row r="1234">
      <c r="A1234" t="inlineStr">
        <is>
          <t>No</t>
        </is>
      </c>
      <c r="B1234" t="inlineStr">
        <is>
          <t>LB2835 .M85 2009</t>
        </is>
      </c>
      <c r="C1234" t="inlineStr">
        <is>
          <t>0                      LB 2835000M  85          2009</t>
        </is>
      </c>
      <c r="D1234" t="inlineStr">
        <is>
          <t>Getting and keeping new teachers : six essential steps from recruitment to retention / Janet D. Mulvey and Bruce S. Cooper.</t>
        </is>
      </c>
      <c r="F1234" t="inlineStr">
        <is>
          <t>No</t>
        </is>
      </c>
      <c r="G1234" t="inlineStr">
        <is>
          <t>1</t>
        </is>
      </c>
      <c r="H1234" t="inlineStr">
        <is>
          <t>No</t>
        </is>
      </c>
      <c r="I1234" t="inlineStr">
        <is>
          <t>No</t>
        </is>
      </c>
      <c r="J1234" t="inlineStr">
        <is>
          <t>0</t>
        </is>
      </c>
      <c r="K1234" t="inlineStr">
        <is>
          <t>Mulvey, Janet D.</t>
        </is>
      </c>
      <c r="L1234" t="inlineStr">
        <is>
          <t>Lanham, Md. : Rowman &amp; Littlefield Education, c2009.</t>
        </is>
      </c>
      <c r="M1234" t="inlineStr">
        <is>
          <t>2009</t>
        </is>
      </c>
      <c r="O1234" t="inlineStr">
        <is>
          <t>eng</t>
        </is>
      </c>
      <c r="P1234" t="inlineStr">
        <is>
          <t>mdu</t>
        </is>
      </c>
      <c r="R1234" t="inlineStr">
        <is>
          <t xml:space="preserve">LB </t>
        </is>
      </c>
      <c r="S1234" t="n">
        <v>1</v>
      </c>
      <c r="T1234" t="n">
        <v>1</v>
      </c>
      <c r="U1234" t="inlineStr">
        <is>
          <t>2010-01-13</t>
        </is>
      </c>
      <c r="V1234" t="inlineStr">
        <is>
          <t>2010-01-13</t>
        </is>
      </c>
      <c r="W1234" t="inlineStr">
        <is>
          <t>2010-01-13</t>
        </is>
      </c>
      <c r="X1234" t="inlineStr">
        <is>
          <t>2010-01-13</t>
        </is>
      </c>
      <c r="Y1234" t="n">
        <v>107</v>
      </c>
      <c r="Z1234" t="n">
        <v>95</v>
      </c>
      <c r="AA1234" t="n">
        <v>119</v>
      </c>
      <c r="AB1234" t="n">
        <v>2</v>
      </c>
      <c r="AC1234" t="n">
        <v>2</v>
      </c>
      <c r="AD1234" t="n">
        <v>4</v>
      </c>
      <c r="AE1234" t="n">
        <v>5</v>
      </c>
      <c r="AF1234" t="n">
        <v>1</v>
      </c>
      <c r="AG1234" t="n">
        <v>2</v>
      </c>
      <c r="AH1234" t="n">
        <v>1</v>
      </c>
      <c r="AI1234" t="n">
        <v>2</v>
      </c>
      <c r="AJ1234" t="n">
        <v>3</v>
      </c>
      <c r="AK1234" t="n">
        <v>3</v>
      </c>
      <c r="AL1234" t="n">
        <v>1</v>
      </c>
      <c r="AM1234" t="n">
        <v>1</v>
      </c>
      <c r="AN1234" t="n">
        <v>0</v>
      </c>
      <c r="AO1234" t="n">
        <v>0</v>
      </c>
      <c r="AP1234" t="inlineStr">
        <is>
          <t>No</t>
        </is>
      </c>
      <c r="AQ1234" t="inlineStr">
        <is>
          <t>No</t>
        </is>
      </c>
      <c r="AS1234">
        <f>HYPERLINK("https://creighton-primo.hosted.exlibrisgroup.com/primo-explore/search?tab=default_tab&amp;search_scope=EVERYTHING&amp;vid=01CRU&amp;lang=en_US&amp;offset=0&amp;query=any,contains,991005349409702656","Catalog Record")</f>
        <v/>
      </c>
      <c r="AT1234">
        <f>HYPERLINK("http://www.worldcat.org/oclc/396185719","WorldCat Record")</f>
        <v/>
      </c>
      <c r="AU1234" t="inlineStr">
        <is>
          <t>802711281:eng</t>
        </is>
      </c>
      <c r="AV1234" t="inlineStr">
        <is>
          <t>396185719</t>
        </is>
      </c>
      <c r="AW1234" t="inlineStr">
        <is>
          <t>991005349409702656</t>
        </is>
      </c>
      <c r="AX1234" t="inlineStr">
        <is>
          <t>991005349409702656</t>
        </is>
      </c>
      <c r="AY1234" t="inlineStr">
        <is>
          <t>2267007550002656</t>
        </is>
      </c>
      <c r="AZ1234" t="inlineStr">
        <is>
          <t>BOOK</t>
        </is>
      </c>
      <c r="BB1234" t="inlineStr">
        <is>
          <t>9781607092179</t>
        </is>
      </c>
      <c r="BC1234" t="inlineStr">
        <is>
          <t>32285005556815</t>
        </is>
      </c>
      <c r="BD1234" t="inlineStr">
        <is>
          <t>893625861</t>
        </is>
      </c>
    </row>
    <row r="1235">
      <c r="A1235" t="inlineStr">
        <is>
          <t>No</t>
        </is>
      </c>
      <c r="B1235" t="inlineStr">
        <is>
          <t>LB2835.25 .I53 2003</t>
        </is>
      </c>
      <c r="C1235" t="inlineStr">
        <is>
          <t>0                      LB 2835250I  53          2003</t>
        </is>
      </c>
      <c r="D1235" t="inlineStr">
        <is>
          <t>Induction : connecting teacher recruitment to retention / Roberta Richin ... [et al.] ; foreword by Harvey J. Stedman.</t>
        </is>
      </c>
      <c r="F1235" t="inlineStr">
        <is>
          <t>No</t>
        </is>
      </c>
      <c r="G1235" t="inlineStr">
        <is>
          <t>1</t>
        </is>
      </c>
      <c r="H1235" t="inlineStr">
        <is>
          <t>No</t>
        </is>
      </c>
      <c r="I1235" t="inlineStr">
        <is>
          <t>No</t>
        </is>
      </c>
      <c r="J1235" t="inlineStr">
        <is>
          <t>0</t>
        </is>
      </c>
      <c r="L1235" t="inlineStr">
        <is>
          <t>Thousand Oaks, Calif. : Corwin Press, c2003.</t>
        </is>
      </c>
      <c r="M1235" t="inlineStr">
        <is>
          <t>2003</t>
        </is>
      </c>
      <c r="O1235" t="inlineStr">
        <is>
          <t>eng</t>
        </is>
      </c>
      <c r="P1235" t="inlineStr">
        <is>
          <t>cau</t>
        </is>
      </c>
      <c r="R1235" t="inlineStr">
        <is>
          <t xml:space="preserve">LB </t>
        </is>
      </c>
      <c r="S1235" t="n">
        <v>1</v>
      </c>
      <c r="T1235" t="n">
        <v>1</v>
      </c>
      <c r="U1235" t="inlineStr">
        <is>
          <t>2003-05-14</t>
        </is>
      </c>
      <c r="V1235" t="inlineStr">
        <is>
          <t>2003-05-14</t>
        </is>
      </c>
      <c r="W1235" t="inlineStr">
        <is>
          <t>2003-05-14</t>
        </is>
      </c>
      <c r="X1235" t="inlineStr">
        <is>
          <t>2003-05-14</t>
        </is>
      </c>
      <c r="Y1235" t="n">
        <v>215</v>
      </c>
      <c r="Z1235" t="n">
        <v>186</v>
      </c>
      <c r="AA1235" t="n">
        <v>186</v>
      </c>
      <c r="AB1235" t="n">
        <v>3</v>
      </c>
      <c r="AC1235" t="n">
        <v>3</v>
      </c>
      <c r="AD1235" t="n">
        <v>12</v>
      </c>
      <c r="AE1235" t="n">
        <v>12</v>
      </c>
      <c r="AF1235" t="n">
        <v>4</v>
      </c>
      <c r="AG1235" t="n">
        <v>4</v>
      </c>
      <c r="AH1235" t="n">
        <v>1</v>
      </c>
      <c r="AI1235" t="n">
        <v>1</v>
      </c>
      <c r="AJ1235" t="n">
        <v>9</v>
      </c>
      <c r="AK1235" t="n">
        <v>9</v>
      </c>
      <c r="AL1235" t="n">
        <v>2</v>
      </c>
      <c r="AM1235" t="n">
        <v>2</v>
      </c>
      <c r="AN1235" t="n">
        <v>0</v>
      </c>
      <c r="AO1235" t="n">
        <v>0</v>
      </c>
      <c r="AP1235" t="inlineStr">
        <is>
          <t>No</t>
        </is>
      </c>
      <c r="AQ1235" t="inlineStr">
        <is>
          <t>No</t>
        </is>
      </c>
      <c r="AS1235">
        <f>HYPERLINK("https://creighton-primo.hosted.exlibrisgroup.com/primo-explore/search?tab=default_tab&amp;search_scope=EVERYTHING&amp;vid=01CRU&amp;lang=en_US&amp;offset=0&amp;query=any,contains,991004048579702656","Catalog Record")</f>
        <v/>
      </c>
      <c r="AT1235">
        <f>HYPERLINK("http://www.worldcat.org/oclc/51306115","WorldCat Record")</f>
        <v/>
      </c>
      <c r="AU1235" t="inlineStr">
        <is>
          <t>894467237:eng</t>
        </is>
      </c>
      <c r="AV1235" t="inlineStr">
        <is>
          <t>51306115</t>
        </is>
      </c>
      <c r="AW1235" t="inlineStr">
        <is>
          <t>991004048579702656</t>
        </is>
      </c>
      <c r="AX1235" t="inlineStr">
        <is>
          <t>991004048579702656</t>
        </is>
      </c>
      <c r="AY1235" t="inlineStr">
        <is>
          <t>2270218230002656</t>
        </is>
      </c>
      <c r="AZ1235" t="inlineStr">
        <is>
          <t>BOOK</t>
        </is>
      </c>
      <c r="BB1235" t="inlineStr">
        <is>
          <t>9780761946755</t>
        </is>
      </c>
      <c r="BC1235" t="inlineStr">
        <is>
          <t>32285004746433</t>
        </is>
      </c>
      <c r="BD1235" t="inlineStr">
        <is>
          <t>893605570</t>
        </is>
      </c>
    </row>
    <row r="1236">
      <c r="A1236" t="inlineStr">
        <is>
          <t>No</t>
        </is>
      </c>
      <c r="B1236" t="inlineStr">
        <is>
          <t>LB2837 .N65 2004</t>
        </is>
      </c>
      <c r="C1236" t="inlineStr">
        <is>
          <t>0                      LB 2837000N  65          2004</t>
        </is>
      </c>
      <c r="D1236" t="inlineStr">
        <is>
          <t>Servants of the poor : teachers and mobility in Ireland and Irish America / Janet Nolan.</t>
        </is>
      </c>
      <c r="F1236" t="inlineStr">
        <is>
          <t>No</t>
        </is>
      </c>
      <c r="G1236" t="inlineStr">
        <is>
          <t>1</t>
        </is>
      </c>
      <c r="H1236" t="inlineStr">
        <is>
          <t>No</t>
        </is>
      </c>
      <c r="I1236" t="inlineStr">
        <is>
          <t>No</t>
        </is>
      </c>
      <c r="J1236" t="inlineStr">
        <is>
          <t>0</t>
        </is>
      </c>
      <c r="K1236" t="inlineStr">
        <is>
          <t>Nolan, Janet, 1946-</t>
        </is>
      </c>
      <c r="L1236" t="inlineStr">
        <is>
          <t>Notre Dame, Ind. : University of Notre Dame Press, c2004.</t>
        </is>
      </c>
      <c r="M1236" t="inlineStr">
        <is>
          <t>2004</t>
        </is>
      </c>
      <c r="O1236" t="inlineStr">
        <is>
          <t>eng</t>
        </is>
      </c>
      <c r="P1236" t="inlineStr">
        <is>
          <t>inu</t>
        </is>
      </c>
      <c r="R1236" t="inlineStr">
        <is>
          <t xml:space="preserve">LB </t>
        </is>
      </c>
      <c r="S1236" t="n">
        <v>3</v>
      </c>
      <c r="T1236" t="n">
        <v>3</v>
      </c>
      <c r="U1236" t="inlineStr">
        <is>
          <t>2008-04-04</t>
        </is>
      </c>
      <c r="V1236" t="inlineStr">
        <is>
          <t>2008-04-04</t>
        </is>
      </c>
      <c r="W1236" t="inlineStr">
        <is>
          <t>2005-03-16</t>
        </is>
      </c>
      <c r="X1236" t="inlineStr">
        <is>
          <t>2005-03-16</t>
        </is>
      </c>
      <c r="Y1236" t="n">
        <v>342</v>
      </c>
      <c r="Z1236" t="n">
        <v>297</v>
      </c>
      <c r="AA1236" t="n">
        <v>319</v>
      </c>
      <c r="AB1236" t="n">
        <v>2</v>
      </c>
      <c r="AC1236" t="n">
        <v>3</v>
      </c>
      <c r="AD1236" t="n">
        <v>21</v>
      </c>
      <c r="AE1236" t="n">
        <v>23</v>
      </c>
      <c r="AF1236" t="n">
        <v>8</v>
      </c>
      <c r="AG1236" t="n">
        <v>9</v>
      </c>
      <c r="AH1236" t="n">
        <v>6</v>
      </c>
      <c r="AI1236" t="n">
        <v>7</v>
      </c>
      <c r="AJ1236" t="n">
        <v>13</v>
      </c>
      <c r="AK1236" t="n">
        <v>13</v>
      </c>
      <c r="AL1236" t="n">
        <v>1</v>
      </c>
      <c r="AM1236" t="n">
        <v>2</v>
      </c>
      <c r="AN1236" t="n">
        <v>0</v>
      </c>
      <c r="AO1236" t="n">
        <v>0</v>
      </c>
      <c r="AP1236" t="inlineStr">
        <is>
          <t>No</t>
        </is>
      </c>
      <c r="AQ1236" t="inlineStr">
        <is>
          <t>Yes</t>
        </is>
      </c>
      <c r="AR1236">
        <f>HYPERLINK("http://catalog.hathitrust.org/Record/004913085","HathiTrust Record")</f>
        <v/>
      </c>
      <c r="AS1236">
        <f>HYPERLINK("https://creighton-primo.hosted.exlibrisgroup.com/primo-explore/search?tab=default_tab&amp;search_scope=EVERYTHING&amp;vid=01CRU&amp;lang=en_US&amp;offset=0&amp;query=any,contains,991004497749702656","Catalog Record")</f>
        <v/>
      </c>
      <c r="AT1236">
        <f>HYPERLINK("http://www.worldcat.org/oclc/56419616","WorldCat Record")</f>
        <v/>
      </c>
      <c r="AU1236" t="inlineStr">
        <is>
          <t>476512300:eng</t>
        </is>
      </c>
      <c r="AV1236" t="inlineStr">
        <is>
          <t>56419616</t>
        </is>
      </c>
      <c r="AW1236" t="inlineStr">
        <is>
          <t>991004497749702656</t>
        </is>
      </c>
      <c r="AX1236" t="inlineStr">
        <is>
          <t>991004497749702656</t>
        </is>
      </c>
      <c r="AY1236" t="inlineStr">
        <is>
          <t>2262680880002656</t>
        </is>
      </c>
      <c r="AZ1236" t="inlineStr">
        <is>
          <t>BOOK</t>
        </is>
      </c>
      <c r="BB1236" t="inlineStr">
        <is>
          <t>9780268036591</t>
        </is>
      </c>
      <c r="BC1236" t="inlineStr">
        <is>
          <t>32285005042105</t>
        </is>
      </c>
      <c r="BD1236" t="inlineStr">
        <is>
          <t>893241507</t>
        </is>
      </c>
    </row>
    <row r="1237">
      <c r="A1237" t="inlineStr">
        <is>
          <t>No</t>
        </is>
      </c>
      <c r="B1237" t="inlineStr">
        <is>
          <t>LB2838 .B44 2000</t>
        </is>
      </c>
      <c r="C1237" t="inlineStr">
        <is>
          <t>0                      LB 2838000B  44          2000</t>
        </is>
      </c>
      <c r="D1237" t="inlineStr">
        <is>
          <t>Evaluating teachers for professional growth : creating a culture of motivation and learning / by Dan Beerens.</t>
        </is>
      </c>
      <c r="F1237" t="inlineStr">
        <is>
          <t>No</t>
        </is>
      </c>
      <c r="G1237" t="inlineStr">
        <is>
          <t>1</t>
        </is>
      </c>
      <c r="H1237" t="inlineStr">
        <is>
          <t>No</t>
        </is>
      </c>
      <c r="I1237" t="inlineStr">
        <is>
          <t>No</t>
        </is>
      </c>
      <c r="J1237" t="inlineStr">
        <is>
          <t>0</t>
        </is>
      </c>
      <c r="K1237" t="inlineStr">
        <is>
          <t>Beerens, Daniel R.</t>
        </is>
      </c>
      <c r="L1237" t="inlineStr">
        <is>
          <t>Thousand Oaks, Calif. : Sage Publications, c2000.</t>
        </is>
      </c>
      <c r="M1237" t="inlineStr">
        <is>
          <t>2000</t>
        </is>
      </c>
      <c r="O1237" t="inlineStr">
        <is>
          <t>eng</t>
        </is>
      </c>
      <c r="P1237" t="inlineStr">
        <is>
          <t>cau</t>
        </is>
      </c>
      <c r="R1237" t="inlineStr">
        <is>
          <t xml:space="preserve">LB </t>
        </is>
      </c>
      <c r="S1237" t="n">
        <v>5</v>
      </c>
      <c r="T1237" t="n">
        <v>5</v>
      </c>
      <c r="U1237" t="inlineStr">
        <is>
          <t>2006-02-06</t>
        </is>
      </c>
      <c r="V1237" t="inlineStr">
        <is>
          <t>2006-02-06</t>
        </is>
      </c>
      <c r="W1237" t="inlineStr">
        <is>
          <t>2000-02-09</t>
        </is>
      </c>
      <c r="X1237" t="inlineStr">
        <is>
          <t>2000-02-09</t>
        </is>
      </c>
      <c r="Y1237" t="n">
        <v>356</v>
      </c>
      <c r="Z1237" t="n">
        <v>280</v>
      </c>
      <c r="AA1237" t="n">
        <v>285</v>
      </c>
      <c r="AB1237" t="n">
        <v>3</v>
      </c>
      <c r="AC1237" t="n">
        <v>3</v>
      </c>
      <c r="AD1237" t="n">
        <v>13</v>
      </c>
      <c r="AE1237" t="n">
        <v>13</v>
      </c>
      <c r="AF1237" t="n">
        <v>2</v>
      </c>
      <c r="AG1237" t="n">
        <v>2</v>
      </c>
      <c r="AH1237" t="n">
        <v>2</v>
      </c>
      <c r="AI1237" t="n">
        <v>2</v>
      </c>
      <c r="AJ1237" t="n">
        <v>9</v>
      </c>
      <c r="AK1237" t="n">
        <v>9</v>
      </c>
      <c r="AL1237" t="n">
        <v>2</v>
      </c>
      <c r="AM1237" t="n">
        <v>2</v>
      </c>
      <c r="AN1237" t="n">
        <v>0</v>
      </c>
      <c r="AO1237" t="n">
        <v>0</v>
      </c>
      <c r="AP1237" t="inlineStr">
        <is>
          <t>No</t>
        </is>
      </c>
      <c r="AQ1237" t="inlineStr">
        <is>
          <t>Yes</t>
        </is>
      </c>
      <c r="AR1237">
        <f>HYPERLINK("http://catalog.hathitrust.org/Record/003479292","HathiTrust Record")</f>
        <v/>
      </c>
      <c r="AS1237">
        <f>HYPERLINK("https://creighton-primo.hosted.exlibrisgroup.com/primo-explore/search?tab=default_tab&amp;search_scope=EVERYTHING&amp;vid=01CRU&amp;lang=en_US&amp;offset=0&amp;query=any,contains,991003035699702656","Catalog Record")</f>
        <v/>
      </c>
      <c r="AT1237">
        <f>HYPERLINK("http://www.worldcat.org/oclc/41662248","WorldCat Record")</f>
        <v/>
      </c>
      <c r="AU1237" t="inlineStr">
        <is>
          <t>837029237:eng</t>
        </is>
      </c>
      <c r="AV1237" t="inlineStr">
        <is>
          <t>41662248</t>
        </is>
      </c>
      <c r="AW1237" t="inlineStr">
        <is>
          <t>991003035699702656</t>
        </is>
      </c>
      <c r="AX1237" t="inlineStr">
        <is>
          <t>991003035699702656</t>
        </is>
      </c>
      <c r="AY1237" t="inlineStr">
        <is>
          <t>2254740310002656</t>
        </is>
      </c>
      <c r="AZ1237" t="inlineStr">
        <is>
          <t>BOOK</t>
        </is>
      </c>
      <c r="BB1237" t="inlineStr">
        <is>
          <t>9780761975663</t>
        </is>
      </c>
      <c r="BC1237" t="inlineStr">
        <is>
          <t>32285003661005</t>
        </is>
      </c>
      <c r="BD1237" t="inlineStr">
        <is>
          <t>893535315</t>
        </is>
      </c>
    </row>
    <row r="1238">
      <c r="A1238" t="inlineStr">
        <is>
          <t>No</t>
        </is>
      </c>
      <c r="B1238" t="inlineStr">
        <is>
          <t>LB2838 .B685 1986</t>
        </is>
      </c>
      <c r="C1238" t="inlineStr">
        <is>
          <t>0                      LB 2838000B  685         1986</t>
        </is>
      </c>
      <c r="D1238" t="inlineStr">
        <is>
          <t>The incompetent teacher : the challenge and the response / Edwin M. Bridges.</t>
        </is>
      </c>
      <c r="F1238" t="inlineStr">
        <is>
          <t>No</t>
        </is>
      </c>
      <c r="G1238" t="inlineStr">
        <is>
          <t>1</t>
        </is>
      </c>
      <c r="H1238" t="inlineStr">
        <is>
          <t>No</t>
        </is>
      </c>
      <c r="I1238" t="inlineStr">
        <is>
          <t>No</t>
        </is>
      </c>
      <c r="J1238" t="inlineStr">
        <is>
          <t>0</t>
        </is>
      </c>
      <c r="K1238" t="inlineStr">
        <is>
          <t>Bridges, Edwin M.</t>
        </is>
      </c>
      <c r="L1238" t="inlineStr">
        <is>
          <t>Philadelphia : Falmer Press, 1986.</t>
        </is>
      </c>
      <c r="M1238" t="inlineStr">
        <is>
          <t>1986</t>
        </is>
      </c>
      <c r="O1238" t="inlineStr">
        <is>
          <t>eng</t>
        </is>
      </c>
      <c r="P1238" t="inlineStr">
        <is>
          <t>pau</t>
        </is>
      </c>
      <c r="Q1238" t="inlineStr">
        <is>
          <t>[The Stanford series on education &amp; public policy]</t>
        </is>
      </c>
      <c r="R1238" t="inlineStr">
        <is>
          <t xml:space="preserve">LB </t>
        </is>
      </c>
      <c r="S1238" t="n">
        <v>1</v>
      </c>
      <c r="T1238" t="n">
        <v>1</v>
      </c>
      <c r="U1238" t="inlineStr">
        <is>
          <t>1992-11-18</t>
        </is>
      </c>
      <c r="V1238" t="inlineStr">
        <is>
          <t>1992-11-18</t>
        </is>
      </c>
      <c r="W1238" t="inlineStr">
        <is>
          <t>1992-06-30</t>
        </is>
      </c>
      <c r="X1238" t="inlineStr">
        <is>
          <t>1992-06-30</t>
        </is>
      </c>
      <c r="Y1238" t="n">
        <v>563</v>
      </c>
      <c r="Z1238" t="n">
        <v>430</v>
      </c>
      <c r="AA1238" t="n">
        <v>435</v>
      </c>
      <c r="AB1238" t="n">
        <v>5</v>
      </c>
      <c r="AC1238" t="n">
        <v>5</v>
      </c>
      <c r="AD1238" t="n">
        <v>22</v>
      </c>
      <c r="AE1238" t="n">
        <v>22</v>
      </c>
      <c r="AF1238" t="n">
        <v>9</v>
      </c>
      <c r="AG1238" t="n">
        <v>9</v>
      </c>
      <c r="AH1238" t="n">
        <v>3</v>
      </c>
      <c r="AI1238" t="n">
        <v>3</v>
      </c>
      <c r="AJ1238" t="n">
        <v>12</v>
      </c>
      <c r="AK1238" t="n">
        <v>12</v>
      </c>
      <c r="AL1238" t="n">
        <v>4</v>
      </c>
      <c r="AM1238" t="n">
        <v>4</v>
      </c>
      <c r="AN1238" t="n">
        <v>0</v>
      </c>
      <c r="AO1238" t="n">
        <v>0</v>
      </c>
      <c r="AP1238" t="inlineStr">
        <is>
          <t>No</t>
        </is>
      </c>
      <c r="AQ1238" t="inlineStr">
        <is>
          <t>No</t>
        </is>
      </c>
      <c r="AS1238">
        <f>HYPERLINK("https://creighton-primo.hosted.exlibrisgroup.com/primo-explore/search?tab=default_tab&amp;search_scope=EVERYTHING&amp;vid=01CRU&amp;lang=en_US&amp;offset=0&amp;query=any,contains,991000755249702656","Catalog Record")</f>
        <v/>
      </c>
      <c r="AT1238">
        <f>HYPERLINK("http://www.worldcat.org/oclc/12946706","WorldCat Record")</f>
        <v/>
      </c>
      <c r="AU1238" t="inlineStr">
        <is>
          <t>3943350286:eng</t>
        </is>
      </c>
      <c r="AV1238" t="inlineStr">
        <is>
          <t>12946706</t>
        </is>
      </c>
      <c r="AW1238" t="inlineStr">
        <is>
          <t>991000755249702656</t>
        </is>
      </c>
      <c r="AX1238" t="inlineStr">
        <is>
          <t>991000755249702656</t>
        </is>
      </c>
      <c r="AY1238" t="inlineStr">
        <is>
          <t>2271066170002656</t>
        </is>
      </c>
      <c r="AZ1238" t="inlineStr">
        <is>
          <t>BOOK</t>
        </is>
      </c>
      <c r="BB1238" t="inlineStr">
        <is>
          <t>9781850000884</t>
        </is>
      </c>
      <c r="BC1238" t="inlineStr">
        <is>
          <t>32285001146157</t>
        </is>
      </c>
      <c r="BD1238" t="inlineStr">
        <is>
          <t>893432265</t>
        </is>
      </c>
    </row>
    <row r="1239">
      <c r="A1239" t="inlineStr">
        <is>
          <t>No</t>
        </is>
      </c>
      <c r="B1239" t="inlineStr">
        <is>
          <t>LB2838 .B69 1984</t>
        </is>
      </c>
      <c r="C1239" t="inlineStr">
        <is>
          <t>0                      LB 2838000B  69          1984</t>
        </is>
      </c>
      <c r="D1239" t="inlineStr">
        <is>
          <t>Managing the incompetent teacher / Edwin M. Bridges ; with the assistance of Barry Groves.</t>
        </is>
      </c>
      <c r="F1239" t="inlineStr">
        <is>
          <t>No</t>
        </is>
      </c>
      <c r="G1239" t="inlineStr">
        <is>
          <t>1</t>
        </is>
      </c>
      <c r="H1239" t="inlineStr">
        <is>
          <t>No</t>
        </is>
      </c>
      <c r="I1239" t="inlineStr">
        <is>
          <t>No</t>
        </is>
      </c>
      <c r="J1239" t="inlineStr">
        <is>
          <t>0</t>
        </is>
      </c>
      <c r="K1239" t="inlineStr">
        <is>
          <t>Bridges, Edwin M.</t>
        </is>
      </c>
      <c r="L1239" t="inlineStr">
        <is>
          <t>Eugene, Or. : ERIC Clearinghouse on Educational Management, College of Education, University of Oregon ; [Palo Alto, Calif.] : Institute for Research in Educational Finance &amp; Governance, School of Education, Stanford University, 1984.</t>
        </is>
      </c>
      <c r="M1239" t="inlineStr">
        <is>
          <t>1984</t>
        </is>
      </c>
      <c r="O1239" t="inlineStr">
        <is>
          <t>eng</t>
        </is>
      </c>
      <c r="P1239" t="inlineStr">
        <is>
          <t>oru</t>
        </is>
      </c>
      <c r="Q1239" t="inlineStr">
        <is>
          <t>ERIC/CEM school management digest series ; no. 29</t>
        </is>
      </c>
      <c r="R1239" t="inlineStr">
        <is>
          <t xml:space="preserve">LB </t>
        </is>
      </c>
      <c r="S1239" t="n">
        <v>1</v>
      </c>
      <c r="T1239" t="n">
        <v>1</v>
      </c>
      <c r="U1239" t="inlineStr">
        <is>
          <t>1992-11-18</t>
        </is>
      </c>
      <c r="V1239" t="inlineStr">
        <is>
          <t>1992-11-18</t>
        </is>
      </c>
      <c r="W1239" t="inlineStr">
        <is>
          <t>1992-08-17</t>
        </is>
      </c>
      <c r="X1239" t="inlineStr">
        <is>
          <t>1992-08-17</t>
        </is>
      </c>
      <c r="Y1239" t="n">
        <v>145</v>
      </c>
      <c r="Z1239" t="n">
        <v>120</v>
      </c>
      <c r="AA1239" t="n">
        <v>179</v>
      </c>
      <c r="AB1239" t="n">
        <v>1</v>
      </c>
      <c r="AC1239" t="n">
        <v>2</v>
      </c>
      <c r="AD1239" t="n">
        <v>1</v>
      </c>
      <c r="AE1239" t="n">
        <v>5</v>
      </c>
      <c r="AF1239" t="n">
        <v>1</v>
      </c>
      <c r="AG1239" t="n">
        <v>2</v>
      </c>
      <c r="AH1239" t="n">
        <v>0</v>
      </c>
      <c r="AI1239" t="n">
        <v>0</v>
      </c>
      <c r="AJ1239" t="n">
        <v>0</v>
      </c>
      <c r="AK1239" t="n">
        <v>2</v>
      </c>
      <c r="AL1239" t="n">
        <v>0</v>
      </c>
      <c r="AM1239" t="n">
        <v>1</v>
      </c>
      <c r="AN1239" t="n">
        <v>0</v>
      </c>
      <c r="AO1239" t="n">
        <v>0</v>
      </c>
      <c r="AP1239" t="inlineStr">
        <is>
          <t>No</t>
        </is>
      </c>
      <c r="AQ1239" t="inlineStr">
        <is>
          <t>No</t>
        </is>
      </c>
      <c r="AS1239">
        <f>HYPERLINK("https://creighton-primo.hosted.exlibrisgroup.com/primo-explore/search?tab=default_tab&amp;search_scope=EVERYTHING&amp;vid=01CRU&amp;lang=en_US&amp;offset=0&amp;query=any,contains,991000548899702656","Catalog Record")</f>
        <v/>
      </c>
      <c r="AT1239">
        <f>HYPERLINK("http://www.worldcat.org/oclc/11526017","WorldCat Record")</f>
        <v/>
      </c>
      <c r="AU1239" t="inlineStr">
        <is>
          <t>4076467:eng</t>
        </is>
      </c>
      <c r="AV1239" t="inlineStr">
        <is>
          <t>11526017</t>
        </is>
      </c>
      <c r="AW1239" t="inlineStr">
        <is>
          <t>991000548899702656</t>
        </is>
      </c>
      <c r="AX1239" t="inlineStr">
        <is>
          <t>991000548899702656</t>
        </is>
      </c>
      <c r="AY1239" t="inlineStr">
        <is>
          <t>2266688500002656</t>
        </is>
      </c>
      <c r="AZ1239" t="inlineStr">
        <is>
          <t>BOOK</t>
        </is>
      </c>
      <c r="BB1239" t="inlineStr">
        <is>
          <t>9780865520868</t>
        </is>
      </c>
      <c r="BC1239" t="inlineStr">
        <is>
          <t>32285001261295</t>
        </is>
      </c>
      <c r="BD1239" t="inlineStr">
        <is>
          <t>893502575</t>
        </is>
      </c>
    </row>
    <row r="1240">
      <c r="A1240" t="inlineStr">
        <is>
          <t>No</t>
        </is>
      </c>
      <c r="B1240" t="inlineStr">
        <is>
          <t>LB2838 .D73 1984</t>
        </is>
      </c>
      <c r="C1240" t="inlineStr">
        <is>
          <t>0                      LB 2838000D  73          1984</t>
        </is>
      </c>
      <c r="D1240" t="inlineStr">
        <is>
          <t>Time and its use : a self-management guide for teachers / Charles C. Drawbaugh.</t>
        </is>
      </c>
      <c r="F1240" t="inlineStr">
        <is>
          <t>No</t>
        </is>
      </c>
      <c r="G1240" t="inlineStr">
        <is>
          <t>1</t>
        </is>
      </c>
      <c r="H1240" t="inlineStr">
        <is>
          <t>No</t>
        </is>
      </c>
      <c r="I1240" t="inlineStr">
        <is>
          <t>No</t>
        </is>
      </c>
      <c r="J1240" t="inlineStr">
        <is>
          <t>0</t>
        </is>
      </c>
      <c r="K1240" t="inlineStr">
        <is>
          <t>Drawbaugh, Charles C.</t>
        </is>
      </c>
      <c r="L1240" t="inlineStr">
        <is>
          <t>New York : Teachers College, Columbia University, c1984.</t>
        </is>
      </c>
      <c r="M1240" t="inlineStr">
        <is>
          <t>1984</t>
        </is>
      </c>
      <c r="O1240" t="inlineStr">
        <is>
          <t>eng</t>
        </is>
      </c>
      <c r="P1240" t="inlineStr">
        <is>
          <t>nyu</t>
        </is>
      </c>
      <c r="R1240" t="inlineStr">
        <is>
          <t xml:space="preserve">LB </t>
        </is>
      </c>
      <c r="S1240" t="n">
        <v>6</v>
      </c>
      <c r="T1240" t="n">
        <v>6</v>
      </c>
      <c r="U1240" t="inlineStr">
        <is>
          <t>2002-10-22</t>
        </is>
      </c>
      <c r="V1240" t="inlineStr">
        <is>
          <t>2002-10-22</t>
        </is>
      </c>
      <c r="W1240" t="inlineStr">
        <is>
          <t>1992-08-17</t>
        </is>
      </c>
      <c r="X1240" t="inlineStr">
        <is>
          <t>1992-08-17</t>
        </is>
      </c>
      <c r="Y1240" t="n">
        <v>398</v>
      </c>
      <c r="Z1240" t="n">
        <v>356</v>
      </c>
      <c r="AA1240" t="n">
        <v>356</v>
      </c>
      <c r="AB1240" t="n">
        <v>3</v>
      </c>
      <c r="AC1240" t="n">
        <v>3</v>
      </c>
      <c r="AD1240" t="n">
        <v>13</v>
      </c>
      <c r="AE1240" t="n">
        <v>13</v>
      </c>
      <c r="AF1240" t="n">
        <v>2</v>
      </c>
      <c r="AG1240" t="n">
        <v>2</v>
      </c>
      <c r="AH1240" t="n">
        <v>2</v>
      </c>
      <c r="AI1240" t="n">
        <v>2</v>
      </c>
      <c r="AJ1240" t="n">
        <v>8</v>
      </c>
      <c r="AK1240" t="n">
        <v>8</v>
      </c>
      <c r="AL1240" t="n">
        <v>2</v>
      </c>
      <c r="AM1240" t="n">
        <v>2</v>
      </c>
      <c r="AN1240" t="n">
        <v>0</v>
      </c>
      <c r="AO1240" t="n">
        <v>0</v>
      </c>
      <c r="AP1240" t="inlineStr">
        <is>
          <t>No</t>
        </is>
      </c>
      <c r="AQ1240" t="inlineStr">
        <is>
          <t>No</t>
        </is>
      </c>
      <c r="AS1240">
        <f>HYPERLINK("https://creighton-primo.hosted.exlibrisgroup.com/primo-explore/search?tab=default_tab&amp;search_scope=EVERYTHING&amp;vid=01CRU&amp;lang=en_US&amp;offset=0&amp;query=any,contains,991000434049702656","Catalog Record")</f>
        <v/>
      </c>
      <c r="AT1240">
        <f>HYPERLINK("http://www.worldcat.org/oclc/10780567","WorldCat Record")</f>
        <v/>
      </c>
      <c r="AU1240" t="inlineStr">
        <is>
          <t>2533334136:eng</t>
        </is>
      </c>
      <c r="AV1240" t="inlineStr">
        <is>
          <t>10780567</t>
        </is>
      </c>
      <c r="AW1240" t="inlineStr">
        <is>
          <t>991000434049702656</t>
        </is>
      </c>
      <c r="AX1240" t="inlineStr">
        <is>
          <t>991000434049702656</t>
        </is>
      </c>
      <c r="AY1240" t="inlineStr">
        <is>
          <t>2256500510002656</t>
        </is>
      </c>
      <c r="AZ1240" t="inlineStr">
        <is>
          <t>BOOK</t>
        </is>
      </c>
      <c r="BB1240" t="inlineStr">
        <is>
          <t>9780807727065</t>
        </is>
      </c>
      <c r="BC1240" t="inlineStr">
        <is>
          <t>32285001261303</t>
        </is>
      </c>
      <c r="BD1240" t="inlineStr">
        <is>
          <t>893865343</t>
        </is>
      </c>
    </row>
    <row r="1241">
      <c r="A1241" t="inlineStr">
        <is>
          <t>No</t>
        </is>
      </c>
      <c r="B1241" t="inlineStr">
        <is>
          <t>LB2838 .E55 1996</t>
        </is>
      </c>
      <c r="C1241" t="inlineStr">
        <is>
          <t>0                      LB 2838000E  55          1996</t>
        </is>
      </c>
      <c r="D1241" t="inlineStr">
        <is>
          <t>The professional evaluation of teaching / James England, Pat Hutchings, Wilbert J. McKeachie.</t>
        </is>
      </c>
      <c r="F1241" t="inlineStr">
        <is>
          <t>No</t>
        </is>
      </c>
      <c r="G1241" t="inlineStr">
        <is>
          <t>1</t>
        </is>
      </c>
      <c r="H1241" t="inlineStr">
        <is>
          <t>No</t>
        </is>
      </c>
      <c r="I1241" t="inlineStr">
        <is>
          <t>No</t>
        </is>
      </c>
      <c r="J1241" t="inlineStr">
        <is>
          <t>0</t>
        </is>
      </c>
      <c r="K1241" t="inlineStr">
        <is>
          <t>England, James W.</t>
        </is>
      </c>
      <c r="L1241" t="inlineStr">
        <is>
          <t>New York (228 E. 45th St., New York 10017-3398) : American Council of Learned Societies, c1996.</t>
        </is>
      </c>
      <c r="M1241" t="inlineStr">
        <is>
          <t>1996</t>
        </is>
      </c>
      <c r="O1241" t="inlineStr">
        <is>
          <t>eng</t>
        </is>
      </c>
      <c r="P1241" t="inlineStr">
        <is>
          <t>nyu</t>
        </is>
      </c>
      <c r="Q1241" t="inlineStr">
        <is>
          <t>ACLS occasional paper, 1041-536X ; no. 33</t>
        </is>
      </c>
      <c r="R1241" t="inlineStr">
        <is>
          <t xml:space="preserve">LB </t>
        </is>
      </c>
      <c r="S1241" t="n">
        <v>1</v>
      </c>
      <c r="T1241" t="n">
        <v>1</v>
      </c>
      <c r="U1241" t="inlineStr">
        <is>
          <t>2000-10-12</t>
        </is>
      </c>
      <c r="V1241" t="inlineStr">
        <is>
          <t>2000-10-12</t>
        </is>
      </c>
      <c r="W1241" t="inlineStr">
        <is>
          <t>2000-10-12</t>
        </is>
      </c>
      <c r="X1241" t="inlineStr">
        <is>
          <t>2000-10-12</t>
        </is>
      </c>
      <c r="Y1241" t="n">
        <v>244</v>
      </c>
      <c r="Z1241" t="n">
        <v>229</v>
      </c>
      <c r="AA1241" t="n">
        <v>235</v>
      </c>
      <c r="AB1241" t="n">
        <v>3</v>
      </c>
      <c r="AC1241" t="n">
        <v>3</v>
      </c>
      <c r="AD1241" t="n">
        <v>15</v>
      </c>
      <c r="AE1241" t="n">
        <v>15</v>
      </c>
      <c r="AF1241" t="n">
        <v>4</v>
      </c>
      <c r="AG1241" t="n">
        <v>4</v>
      </c>
      <c r="AH1241" t="n">
        <v>4</v>
      </c>
      <c r="AI1241" t="n">
        <v>4</v>
      </c>
      <c r="AJ1241" t="n">
        <v>9</v>
      </c>
      <c r="AK1241" t="n">
        <v>9</v>
      </c>
      <c r="AL1241" t="n">
        <v>2</v>
      </c>
      <c r="AM1241" t="n">
        <v>2</v>
      </c>
      <c r="AN1241" t="n">
        <v>0</v>
      </c>
      <c r="AO1241" t="n">
        <v>0</v>
      </c>
      <c r="AP1241" t="inlineStr">
        <is>
          <t>No</t>
        </is>
      </c>
      <c r="AQ1241" t="inlineStr">
        <is>
          <t>Yes</t>
        </is>
      </c>
      <c r="AR1241">
        <f>HYPERLINK("http://catalog.hathitrust.org/Record/003093394","HathiTrust Record")</f>
        <v/>
      </c>
      <c r="AS1241">
        <f>HYPERLINK("https://creighton-primo.hosted.exlibrisgroup.com/primo-explore/search?tab=default_tab&amp;search_scope=EVERYTHING&amp;vid=01CRU&amp;lang=en_US&amp;offset=0&amp;query=any,contains,991003317839702656","Catalog Record")</f>
        <v/>
      </c>
      <c r="AT1241">
        <f>HYPERLINK("http://www.worldcat.org/oclc/35655296","WorldCat Record")</f>
        <v/>
      </c>
      <c r="AU1241" t="inlineStr">
        <is>
          <t>6392337:eng</t>
        </is>
      </c>
      <c r="AV1241" t="inlineStr">
        <is>
          <t>35655296</t>
        </is>
      </c>
      <c r="AW1241" t="inlineStr">
        <is>
          <t>991003317839702656</t>
        </is>
      </c>
      <c r="AX1241" t="inlineStr">
        <is>
          <t>991003317839702656</t>
        </is>
      </c>
      <c r="AY1241" t="inlineStr">
        <is>
          <t>2263228010002656</t>
        </is>
      </c>
      <c r="AZ1241" t="inlineStr">
        <is>
          <t>BOOK</t>
        </is>
      </c>
      <c r="BC1241" t="inlineStr">
        <is>
          <t>32285003768008</t>
        </is>
      </c>
      <c r="BD1241" t="inlineStr">
        <is>
          <t>893336365</t>
        </is>
      </c>
    </row>
    <row r="1242">
      <c r="A1242" t="inlineStr">
        <is>
          <t>No</t>
        </is>
      </c>
      <c r="B1242" t="inlineStr">
        <is>
          <t>LB2838 .H3</t>
        </is>
      </c>
      <c r="C1242" t="inlineStr">
        <is>
          <t>0                      LB 2838000H  3</t>
        </is>
      </c>
      <c r="D1242" t="inlineStr">
        <is>
          <t>Handbook of teacher evaluation / edited by Jason Millman.</t>
        </is>
      </c>
      <c r="F1242" t="inlineStr">
        <is>
          <t>No</t>
        </is>
      </c>
      <c r="G1242" t="inlineStr">
        <is>
          <t>1</t>
        </is>
      </c>
      <c r="H1242" t="inlineStr">
        <is>
          <t>No</t>
        </is>
      </c>
      <c r="I1242" t="inlineStr">
        <is>
          <t>No</t>
        </is>
      </c>
      <c r="J1242" t="inlineStr">
        <is>
          <t>0</t>
        </is>
      </c>
      <c r="L1242" t="inlineStr">
        <is>
          <t>Beverly Hills, Calif. : Sage Publications, c1981.</t>
        </is>
      </c>
      <c r="M1242" t="inlineStr">
        <is>
          <t>1981</t>
        </is>
      </c>
      <c r="O1242" t="inlineStr">
        <is>
          <t>eng</t>
        </is>
      </c>
      <c r="P1242" t="inlineStr">
        <is>
          <t>cau</t>
        </is>
      </c>
      <c r="R1242" t="inlineStr">
        <is>
          <t xml:space="preserve">LB </t>
        </is>
      </c>
      <c r="S1242" t="n">
        <v>2</v>
      </c>
      <c r="T1242" t="n">
        <v>2</v>
      </c>
      <c r="U1242" t="inlineStr">
        <is>
          <t>2010-11-10</t>
        </is>
      </c>
      <c r="V1242" t="inlineStr">
        <is>
          <t>2010-11-10</t>
        </is>
      </c>
      <c r="W1242" t="inlineStr">
        <is>
          <t>1991-08-26</t>
        </is>
      </c>
      <c r="X1242" t="inlineStr">
        <is>
          <t>1991-08-26</t>
        </is>
      </c>
      <c r="Y1242" t="n">
        <v>961</v>
      </c>
      <c r="Z1242" t="n">
        <v>813</v>
      </c>
      <c r="AA1242" t="n">
        <v>820</v>
      </c>
      <c r="AB1242" t="n">
        <v>9</v>
      </c>
      <c r="AC1242" t="n">
        <v>9</v>
      </c>
      <c r="AD1242" t="n">
        <v>31</v>
      </c>
      <c r="AE1242" t="n">
        <v>31</v>
      </c>
      <c r="AF1242" t="n">
        <v>14</v>
      </c>
      <c r="AG1242" t="n">
        <v>14</v>
      </c>
      <c r="AH1242" t="n">
        <v>4</v>
      </c>
      <c r="AI1242" t="n">
        <v>4</v>
      </c>
      <c r="AJ1242" t="n">
        <v>14</v>
      </c>
      <c r="AK1242" t="n">
        <v>14</v>
      </c>
      <c r="AL1242" t="n">
        <v>7</v>
      </c>
      <c r="AM1242" t="n">
        <v>7</v>
      </c>
      <c r="AN1242" t="n">
        <v>0</v>
      </c>
      <c r="AO1242" t="n">
        <v>0</v>
      </c>
      <c r="AP1242" t="inlineStr">
        <is>
          <t>No</t>
        </is>
      </c>
      <c r="AQ1242" t="inlineStr">
        <is>
          <t>Yes</t>
        </is>
      </c>
      <c r="AR1242">
        <f>HYPERLINK("http://catalog.hathitrust.org/Record/000100507","HathiTrust Record")</f>
        <v/>
      </c>
      <c r="AS1242">
        <f>HYPERLINK("https://creighton-primo.hosted.exlibrisgroup.com/primo-explore/search?tab=default_tab&amp;search_scope=EVERYTHING&amp;vid=01CRU&amp;lang=en_US&amp;offset=0&amp;query=any,contains,991005089869702656","Catalog Record")</f>
        <v/>
      </c>
      <c r="AT1242">
        <f>HYPERLINK("http://www.worldcat.org/oclc/7206543","WorldCat Record")</f>
        <v/>
      </c>
      <c r="AU1242" t="inlineStr">
        <is>
          <t>374211499:eng</t>
        </is>
      </c>
      <c r="AV1242" t="inlineStr">
        <is>
          <t>7206543</t>
        </is>
      </c>
      <c r="AW1242" t="inlineStr">
        <is>
          <t>991005089869702656</t>
        </is>
      </c>
      <c r="AX1242" t="inlineStr">
        <is>
          <t>991005089869702656</t>
        </is>
      </c>
      <c r="AY1242" t="inlineStr">
        <is>
          <t>2265912560002656</t>
        </is>
      </c>
      <c r="AZ1242" t="inlineStr">
        <is>
          <t>BOOK</t>
        </is>
      </c>
      <c r="BB1242" t="inlineStr">
        <is>
          <t>9780803915978</t>
        </is>
      </c>
      <c r="BC1242" t="inlineStr">
        <is>
          <t>32285000730191</t>
        </is>
      </c>
      <c r="BD1242" t="inlineStr">
        <is>
          <t>893254445</t>
        </is>
      </c>
    </row>
    <row r="1243">
      <c r="A1243" t="inlineStr">
        <is>
          <t>No</t>
        </is>
      </c>
      <c r="B1243" t="inlineStr">
        <is>
          <t>LB2838 .L54 1998</t>
        </is>
      </c>
      <c r="C1243" t="inlineStr">
        <is>
          <t>0                      LB 2838000L  54          1998</t>
        </is>
      </c>
      <c r="D1243" t="inlineStr">
        <is>
          <t>Teachers evaluating teachers : peer review and the new unionism / by Myron Lieberman.</t>
        </is>
      </c>
      <c r="F1243" t="inlineStr">
        <is>
          <t>No</t>
        </is>
      </c>
      <c r="G1243" t="inlineStr">
        <is>
          <t>1</t>
        </is>
      </c>
      <c r="H1243" t="inlineStr">
        <is>
          <t>No</t>
        </is>
      </c>
      <c r="I1243" t="inlineStr">
        <is>
          <t>No</t>
        </is>
      </c>
      <c r="J1243" t="inlineStr">
        <is>
          <t>0</t>
        </is>
      </c>
      <c r="K1243" t="inlineStr">
        <is>
          <t>Lieberman, Myron, 1919-</t>
        </is>
      </c>
      <c r="L1243" t="inlineStr">
        <is>
          <t>Bowling Green, OH : Social Philosophy &amp; Policy Center ; New Brunswick, N.J. : Transaction Publishers, 1998.</t>
        </is>
      </c>
      <c r="M1243" t="inlineStr">
        <is>
          <t>1998</t>
        </is>
      </c>
      <c r="O1243" t="inlineStr">
        <is>
          <t>eng</t>
        </is>
      </c>
      <c r="P1243" t="inlineStr">
        <is>
          <t>ohu</t>
        </is>
      </c>
      <c r="Q1243" t="inlineStr">
        <is>
          <t>Studies in social philosophy &amp; policy ; no. 20</t>
        </is>
      </c>
      <c r="R1243" t="inlineStr">
        <is>
          <t xml:space="preserve">LB </t>
        </is>
      </c>
      <c r="S1243" t="n">
        <v>3</v>
      </c>
      <c r="T1243" t="n">
        <v>3</v>
      </c>
      <c r="U1243" t="inlineStr">
        <is>
          <t>2001-09-17</t>
        </is>
      </c>
      <c r="V1243" t="inlineStr">
        <is>
          <t>2001-09-17</t>
        </is>
      </c>
      <c r="W1243" t="inlineStr">
        <is>
          <t>1998-09-23</t>
        </is>
      </c>
      <c r="X1243" t="inlineStr">
        <is>
          <t>1998-09-23</t>
        </is>
      </c>
      <c r="Y1243" t="n">
        <v>465</v>
      </c>
      <c r="Z1243" t="n">
        <v>420</v>
      </c>
      <c r="AA1243" t="n">
        <v>425</v>
      </c>
      <c r="AB1243" t="n">
        <v>3</v>
      </c>
      <c r="AC1243" t="n">
        <v>3</v>
      </c>
      <c r="AD1243" t="n">
        <v>20</v>
      </c>
      <c r="AE1243" t="n">
        <v>20</v>
      </c>
      <c r="AF1243" t="n">
        <v>6</v>
      </c>
      <c r="AG1243" t="n">
        <v>6</v>
      </c>
      <c r="AH1243" t="n">
        <v>6</v>
      </c>
      <c r="AI1243" t="n">
        <v>6</v>
      </c>
      <c r="AJ1243" t="n">
        <v>11</v>
      </c>
      <c r="AK1243" t="n">
        <v>11</v>
      </c>
      <c r="AL1243" t="n">
        <v>2</v>
      </c>
      <c r="AM1243" t="n">
        <v>2</v>
      </c>
      <c r="AN1243" t="n">
        <v>0</v>
      </c>
      <c r="AO1243" t="n">
        <v>0</v>
      </c>
      <c r="AP1243" t="inlineStr">
        <is>
          <t>No</t>
        </is>
      </c>
      <c r="AQ1243" t="inlineStr">
        <is>
          <t>No</t>
        </is>
      </c>
      <c r="AS1243">
        <f>HYPERLINK("https://creighton-primo.hosted.exlibrisgroup.com/primo-explore/search?tab=default_tab&amp;search_scope=EVERYTHING&amp;vid=01CRU&amp;lang=en_US&amp;offset=0&amp;query=any,contains,991002911969702656","Catalog Record")</f>
        <v/>
      </c>
      <c r="AT1243">
        <f>HYPERLINK("http://www.worldcat.org/oclc/38504432","WorldCat Record")</f>
        <v/>
      </c>
      <c r="AU1243" t="inlineStr">
        <is>
          <t>340498452:eng</t>
        </is>
      </c>
      <c r="AV1243" t="inlineStr">
        <is>
          <t>38504432</t>
        </is>
      </c>
      <c r="AW1243" t="inlineStr">
        <is>
          <t>991002911969702656</t>
        </is>
      </c>
      <c r="AX1243" t="inlineStr">
        <is>
          <t>991002911969702656</t>
        </is>
      </c>
      <c r="AY1243" t="inlineStr">
        <is>
          <t>2266929770002656</t>
        </is>
      </c>
      <c r="AZ1243" t="inlineStr">
        <is>
          <t>BOOK</t>
        </is>
      </c>
      <c r="BB1243" t="inlineStr">
        <is>
          <t>9780765804617</t>
        </is>
      </c>
      <c r="BC1243" t="inlineStr">
        <is>
          <t>32285003470522</t>
        </is>
      </c>
      <c r="BD1243" t="inlineStr">
        <is>
          <t>893323516</t>
        </is>
      </c>
    </row>
    <row r="1244">
      <c r="A1244" t="inlineStr">
        <is>
          <t>No</t>
        </is>
      </c>
      <c r="B1244" t="inlineStr">
        <is>
          <t>LB2838 .L56 2011</t>
        </is>
      </c>
      <c r="C1244" t="inlineStr">
        <is>
          <t>0                      LB 2838000L  56          2011</t>
        </is>
      </c>
      <c r="D1244" t="inlineStr">
        <is>
          <t>Guide to performance assessment for California teachers (PACT) / Judy Lombardi.</t>
        </is>
      </c>
      <c r="F1244" t="inlineStr">
        <is>
          <t>No</t>
        </is>
      </c>
      <c r="G1244" t="inlineStr">
        <is>
          <t>1</t>
        </is>
      </c>
      <c r="H1244" t="inlineStr">
        <is>
          <t>No</t>
        </is>
      </c>
      <c r="I1244" t="inlineStr">
        <is>
          <t>No</t>
        </is>
      </c>
      <c r="J1244" t="inlineStr">
        <is>
          <t>0</t>
        </is>
      </c>
      <c r="K1244" t="inlineStr">
        <is>
          <t>Lombardi, Judy.</t>
        </is>
      </c>
      <c r="L1244" t="inlineStr">
        <is>
          <t>Boston, MA : Allyn &amp; Bacon, c2011.</t>
        </is>
      </c>
      <c r="M1244" t="inlineStr">
        <is>
          <t>2011</t>
        </is>
      </c>
      <c r="O1244" t="inlineStr">
        <is>
          <t>eng</t>
        </is>
      </c>
      <c r="P1244" t="inlineStr">
        <is>
          <t>mau</t>
        </is>
      </c>
      <c r="R1244" t="inlineStr">
        <is>
          <t xml:space="preserve">LB </t>
        </is>
      </c>
      <c r="S1244" t="n">
        <v>1</v>
      </c>
      <c r="T1244" t="n">
        <v>1</v>
      </c>
      <c r="U1244" t="inlineStr">
        <is>
          <t>2010-10-19</t>
        </is>
      </c>
      <c r="V1244" t="inlineStr">
        <is>
          <t>2010-10-19</t>
        </is>
      </c>
      <c r="W1244" t="inlineStr">
        <is>
          <t>2010-03-01</t>
        </is>
      </c>
      <c r="X1244" t="inlineStr">
        <is>
          <t>2010-03-01</t>
        </is>
      </c>
      <c r="Y1244" t="n">
        <v>15</v>
      </c>
      <c r="Z1244" t="n">
        <v>14</v>
      </c>
      <c r="AA1244" t="n">
        <v>15</v>
      </c>
      <c r="AB1244" t="n">
        <v>1</v>
      </c>
      <c r="AC1244" t="n">
        <v>1</v>
      </c>
      <c r="AD1244" t="n">
        <v>1</v>
      </c>
      <c r="AE1244" t="n">
        <v>1</v>
      </c>
      <c r="AF1244" t="n">
        <v>1</v>
      </c>
      <c r="AG1244" t="n">
        <v>1</v>
      </c>
      <c r="AH1244" t="n">
        <v>0</v>
      </c>
      <c r="AI1244" t="n">
        <v>0</v>
      </c>
      <c r="AJ1244" t="n">
        <v>1</v>
      </c>
      <c r="AK1244" t="n">
        <v>1</v>
      </c>
      <c r="AL1244" t="n">
        <v>0</v>
      </c>
      <c r="AM1244" t="n">
        <v>0</v>
      </c>
      <c r="AN1244" t="n">
        <v>0</v>
      </c>
      <c r="AO1244" t="n">
        <v>0</v>
      </c>
      <c r="AP1244" t="inlineStr">
        <is>
          <t>No</t>
        </is>
      </c>
      <c r="AQ1244" t="inlineStr">
        <is>
          <t>No</t>
        </is>
      </c>
      <c r="AS1244">
        <f>HYPERLINK("https://creighton-primo.hosted.exlibrisgroup.com/primo-explore/search?tab=default_tab&amp;search_scope=EVERYTHING&amp;vid=01CRU&amp;lang=en_US&amp;offset=0&amp;query=any,contains,991005369209702656","Catalog Record")</f>
        <v/>
      </c>
      <c r="AT1244">
        <f>HYPERLINK("http://www.worldcat.org/oclc/474869241","WorldCat Record")</f>
        <v/>
      </c>
      <c r="AU1244" t="inlineStr">
        <is>
          <t>354724894:eng</t>
        </is>
      </c>
      <c r="AV1244" t="inlineStr">
        <is>
          <t>474869241</t>
        </is>
      </c>
      <c r="AW1244" t="inlineStr">
        <is>
          <t>991005369209702656</t>
        </is>
      </c>
      <c r="AX1244" t="inlineStr">
        <is>
          <t>991005369209702656</t>
        </is>
      </c>
      <c r="AY1244" t="inlineStr">
        <is>
          <t>2255402540002656</t>
        </is>
      </c>
      <c r="AZ1244" t="inlineStr">
        <is>
          <t>BOOK</t>
        </is>
      </c>
      <c r="BB1244" t="inlineStr">
        <is>
          <t>9780132143141</t>
        </is>
      </c>
      <c r="BC1244" t="inlineStr">
        <is>
          <t>32285005575658</t>
        </is>
      </c>
      <c r="BD1244" t="inlineStr">
        <is>
          <t>893789903</t>
        </is>
      </c>
    </row>
    <row r="1245">
      <c r="A1245" t="inlineStr">
        <is>
          <t>No</t>
        </is>
      </c>
      <c r="B1245" t="inlineStr">
        <is>
          <t>LB2838 .M385 1988</t>
        </is>
      </c>
      <c r="C1245" t="inlineStr">
        <is>
          <t>0                      LB 2838000M  385         1988</t>
        </is>
      </c>
      <c r="D1245" t="inlineStr">
        <is>
          <t>Teacher evaluation : improvement, accountability, and effective learning / Milbrey Wallin McLaughlin, R. Scott Pfeifer.</t>
        </is>
      </c>
      <c r="F1245" t="inlineStr">
        <is>
          <t>No</t>
        </is>
      </c>
      <c r="G1245" t="inlineStr">
        <is>
          <t>1</t>
        </is>
      </c>
      <c r="H1245" t="inlineStr">
        <is>
          <t>No</t>
        </is>
      </c>
      <c r="I1245" t="inlineStr">
        <is>
          <t>No</t>
        </is>
      </c>
      <c r="J1245" t="inlineStr">
        <is>
          <t>0</t>
        </is>
      </c>
      <c r="K1245" t="inlineStr">
        <is>
          <t>McLaughlin, Milbrey Wallin.</t>
        </is>
      </c>
      <c r="L1245" t="inlineStr">
        <is>
          <t>New York : Teachers College Press, c1988.</t>
        </is>
      </c>
      <c r="M1245" t="inlineStr">
        <is>
          <t>1988</t>
        </is>
      </c>
      <c r="O1245" t="inlineStr">
        <is>
          <t>eng</t>
        </is>
      </c>
      <c r="P1245" t="inlineStr">
        <is>
          <t>nyu</t>
        </is>
      </c>
      <c r="R1245" t="inlineStr">
        <is>
          <t xml:space="preserve">LB </t>
        </is>
      </c>
      <c r="S1245" t="n">
        <v>6</v>
      </c>
      <c r="T1245" t="n">
        <v>6</v>
      </c>
      <c r="U1245" t="inlineStr">
        <is>
          <t>2001-09-01</t>
        </is>
      </c>
      <c r="V1245" t="inlineStr">
        <is>
          <t>2001-09-01</t>
        </is>
      </c>
      <c r="W1245" t="inlineStr">
        <is>
          <t>1992-08-18</t>
        </is>
      </c>
      <c r="X1245" t="inlineStr">
        <is>
          <t>1992-08-18</t>
        </is>
      </c>
      <c r="Y1245" t="n">
        <v>504</v>
      </c>
      <c r="Z1245" t="n">
        <v>445</v>
      </c>
      <c r="AA1245" t="n">
        <v>451</v>
      </c>
      <c r="AB1245" t="n">
        <v>5</v>
      </c>
      <c r="AC1245" t="n">
        <v>5</v>
      </c>
      <c r="AD1245" t="n">
        <v>18</v>
      </c>
      <c r="AE1245" t="n">
        <v>18</v>
      </c>
      <c r="AF1245" t="n">
        <v>7</v>
      </c>
      <c r="AG1245" t="n">
        <v>7</v>
      </c>
      <c r="AH1245" t="n">
        <v>3</v>
      </c>
      <c r="AI1245" t="n">
        <v>3</v>
      </c>
      <c r="AJ1245" t="n">
        <v>8</v>
      </c>
      <c r="AK1245" t="n">
        <v>8</v>
      </c>
      <c r="AL1245" t="n">
        <v>4</v>
      </c>
      <c r="AM1245" t="n">
        <v>4</v>
      </c>
      <c r="AN1245" t="n">
        <v>0</v>
      </c>
      <c r="AO1245" t="n">
        <v>0</v>
      </c>
      <c r="AP1245" t="inlineStr">
        <is>
          <t>No</t>
        </is>
      </c>
      <c r="AQ1245" t="inlineStr">
        <is>
          <t>No</t>
        </is>
      </c>
      <c r="AS1245">
        <f>HYPERLINK("https://creighton-primo.hosted.exlibrisgroup.com/primo-explore/search?tab=default_tab&amp;search_scope=EVERYTHING&amp;vid=01CRU&amp;lang=en_US&amp;offset=0&amp;query=any,contains,991001164759702656","Catalog Record")</f>
        <v/>
      </c>
      <c r="AT1245">
        <f>HYPERLINK("http://www.worldcat.org/oclc/16922461","WorldCat Record")</f>
        <v/>
      </c>
      <c r="AU1245" t="inlineStr">
        <is>
          <t>1008530957:eng</t>
        </is>
      </c>
      <c r="AV1245" t="inlineStr">
        <is>
          <t>16922461</t>
        </is>
      </c>
      <c r="AW1245" t="inlineStr">
        <is>
          <t>991001164759702656</t>
        </is>
      </c>
      <c r="AX1245" t="inlineStr">
        <is>
          <t>991001164759702656</t>
        </is>
      </c>
      <c r="AY1245" t="inlineStr">
        <is>
          <t>2271713270002656</t>
        </is>
      </c>
      <c r="AZ1245" t="inlineStr">
        <is>
          <t>BOOK</t>
        </is>
      </c>
      <c r="BB1245" t="inlineStr">
        <is>
          <t>9780807728901</t>
        </is>
      </c>
      <c r="BC1245" t="inlineStr">
        <is>
          <t>32285001261519</t>
        </is>
      </c>
      <c r="BD1245" t="inlineStr">
        <is>
          <t>893351797</t>
        </is>
      </c>
    </row>
    <row r="1246">
      <c r="A1246" t="inlineStr">
        <is>
          <t>No</t>
        </is>
      </c>
      <c r="B1246" t="inlineStr">
        <is>
          <t>LB2838 .P475 2006</t>
        </is>
      </c>
      <c r="C1246" t="inlineStr">
        <is>
          <t>0                      LB 2838000P  475         2006</t>
        </is>
      </c>
      <c r="D1246" t="inlineStr">
        <is>
          <t>Effective teacher evaluation : a guide for principals / Kenneth D. Peterson, Catherine A. Peterson.</t>
        </is>
      </c>
      <c r="F1246" t="inlineStr">
        <is>
          <t>No</t>
        </is>
      </c>
      <c r="G1246" t="inlineStr">
        <is>
          <t>1</t>
        </is>
      </c>
      <c r="H1246" t="inlineStr">
        <is>
          <t>No</t>
        </is>
      </c>
      <c r="I1246" t="inlineStr">
        <is>
          <t>No</t>
        </is>
      </c>
      <c r="J1246" t="inlineStr">
        <is>
          <t>0</t>
        </is>
      </c>
      <c r="K1246" t="inlineStr">
        <is>
          <t>Peterson, Kenneth D.</t>
        </is>
      </c>
      <c r="L1246" t="inlineStr">
        <is>
          <t>Thousand Oaks, Calif. : Corwin ; London : SAGE [distributor], 2006.</t>
        </is>
      </c>
      <c r="M1246" t="inlineStr">
        <is>
          <t>2006</t>
        </is>
      </c>
      <c r="O1246" t="inlineStr">
        <is>
          <t>eng</t>
        </is>
      </c>
      <c r="P1246" t="inlineStr">
        <is>
          <t>cau</t>
        </is>
      </c>
      <c r="R1246" t="inlineStr">
        <is>
          <t xml:space="preserve">LB </t>
        </is>
      </c>
      <c r="S1246" t="n">
        <v>1</v>
      </c>
      <c r="T1246" t="n">
        <v>1</v>
      </c>
      <c r="U1246" t="inlineStr">
        <is>
          <t>2006-02-21</t>
        </is>
      </c>
      <c r="V1246" t="inlineStr">
        <is>
          <t>2006-02-21</t>
        </is>
      </c>
      <c r="W1246" t="inlineStr">
        <is>
          <t>2006-02-21</t>
        </is>
      </c>
      <c r="X1246" t="inlineStr">
        <is>
          <t>2006-02-21</t>
        </is>
      </c>
      <c r="Y1246" t="n">
        <v>235</v>
      </c>
      <c r="Z1246" t="n">
        <v>189</v>
      </c>
      <c r="AA1246" t="n">
        <v>546</v>
      </c>
      <c r="AB1246" t="n">
        <v>2</v>
      </c>
      <c r="AC1246" t="n">
        <v>5</v>
      </c>
      <c r="AD1246" t="n">
        <v>4</v>
      </c>
      <c r="AE1246" t="n">
        <v>12</v>
      </c>
      <c r="AF1246" t="n">
        <v>0</v>
      </c>
      <c r="AG1246" t="n">
        <v>3</v>
      </c>
      <c r="AH1246" t="n">
        <v>1</v>
      </c>
      <c r="AI1246" t="n">
        <v>4</v>
      </c>
      <c r="AJ1246" t="n">
        <v>3</v>
      </c>
      <c r="AK1246" t="n">
        <v>5</v>
      </c>
      <c r="AL1246" t="n">
        <v>1</v>
      </c>
      <c r="AM1246" t="n">
        <v>4</v>
      </c>
      <c r="AN1246" t="n">
        <v>0</v>
      </c>
      <c r="AO1246" t="n">
        <v>0</v>
      </c>
      <c r="AP1246" t="inlineStr">
        <is>
          <t>No</t>
        </is>
      </c>
      <c r="AQ1246" t="inlineStr">
        <is>
          <t>Yes</t>
        </is>
      </c>
      <c r="AR1246">
        <f>HYPERLINK("http://catalog.hathitrust.org/Record/102042349","HathiTrust Record")</f>
        <v/>
      </c>
      <c r="AS1246">
        <f>HYPERLINK("https://creighton-primo.hosted.exlibrisgroup.com/primo-explore/search?tab=default_tab&amp;search_scope=EVERYTHING&amp;vid=01CRU&amp;lang=en_US&amp;offset=0&amp;query=any,contains,991004744769702656","Catalog Record")</f>
        <v/>
      </c>
      <c r="AT1246">
        <f>HYPERLINK("http://www.worldcat.org/oclc/62344533","WorldCat Record")</f>
        <v/>
      </c>
      <c r="AU1246" t="inlineStr">
        <is>
          <t>803387748:eng</t>
        </is>
      </c>
      <c r="AV1246" t="inlineStr">
        <is>
          <t>62344533</t>
        </is>
      </c>
      <c r="AW1246" t="inlineStr">
        <is>
          <t>991004744769702656</t>
        </is>
      </c>
      <c r="AX1246" t="inlineStr">
        <is>
          <t>991004744769702656</t>
        </is>
      </c>
      <c r="AY1246" t="inlineStr">
        <is>
          <t>2261353220002656</t>
        </is>
      </c>
      <c r="AZ1246" t="inlineStr">
        <is>
          <t>BOOK</t>
        </is>
      </c>
      <c r="BB1246" t="inlineStr">
        <is>
          <t>9781412914826</t>
        </is>
      </c>
      <c r="BC1246" t="inlineStr">
        <is>
          <t>32285005159370</t>
        </is>
      </c>
      <c r="BD1246" t="inlineStr">
        <is>
          <t>893688068</t>
        </is>
      </c>
    </row>
    <row r="1247">
      <c r="A1247" t="inlineStr">
        <is>
          <t>No</t>
        </is>
      </c>
      <c r="B1247" t="inlineStr">
        <is>
          <t>LB2838 .S82 2000</t>
        </is>
      </c>
      <c r="C1247" t="inlineStr">
        <is>
          <t>0                      LB 2838000S  82          2000</t>
        </is>
      </c>
      <c r="D1247" t="inlineStr">
        <is>
          <t>Teacher evaluation and student achievement / James H. Stronge and Pamela D. Tucker.</t>
        </is>
      </c>
      <c r="F1247" t="inlineStr">
        <is>
          <t>No</t>
        </is>
      </c>
      <c r="G1247" t="inlineStr">
        <is>
          <t>1</t>
        </is>
      </c>
      <c r="H1247" t="inlineStr">
        <is>
          <t>No</t>
        </is>
      </c>
      <c r="I1247" t="inlineStr">
        <is>
          <t>No</t>
        </is>
      </c>
      <c r="J1247" t="inlineStr">
        <is>
          <t>0</t>
        </is>
      </c>
      <c r="K1247" t="inlineStr">
        <is>
          <t>Stronge, James H.</t>
        </is>
      </c>
      <c r="L1247" t="inlineStr">
        <is>
          <t>Washington, D.C. : National Education Association, c2000.</t>
        </is>
      </c>
      <c r="M1247" t="inlineStr">
        <is>
          <t>2000</t>
        </is>
      </c>
      <c r="O1247" t="inlineStr">
        <is>
          <t>eng</t>
        </is>
      </c>
      <c r="P1247" t="inlineStr">
        <is>
          <t>dcu</t>
        </is>
      </c>
      <c r="Q1247" t="inlineStr">
        <is>
          <t>Student assessment series</t>
        </is>
      </c>
      <c r="R1247" t="inlineStr">
        <is>
          <t xml:space="preserve">LB </t>
        </is>
      </c>
      <c r="S1247" t="n">
        <v>3</v>
      </c>
      <c r="T1247" t="n">
        <v>3</v>
      </c>
      <c r="U1247" t="inlineStr">
        <is>
          <t>2004-05-20</t>
        </is>
      </c>
      <c r="V1247" t="inlineStr">
        <is>
          <t>2004-05-20</t>
        </is>
      </c>
      <c r="W1247" t="inlineStr">
        <is>
          <t>2001-04-10</t>
        </is>
      </c>
      <c r="X1247" t="inlineStr">
        <is>
          <t>2001-04-10</t>
        </is>
      </c>
      <c r="Y1247" t="n">
        <v>251</v>
      </c>
      <c r="Z1247" t="n">
        <v>243</v>
      </c>
      <c r="AA1247" t="n">
        <v>243</v>
      </c>
      <c r="AB1247" t="n">
        <v>5</v>
      </c>
      <c r="AC1247" t="n">
        <v>5</v>
      </c>
      <c r="AD1247" t="n">
        <v>12</v>
      </c>
      <c r="AE1247" t="n">
        <v>12</v>
      </c>
      <c r="AF1247" t="n">
        <v>6</v>
      </c>
      <c r="AG1247" t="n">
        <v>6</v>
      </c>
      <c r="AH1247" t="n">
        <v>1</v>
      </c>
      <c r="AI1247" t="n">
        <v>1</v>
      </c>
      <c r="AJ1247" t="n">
        <v>4</v>
      </c>
      <c r="AK1247" t="n">
        <v>4</v>
      </c>
      <c r="AL1247" t="n">
        <v>4</v>
      </c>
      <c r="AM1247" t="n">
        <v>4</v>
      </c>
      <c r="AN1247" t="n">
        <v>0</v>
      </c>
      <c r="AO1247" t="n">
        <v>0</v>
      </c>
      <c r="AP1247" t="inlineStr">
        <is>
          <t>No</t>
        </is>
      </c>
      <c r="AQ1247" t="inlineStr">
        <is>
          <t>No</t>
        </is>
      </c>
      <c r="AS1247">
        <f>HYPERLINK("https://creighton-primo.hosted.exlibrisgroup.com/primo-explore/search?tab=default_tab&amp;search_scope=EVERYTHING&amp;vid=01CRU&amp;lang=en_US&amp;offset=0&amp;query=any,contains,991003523859702656","Catalog Record")</f>
        <v/>
      </c>
      <c r="AT1247">
        <f>HYPERLINK("http://www.worldcat.org/oclc/43311666","WorldCat Record")</f>
        <v/>
      </c>
      <c r="AU1247" t="inlineStr">
        <is>
          <t>1075950:eng</t>
        </is>
      </c>
      <c r="AV1247" t="inlineStr">
        <is>
          <t>43311666</t>
        </is>
      </c>
      <c r="AW1247" t="inlineStr">
        <is>
          <t>991003523859702656</t>
        </is>
      </c>
      <c r="AX1247" t="inlineStr">
        <is>
          <t>991003523859702656</t>
        </is>
      </c>
      <c r="AY1247" t="inlineStr">
        <is>
          <t>2270100630002656</t>
        </is>
      </c>
      <c r="AZ1247" t="inlineStr">
        <is>
          <t>BOOK</t>
        </is>
      </c>
      <c r="BB1247" t="inlineStr">
        <is>
          <t>9780810620735</t>
        </is>
      </c>
      <c r="BC1247" t="inlineStr">
        <is>
          <t>32285004311386</t>
        </is>
      </c>
      <c r="BD1247" t="inlineStr">
        <is>
          <t>893805875</t>
        </is>
      </c>
    </row>
    <row r="1248">
      <c r="A1248" t="inlineStr">
        <is>
          <t>No</t>
        </is>
      </c>
      <c r="B1248" t="inlineStr">
        <is>
          <t>LB2838.8 .O76 2004</t>
        </is>
      </c>
      <c r="C1248" t="inlineStr">
        <is>
          <t>0                      LB 2838800O  76          2004</t>
        </is>
      </c>
      <c r="D1248" t="inlineStr">
        <is>
          <t>Conquering infoclutter : timesaving technology solutions for teachers / Meghan J. Ormiston ; foreword by Kathy Schrock.</t>
        </is>
      </c>
      <c r="F1248" t="inlineStr">
        <is>
          <t>No</t>
        </is>
      </c>
      <c r="G1248" t="inlineStr">
        <is>
          <t>1</t>
        </is>
      </c>
      <c r="H1248" t="inlineStr">
        <is>
          <t>No</t>
        </is>
      </c>
      <c r="I1248" t="inlineStr">
        <is>
          <t>No</t>
        </is>
      </c>
      <c r="J1248" t="inlineStr">
        <is>
          <t>0</t>
        </is>
      </c>
      <c r="K1248" t="inlineStr">
        <is>
          <t>Ormiston, Meghan J.</t>
        </is>
      </c>
      <c r="L1248" t="inlineStr">
        <is>
          <t>Thousand Oaks, Calif. : Corwin Press, c2004.</t>
        </is>
      </c>
      <c r="M1248" t="inlineStr">
        <is>
          <t>2004</t>
        </is>
      </c>
      <c r="O1248" t="inlineStr">
        <is>
          <t>eng</t>
        </is>
      </c>
      <c r="P1248" t="inlineStr">
        <is>
          <t>cau</t>
        </is>
      </c>
      <c r="R1248" t="inlineStr">
        <is>
          <t xml:space="preserve">LB </t>
        </is>
      </c>
      <c r="S1248" t="n">
        <v>1</v>
      </c>
      <c r="T1248" t="n">
        <v>1</v>
      </c>
      <c r="U1248" t="inlineStr">
        <is>
          <t>2004-03-15</t>
        </is>
      </c>
      <c r="V1248" t="inlineStr">
        <is>
          <t>2004-03-15</t>
        </is>
      </c>
      <c r="W1248" t="inlineStr">
        <is>
          <t>2004-03-15</t>
        </is>
      </c>
      <c r="X1248" t="inlineStr">
        <is>
          <t>2004-03-15</t>
        </is>
      </c>
      <c r="Y1248" t="n">
        <v>214</v>
      </c>
      <c r="Z1248" t="n">
        <v>184</v>
      </c>
      <c r="AA1248" t="n">
        <v>191</v>
      </c>
      <c r="AB1248" t="n">
        <v>3</v>
      </c>
      <c r="AC1248" t="n">
        <v>3</v>
      </c>
      <c r="AD1248" t="n">
        <v>6</v>
      </c>
      <c r="AE1248" t="n">
        <v>6</v>
      </c>
      <c r="AF1248" t="n">
        <v>1</v>
      </c>
      <c r="AG1248" t="n">
        <v>1</v>
      </c>
      <c r="AH1248" t="n">
        <v>1</v>
      </c>
      <c r="AI1248" t="n">
        <v>1</v>
      </c>
      <c r="AJ1248" t="n">
        <v>2</v>
      </c>
      <c r="AK1248" t="n">
        <v>2</v>
      </c>
      <c r="AL1248" t="n">
        <v>2</v>
      </c>
      <c r="AM1248" t="n">
        <v>2</v>
      </c>
      <c r="AN1248" t="n">
        <v>0</v>
      </c>
      <c r="AO1248" t="n">
        <v>0</v>
      </c>
      <c r="AP1248" t="inlineStr">
        <is>
          <t>No</t>
        </is>
      </c>
      <c r="AQ1248" t="inlineStr">
        <is>
          <t>Yes</t>
        </is>
      </c>
      <c r="AR1248">
        <f>HYPERLINK("http://catalog.hathitrust.org/Record/102030779","HathiTrust Record")</f>
        <v/>
      </c>
      <c r="AS1248">
        <f>HYPERLINK("https://creighton-primo.hosted.exlibrisgroup.com/primo-explore/search?tab=default_tab&amp;search_scope=EVERYTHING&amp;vid=01CRU&amp;lang=en_US&amp;offset=0&amp;query=any,contains,991004256039702656","Catalog Record")</f>
        <v/>
      </c>
      <c r="AT1248">
        <f>HYPERLINK("http://www.worldcat.org/oclc/52757634","WorldCat Record")</f>
        <v/>
      </c>
      <c r="AU1248" t="inlineStr">
        <is>
          <t>840428225:eng</t>
        </is>
      </c>
      <c r="AV1248" t="inlineStr">
        <is>
          <t>52757634</t>
        </is>
      </c>
      <c r="AW1248" t="inlineStr">
        <is>
          <t>991004256039702656</t>
        </is>
      </c>
      <c r="AX1248" t="inlineStr">
        <is>
          <t>991004256039702656</t>
        </is>
      </c>
      <c r="AY1248" t="inlineStr">
        <is>
          <t>2265106910002656</t>
        </is>
      </c>
      <c r="AZ1248" t="inlineStr">
        <is>
          <t>BOOK</t>
        </is>
      </c>
      <c r="BB1248" t="inlineStr">
        <is>
          <t>9780761931294</t>
        </is>
      </c>
      <c r="BC1248" t="inlineStr">
        <is>
          <t>32285004893581</t>
        </is>
      </c>
      <c r="BD1248" t="inlineStr">
        <is>
          <t>893331372</t>
        </is>
      </c>
    </row>
    <row r="1249">
      <c r="A1249" t="inlineStr">
        <is>
          <t>No</t>
        </is>
      </c>
      <c r="B1249" t="inlineStr">
        <is>
          <t>LB2838.8 .T56 1994</t>
        </is>
      </c>
      <c r="C1249" t="inlineStr">
        <is>
          <t>0                      LB 2838800T  56          1994</t>
        </is>
      </c>
      <c r="D1249" t="inlineStr">
        <is>
          <t>Time strategies.</t>
        </is>
      </c>
      <c r="F1249" t="inlineStr">
        <is>
          <t>No</t>
        </is>
      </c>
      <c r="G1249" t="inlineStr">
        <is>
          <t>1</t>
        </is>
      </c>
      <c r="H1249" t="inlineStr">
        <is>
          <t>No</t>
        </is>
      </c>
      <c r="I1249" t="inlineStr">
        <is>
          <t>No</t>
        </is>
      </c>
      <c r="J1249" t="inlineStr">
        <is>
          <t>0</t>
        </is>
      </c>
      <c r="L1249" t="inlineStr">
        <is>
          <t>Washington, D.C. : NEA Professional Library, c1994.</t>
        </is>
      </c>
      <c r="M1249" t="inlineStr">
        <is>
          <t>1994</t>
        </is>
      </c>
      <c r="O1249" t="inlineStr">
        <is>
          <t>eng</t>
        </is>
      </c>
      <c r="P1249" t="inlineStr">
        <is>
          <t>dcu</t>
        </is>
      </c>
      <c r="Q1249" t="inlineStr">
        <is>
          <t>Teacher to teacher series</t>
        </is>
      </c>
      <c r="R1249" t="inlineStr">
        <is>
          <t xml:space="preserve">LB </t>
        </is>
      </c>
      <c r="S1249" t="n">
        <v>2</v>
      </c>
      <c r="T1249" t="n">
        <v>2</v>
      </c>
      <c r="U1249" t="inlineStr">
        <is>
          <t>1996-11-18</t>
        </is>
      </c>
      <c r="V1249" t="inlineStr">
        <is>
          <t>1996-11-18</t>
        </is>
      </c>
      <c r="W1249" t="inlineStr">
        <is>
          <t>1994-05-09</t>
        </is>
      </c>
      <c r="X1249" t="inlineStr">
        <is>
          <t>1994-05-09</t>
        </is>
      </c>
      <c r="Y1249" t="n">
        <v>310</v>
      </c>
      <c r="Z1249" t="n">
        <v>306</v>
      </c>
      <c r="AA1249" t="n">
        <v>313</v>
      </c>
      <c r="AB1249" t="n">
        <v>4</v>
      </c>
      <c r="AC1249" t="n">
        <v>4</v>
      </c>
      <c r="AD1249" t="n">
        <v>12</v>
      </c>
      <c r="AE1249" t="n">
        <v>12</v>
      </c>
      <c r="AF1249" t="n">
        <v>6</v>
      </c>
      <c r="AG1249" t="n">
        <v>6</v>
      </c>
      <c r="AH1249" t="n">
        <v>1</v>
      </c>
      <c r="AI1249" t="n">
        <v>1</v>
      </c>
      <c r="AJ1249" t="n">
        <v>5</v>
      </c>
      <c r="AK1249" t="n">
        <v>5</v>
      </c>
      <c r="AL1249" t="n">
        <v>3</v>
      </c>
      <c r="AM1249" t="n">
        <v>3</v>
      </c>
      <c r="AN1249" t="n">
        <v>0</v>
      </c>
      <c r="AO1249" t="n">
        <v>0</v>
      </c>
      <c r="AP1249" t="inlineStr">
        <is>
          <t>No</t>
        </is>
      </c>
      <c r="AQ1249" t="inlineStr">
        <is>
          <t>No</t>
        </is>
      </c>
      <c r="AS1249">
        <f>HYPERLINK("https://creighton-primo.hosted.exlibrisgroup.com/primo-explore/search?tab=default_tab&amp;search_scope=EVERYTHING&amp;vid=01CRU&amp;lang=en_US&amp;offset=0&amp;query=any,contains,991002279569702656","Catalog Record")</f>
        <v/>
      </c>
      <c r="AT1249">
        <f>HYPERLINK("http://www.worldcat.org/oclc/29564022","WorldCat Record")</f>
        <v/>
      </c>
      <c r="AU1249" t="inlineStr">
        <is>
          <t>1075968:eng</t>
        </is>
      </c>
      <c r="AV1249" t="inlineStr">
        <is>
          <t>29564022</t>
        </is>
      </c>
      <c r="AW1249" t="inlineStr">
        <is>
          <t>991002279569702656</t>
        </is>
      </c>
      <c r="AX1249" t="inlineStr">
        <is>
          <t>991002279569702656</t>
        </is>
      </c>
      <c r="AY1249" t="inlineStr">
        <is>
          <t>2255578840002656</t>
        </is>
      </c>
      <c r="AZ1249" t="inlineStr">
        <is>
          <t>BOOK</t>
        </is>
      </c>
      <c r="BB1249" t="inlineStr">
        <is>
          <t>9780810629028</t>
        </is>
      </c>
      <c r="BC1249" t="inlineStr">
        <is>
          <t>32285001864718</t>
        </is>
      </c>
      <c r="BD1249" t="inlineStr">
        <is>
          <t>893433708</t>
        </is>
      </c>
    </row>
    <row r="1250">
      <c r="A1250" t="inlineStr">
        <is>
          <t>No</t>
        </is>
      </c>
      <c r="B1250" t="inlineStr">
        <is>
          <t>LB2840 .L48 1989</t>
        </is>
      </c>
      <c r="C1250" t="inlineStr">
        <is>
          <t>0                      LB 2840000L  48          1989</t>
        </is>
      </c>
      <c r="D1250" t="inlineStr">
        <is>
          <t>Promoting adult growth in schools : the promise of professional development / Sarah L. Levine.</t>
        </is>
      </c>
      <c r="F1250" t="inlineStr">
        <is>
          <t>No</t>
        </is>
      </c>
      <c r="G1250" t="inlineStr">
        <is>
          <t>1</t>
        </is>
      </c>
      <c r="H1250" t="inlineStr">
        <is>
          <t>No</t>
        </is>
      </c>
      <c r="I1250" t="inlineStr">
        <is>
          <t>No</t>
        </is>
      </c>
      <c r="J1250" t="inlineStr">
        <is>
          <t>0</t>
        </is>
      </c>
      <c r="K1250" t="inlineStr">
        <is>
          <t>Levine, Sarah L. (Sarah Loewenberg), 1946-</t>
        </is>
      </c>
      <c r="L1250" t="inlineStr">
        <is>
          <t>Boston : Allyn and Bacon, c1989.</t>
        </is>
      </c>
      <c r="M1250" t="inlineStr">
        <is>
          <t>1988</t>
        </is>
      </c>
      <c r="O1250" t="inlineStr">
        <is>
          <t>eng</t>
        </is>
      </c>
      <c r="P1250" t="inlineStr">
        <is>
          <t>mau</t>
        </is>
      </c>
      <c r="R1250" t="inlineStr">
        <is>
          <t xml:space="preserve">LB </t>
        </is>
      </c>
      <c r="S1250" t="n">
        <v>9</v>
      </c>
      <c r="T1250" t="n">
        <v>9</v>
      </c>
      <c r="U1250" t="inlineStr">
        <is>
          <t>2010-11-10</t>
        </is>
      </c>
      <c r="V1250" t="inlineStr">
        <is>
          <t>2010-11-10</t>
        </is>
      </c>
      <c r="W1250" t="inlineStr">
        <is>
          <t>1990-03-01</t>
        </is>
      </c>
      <c r="X1250" t="inlineStr">
        <is>
          <t>1990-03-01</t>
        </is>
      </c>
      <c r="Y1250" t="n">
        <v>347</v>
      </c>
      <c r="Z1250" t="n">
        <v>306</v>
      </c>
      <c r="AA1250" t="n">
        <v>312</v>
      </c>
      <c r="AB1250" t="n">
        <v>4</v>
      </c>
      <c r="AC1250" t="n">
        <v>4</v>
      </c>
      <c r="AD1250" t="n">
        <v>15</v>
      </c>
      <c r="AE1250" t="n">
        <v>15</v>
      </c>
      <c r="AF1250" t="n">
        <v>7</v>
      </c>
      <c r="AG1250" t="n">
        <v>7</v>
      </c>
      <c r="AH1250" t="n">
        <v>3</v>
      </c>
      <c r="AI1250" t="n">
        <v>3</v>
      </c>
      <c r="AJ1250" t="n">
        <v>7</v>
      </c>
      <c r="AK1250" t="n">
        <v>7</v>
      </c>
      <c r="AL1250" t="n">
        <v>3</v>
      </c>
      <c r="AM1250" t="n">
        <v>3</v>
      </c>
      <c r="AN1250" t="n">
        <v>0</v>
      </c>
      <c r="AO1250" t="n">
        <v>0</v>
      </c>
      <c r="AP1250" t="inlineStr">
        <is>
          <t>No</t>
        </is>
      </c>
      <c r="AQ1250" t="inlineStr">
        <is>
          <t>No</t>
        </is>
      </c>
      <c r="AS1250">
        <f>HYPERLINK("https://creighton-primo.hosted.exlibrisgroup.com/primo-explore/search?tab=default_tab&amp;search_scope=EVERYTHING&amp;vid=01CRU&amp;lang=en_US&amp;offset=0&amp;query=any,contains,991005409459702656","Catalog Record")</f>
        <v/>
      </c>
      <c r="AT1250">
        <f>HYPERLINK("http://www.worldcat.org/oclc/18136013","WorldCat Record")</f>
        <v/>
      </c>
      <c r="AU1250" t="inlineStr">
        <is>
          <t>16947733:eng</t>
        </is>
      </c>
      <c r="AV1250" t="inlineStr">
        <is>
          <t>18136013</t>
        </is>
      </c>
      <c r="AW1250" t="inlineStr">
        <is>
          <t>991005409459702656</t>
        </is>
      </c>
      <c r="AX1250" t="inlineStr">
        <is>
          <t>991005409459702656</t>
        </is>
      </c>
      <c r="AY1250" t="inlineStr">
        <is>
          <t>2267881840002656</t>
        </is>
      </c>
      <c r="AZ1250" t="inlineStr">
        <is>
          <t>BOOK</t>
        </is>
      </c>
      <c r="BB1250" t="inlineStr">
        <is>
          <t>9780205117284</t>
        </is>
      </c>
      <c r="BC1250" t="inlineStr">
        <is>
          <t>32285000074830</t>
        </is>
      </c>
      <c r="BD1250" t="inlineStr">
        <is>
          <t>893877495</t>
        </is>
      </c>
    </row>
    <row r="1251">
      <c r="A1251" t="inlineStr">
        <is>
          <t>No</t>
        </is>
      </c>
      <c r="B1251" t="inlineStr">
        <is>
          <t>LB2840 .M28 1988</t>
        </is>
      </c>
      <c r="C1251" t="inlineStr">
        <is>
          <t>0                      LB 2840000M  28          1988</t>
        </is>
      </c>
      <c r="D1251" t="inlineStr">
        <is>
          <t>The empowerment of teachers : overcoming the crisis of confidence / Gene I. Maeroff.</t>
        </is>
      </c>
      <c r="F1251" t="inlineStr">
        <is>
          <t>No</t>
        </is>
      </c>
      <c r="G1251" t="inlineStr">
        <is>
          <t>1</t>
        </is>
      </c>
      <c r="H1251" t="inlineStr">
        <is>
          <t>No</t>
        </is>
      </c>
      <c r="I1251" t="inlineStr">
        <is>
          <t>No</t>
        </is>
      </c>
      <c r="J1251" t="inlineStr">
        <is>
          <t>0</t>
        </is>
      </c>
      <c r="K1251" t="inlineStr">
        <is>
          <t>Maeroff, Gene I.</t>
        </is>
      </c>
      <c r="L1251" t="inlineStr">
        <is>
          <t>New York : Teachers College Press, c1988.</t>
        </is>
      </c>
      <c r="M1251" t="inlineStr">
        <is>
          <t>1988</t>
        </is>
      </c>
      <c r="O1251" t="inlineStr">
        <is>
          <t>eng</t>
        </is>
      </c>
      <c r="P1251" t="inlineStr">
        <is>
          <t>nyu</t>
        </is>
      </c>
      <c r="R1251" t="inlineStr">
        <is>
          <t xml:space="preserve">LB </t>
        </is>
      </c>
      <c r="S1251" t="n">
        <v>6</v>
      </c>
      <c r="T1251" t="n">
        <v>6</v>
      </c>
      <c r="U1251" t="inlineStr">
        <is>
          <t>1999-03-15</t>
        </is>
      </c>
      <c r="V1251" t="inlineStr">
        <is>
          <t>1999-03-15</t>
        </is>
      </c>
      <c r="W1251" t="inlineStr">
        <is>
          <t>1992-08-18</t>
        </is>
      </c>
      <c r="X1251" t="inlineStr">
        <is>
          <t>1992-08-18</t>
        </is>
      </c>
      <c r="Y1251" t="n">
        <v>807</v>
      </c>
      <c r="Z1251" t="n">
        <v>731</v>
      </c>
      <c r="AA1251" t="n">
        <v>738</v>
      </c>
      <c r="AB1251" t="n">
        <v>8</v>
      </c>
      <c r="AC1251" t="n">
        <v>8</v>
      </c>
      <c r="AD1251" t="n">
        <v>42</v>
      </c>
      <c r="AE1251" t="n">
        <v>42</v>
      </c>
      <c r="AF1251" t="n">
        <v>19</v>
      </c>
      <c r="AG1251" t="n">
        <v>19</v>
      </c>
      <c r="AH1251" t="n">
        <v>8</v>
      </c>
      <c r="AI1251" t="n">
        <v>8</v>
      </c>
      <c r="AJ1251" t="n">
        <v>20</v>
      </c>
      <c r="AK1251" t="n">
        <v>20</v>
      </c>
      <c r="AL1251" t="n">
        <v>6</v>
      </c>
      <c r="AM1251" t="n">
        <v>6</v>
      </c>
      <c r="AN1251" t="n">
        <v>0</v>
      </c>
      <c r="AO1251" t="n">
        <v>0</v>
      </c>
      <c r="AP1251" t="inlineStr">
        <is>
          <t>No</t>
        </is>
      </c>
      <c r="AQ1251" t="inlineStr">
        <is>
          <t>No</t>
        </is>
      </c>
      <c r="AS1251">
        <f>HYPERLINK("https://creighton-primo.hosted.exlibrisgroup.com/primo-explore/search?tab=default_tab&amp;search_scope=EVERYTHING&amp;vid=01CRU&amp;lang=en_US&amp;offset=0&amp;query=any,contains,991005408819702656","Catalog Record")</f>
        <v/>
      </c>
      <c r="AT1251">
        <f>HYPERLINK("http://www.worldcat.org/oclc/17354575","WorldCat Record")</f>
        <v/>
      </c>
      <c r="AU1251" t="inlineStr">
        <is>
          <t>15465341:eng</t>
        </is>
      </c>
      <c r="AV1251" t="inlineStr">
        <is>
          <t>17354575</t>
        </is>
      </c>
      <c r="AW1251" t="inlineStr">
        <is>
          <t>991005408819702656</t>
        </is>
      </c>
      <c r="AX1251" t="inlineStr">
        <is>
          <t>991005408819702656</t>
        </is>
      </c>
      <c r="AY1251" t="inlineStr">
        <is>
          <t>2268098230002656</t>
        </is>
      </c>
      <c r="AZ1251" t="inlineStr">
        <is>
          <t>BOOK</t>
        </is>
      </c>
      <c r="BB1251" t="inlineStr">
        <is>
          <t>9780807729083</t>
        </is>
      </c>
      <c r="BC1251" t="inlineStr">
        <is>
          <t>32285001261576</t>
        </is>
      </c>
      <c r="BD1251" t="inlineStr">
        <is>
          <t>893808420</t>
        </is>
      </c>
    </row>
    <row r="1252">
      <c r="A1252" t="inlineStr">
        <is>
          <t>No</t>
        </is>
      </c>
      <c r="B1252" t="inlineStr">
        <is>
          <t>LB2840 .M46</t>
        </is>
      </c>
      <c r="C1252" t="inlineStr">
        <is>
          <t>0                      LB 2840000M  46</t>
        </is>
      </c>
      <c r="D1252" t="inlineStr">
        <is>
          <t>The compassionate teacher : how to teach and learn with your whole self / John Miller.</t>
        </is>
      </c>
      <c r="F1252" t="inlineStr">
        <is>
          <t>No</t>
        </is>
      </c>
      <c r="G1252" t="inlineStr">
        <is>
          <t>1</t>
        </is>
      </c>
      <c r="H1252" t="inlineStr">
        <is>
          <t>No</t>
        </is>
      </c>
      <c r="I1252" t="inlineStr">
        <is>
          <t>No</t>
        </is>
      </c>
      <c r="J1252" t="inlineStr">
        <is>
          <t>0</t>
        </is>
      </c>
      <c r="K1252" t="inlineStr">
        <is>
          <t>Miller, John P., 1943-</t>
        </is>
      </c>
      <c r="L1252" t="inlineStr">
        <is>
          <t>Englewood Cliffs, N.J. : Prentice-Hall, c1981.</t>
        </is>
      </c>
      <c r="M1252" t="inlineStr">
        <is>
          <t>1981</t>
        </is>
      </c>
      <c r="O1252" t="inlineStr">
        <is>
          <t>eng</t>
        </is>
      </c>
      <c r="P1252" t="inlineStr">
        <is>
          <t>nju</t>
        </is>
      </c>
      <c r="Q1252" t="inlineStr">
        <is>
          <t>A Spectrum book</t>
        </is>
      </c>
      <c r="R1252" t="inlineStr">
        <is>
          <t xml:space="preserve">LB </t>
        </is>
      </c>
      <c r="S1252" t="n">
        <v>4</v>
      </c>
      <c r="T1252" t="n">
        <v>4</v>
      </c>
      <c r="U1252" t="inlineStr">
        <is>
          <t>2009-09-21</t>
        </is>
      </c>
      <c r="V1252" t="inlineStr">
        <is>
          <t>2009-09-21</t>
        </is>
      </c>
      <c r="W1252" t="inlineStr">
        <is>
          <t>1990-04-17</t>
        </is>
      </c>
      <c r="X1252" t="inlineStr">
        <is>
          <t>1990-04-17</t>
        </is>
      </c>
      <c r="Y1252" t="n">
        <v>216</v>
      </c>
      <c r="Z1252" t="n">
        <v>175</v>
      </c>
      <c r="AA1252" t="n">
        <v>176</v>
      </c>
      <c r="AB1252" t="n">
        <v>1</v>
      </c>
      <c r="AC1252" t="n">
        <v>1</v>
      </c>
      <c r="AD1252" t="n">
        <v>4</v>
      </c>
      <c r="AE1252" t="n">
        <v>4</v>
      </c>
      <c r="AF1252" t="n">
        <v>1</v>
      </c>
      <c r="AG1252" t="n">
        <v>1</v>
      </c>
      <c r="AH1252" t="n">
        <v>1</v>
      </c>
      <c r="AI1252" t="n">
        <v>1</v>
      </c>
      <c r="AJ1252" t="n">
        <v>3</v>
      </c>
      <c r="AK1252" t="n">
        <v>3</v>
      </c>
      <c r="AL1252" t="n">
        <v>0</v>
      </c>
      <c r="AM1252" t="n">
        <v>0</v>
      </c>
      <c r="AN1252" t="n">
        <v>0</v>
      </c>
      <c r="AO1252" t="n">
        <v>0</v>
      </c>
      <c r="AP1252" t="inlineStr">
        <is>
          <t>No</t>
        </is>
      </c>
      <c r="AQ1252" t="inlineStr">
        <is>
          <t>No</t>
        </is>
      </c>
      <c r="AS1252">
        <f>HYPERLINK("https://creighton-primo.hosted.exlibrisgroup.com/primo-explore/search?tab=default_tab&amp;search_scope=EVERYTHING&amp;vid=01CRU&amp;lang=en_US&amp;offset=0&amp;query=any,contains,991005093389702656","Catalog Record")</f>
        <v/>
      </c>
      <c r="AT1252">
        <f>HYPERLINK("http://www.worldcat.org/oclc/7250164","WorldCat Record")</f>
        <v/>
      </c>
      <c r="AU1252" t="inlineStr">
        <is>
          <t>25322181:eng</t>
        </is>
      </c>
      <c r="AV1252" t="inlineStr">
        <is>
          <t>7250164</t>
        </is>
      </c>
      <c r="AW1252" t="inlineStr">
        <is>
          <t>991005093389702656</t>
        </is>
      </c>
      <c r="AX1252" t="inlineStr">
        <is>
          <t>991005093389702656</t>
        </is>
      </c>
      <c r="AY1252" t="inlineStr">
        <is>
          <t>2257065540002656</t>
        </is>
      </c>
      <c r="AZ1252" t="inlineStr">
        <is>
          <t>BOOK</t>
        </is>
      </c>
      <c r="BB1252" t="inlineStr">
        <is>
          <t>9780131544505</t>
        </is>
      </c>
      <c r="BC1252" t="inlineStr">
        <is>
          <t>32285000121367</t>
        </is>
      </c>
      <c r="BD1252" t="inlineStr">
        <is>
          <t>893230194</t>
        </is>
      </c>
    </row>
    <row r="1253">
      <c r="A1253" t="inlineStr">
        <is>
          <t>No</t>
        </is>
      </c>
      <c r="B1253" t="inlineStr">
        <is>
          <t>LB2840 .T4</t>
        </is>
      </c>
      <c r="C1253" t="inlineStr">
        <is>
          <t>0                      LB 2840000T  4</t>
        </is>
      </c>
      <c r="D1253" t="inlineStr">
        <is>
          <t>Teacher burnout / edited by Alfred S. Alschuler, with Jacqueline Carl ... [et al.].</t>
        </is>
      </c>
      <c r="F1253" t="inlineStr">
        <is>
          <t>No</t>
        </is>
      </c>
      <c r="G1253" t="inlineStr">
        <is>
          <t>1</t>
        </is>
      </c>
      <c r="H1253" t="inlineStr">
        <is>
          <t>No</t>
        </is>
      </c>
      <c r="I1253" t="inlineStr">
        <is>
          <t>No</t>
        </is>
      </c>
      <c r="J1253" t="inlineStr">
        <is>
          <t>0</t>
        </is>
      </c>
      <c r="L1253" t="inlineStr">
        <is>
          <t>Washington, D.C. : National Education Association of the United States, c1980.</t>
        </is>
      </c>
      <c r="M1253" t="inlineStr">
        <is>
          <t>1980</t>
        </is>
      </c>
      <c r="O1253" t="inlineStr">
        <is>
          <t>eng</t>
        </is>
      </c>
      <c r="P1253" t="inlineStr">
        <is>
          <t>dcu</t>
        </is>
      </c>
      <c r="Q1253" t="inlineStr">
        <is>
          <t>Analysis and action series</t>
        </is>
      </c>
      <c r="R1253" t="inlineStr">
        <is>
          <t xml:space="preserve">LB </t>
        </is>
      </c>
      <c r="S1253" t="n">
        <v>2</v>
      </c>
      <c r="T1253" t="n">
        <v>2</v>
      </c>
      <c r="U1253" t="inlineStr">
        <is>
          <t>2000-10-09</t>
        </is>
      </c>
      <c r="V1253" t="inlineStr">
        <is>
          <t>2000-10-09</t>
        </is>
      </c>
      <c r="W1253" t="inlineStr">
        <is>
          <t>1990-03-01</t>
        </is>
      </c>
      <c r="X1253" t="inlineStr">
        <is>
          <t>1990-03-01</t>
        </is>
      </c>
      <c r="Y1253" t="n">
        <v>487</v>
      </c>
      <c r="Z1253" t="n">
        <v>457</v>
      </c>
      <c r="AA1253" t="n">
        <v>483</v>
      </c>
      <c r="AB1253" t="n">
        <v>7</v>
      </c>
      <c r="AC1253" t="n">
        <v>7</v>
      </c>
      <c r="AD1253" t="n">
        <v>17</v>
      </c>
      <c r="AE1253" t="n">
        <v>17</v>
      </c>
      <c r="AF1253" t="n">
        <v>6</v>
      </c>
      <c r="AG1253" t="n">
        <v>6</v>
      </c>
      <c r="AH1253" t="n">
        <v>5</v>
      </c>
      <c r="AI1253" t="n">
        <v>5</v>
      </c>
      <c r="AJ1253" t="n">
        <v>4</v>
      </c>
      <c r="AK1253" t="n">
        <v>4</v>
      </c>
      <c r="AL1253" t="n">
        <v>6</v>
      </c>
      <c r="AM1253" t="n">
        <v>6</v>
      </c>
      <c r="AN1253" t="n">
        <v>0</v>
      </c>
      <c r="AO1253" t="n">
        <v>0</v>
      </c>
      <c r="AP1253" t="inlineStr">
        <is>
          <t>No</t>
        </is>
      </c>
      <c r="AQ1253" t="inlineStr">
        <is>
          <t>No</t>
        </is>
      </c>
      <c r="AS1253">
        <f>HYPERLINK("https://creighton-primo.hosted.exlibrisgroup.com/primo-explore/search?tab=default_tab&amp;search_scope=EVERYTHING&amp;vid=01CRU&amp;lang=en_US&amp;offset=0&amp;query=any,contains,991004954939702656","Catalog Record")</f>
        <v/>
      </c>
      <c r="AT1253">
        <f>HYPERLINK("http://www.worldcat.org/oclc/6277622","WorldCat Record")</f>
        <v/>
      </c>
      <c r="AU1253" t="inlineStr">
        <is>
          <t>54377368:eng</t>
        </is>
      </c>
      <c r="AV1253" t="inlineStr">
        <is>
          <t>6277622</t>
        </is>
      </c>
      <c r="AW1253" t="inlineStr">
        <is>
          <t>991004954939702656</t>
        </is>
      </c>
      <c r="AX1253" t="inlineStr">
        <is>
          <t>991004954939702656</t>
        </is>
      </c>
      <c r="AY1253" t="inlineStr">
        <is>
          <t>2268758080002656</t>
        </is>
      </c>
      <c r="AZ1253" t="inlineStr">
        <is>
          <t>BOOK</t>
        </is>
      </c>
      <c r="BB1253" t="inlineStr">
        <is>
          <t>9780810616806</t>
        </is>
      </c>
      <c r="BC1253" t="inlineStr">
        <is>
          <t>32285000074848</t>
        </is>
      </c>
      <c r="BD1253" t="inlineStr">
        <is>
          <t>893443230</t>
        </is>
      </c>
    </row>
    <row r="1254">
      <c r="A1254" t="inlineStr">
        <is>
          <t>No</t>
        </is>
      </c>
      <c r="B1254" t="inlineStr">
        <is>
          <t>LB2840 .T418 1987</t>
        </is>
      </c>
      <c r="C1254" t="inlineStr">
        <is>
          <t>0                      LB 2840000T  418         1987</t>
        </is>
      </c>
      <c r="D1254" t="inlineStr">
        <is>
          <t>Teacher renewal : professional issues, personal choices / edited by Frances S. Bolin and Judith McConnell Falk.</t>
        </is>
      </c>
      <c r="F1254" t="inlineStr">
        <is>
          <t>No</t>
        </is>
      </c>
      <c r="G1254" t="inlineStr">
        <is>
          <t>1</t>
        </is>
      </c>
      <c r="H1254" t="inlineStr">
        <is>
          <t>No</t>
        </is>
      </c>
      <c r="I1254" t="inlineStr">
        <is>
          <t>No</t>
        </is>
      </c>
      <c r="J1254" t="inlineStr">
        <is>
          <t>0</t>
        </is>
      </c>
      <c r="L1254" t="inlineStr">
        <is>
          <t>New York : Teachers College Press, Teachers College, Columbia University, c1987.</t>
        </is>
      </c>
      <c r="M1254" t="inlineStr">
        <is>
          <t>1987</t>
        </is>
      </c>
      <c r="O1254" t="inlineStr">
        <is>
          <t>eng</t>
        </is>
      </c>
      <c r="P1254" t="inlineStr">
        <is>
          <t>nyu</t>
        </is>
      </c>
      <c r="R1254" t="inlineStr">
        <is>
          <t xml:space="preserve">LB </t>
        </is>
      </c>
      <c r="S1254" t="n">
        <v>7</v>
      </c>
      <c r="T1254" t="n">
        <v>7</v>
      </c>
      <c r="U1254" t="inlineStr">
        <is>
          <t>2007-01-30</t>
        </is>
      </c>
      <c r="V1254" t="inlineStr">
        <is>
          <t>2007-01-30</t>
        </is>
      </c>
      <c r="W1254" t="inlineStr">
        <is>
          <t>1990-02-27</t>
        </is>
      </c>
      <c r="X1254" t="inlineStr">
        <is>
          <t>1990-02-27</t>
        </is>
      </c>
      <c r="Y1254" t="n">
        <v>551</v>
      </c>
      <c r="Z1254" t="n">
        <v>499</v>
      </c>
      <c r="AA1254" t="n">
        <v>505</v>
      </c>
      <c r="AB1254" t="n">
        <v>5</v>
      </c>
      <c r="AC1254" t="n">
        <v>5</v>
      </c>
      <c r="AD1254" t="n">
        <v>26</v>
      </c>
      <c r="AE1254" t="n">
        <v>26</v>
      </c>
      <c r="AF1254" t="n">
        <v>12</v>
      </c>
      <c r="AG1254" t="n">
        <v>12</v>
      </c>
      <c r="AH1254" t="n">
        <v>3</v>
      </c>
      <c r="AI1254" t="n">
        <v>3</v>
      </c>
      <c r="AJ1254" t="n">
        <v>14</v>
      </c>
      <c r="AK1254" t="n">
        <v>14</v>
      </c>
      <c r="AL1254" t="n">
        <v>4</v>
      </c>
      <c r="AM1254" t="n">
        <v>4</v>
      </c>
      <c r="AN1254" t="n">
        <v>0</v>
      </c>
      <c r="AO1254" t="n">
        <v>0</v>
      </c>
      <c r="AP1254" t="inlineStr">
        <is>
          <t>No</t>
        </is>
      </c>
      <c r="AQ1254" t="inlineStr">
        <is>
          <t>No</t>
        </is>
      </c>
      <c r="AS1254">
        <f>HYPERLINK("https://creighton-primo.hosted.exlibrisgroup.com/primo-explore/search?tab=default_tab&amp;search_scope=EVERYTHING&amp;vid=01CRU&amp;lang=en_US&amp;offset=0&amp;query=any,contains,991000931809702656","Catalog Record")</f>
        <v/>
      </c>
      <c r="AT1254">
        <f>HYPERLINK("http://www.worldcat.org/oclc/14273008","WorldCat Record")</f>
        <v/>
      </c>
      <c r="AU1254" t="inlineStr">
        <is>
          <t>8531485:eng</t>
        </is>
      </c>
      <c r="AV1254" t="inlineStr">
        <is>
          <t>14273008</t>
        </is>
      </c>
      <c r="AW1254" t="inlineStr">
        <is>
          <t>991000931809702656</t>
        </is>
      </c>
      <c r="AX1254" t="inlineStr">
        <is>
          <t>991000931809702656</t>
        </is>
      </c>
      <c r="AY1254" t="inlineStr">
        <is>
          <t>2259800600002656</t>
        </is>
      </c>
      <c r="AZ1254" t="inlineStr">
        <is>
          <t>BOOK</t>
        </is>
      </c>
      <c r="BB1254" t="inlineStr">
        <is>
          <t>9780807728345</t>
        </is>
      </c>
      <c r="BC1254" t="inlineStr">
        <is>
          <t>32285000071612</t>
        </is>
      </c>
      <c r="BD1254" t="inlineStr">
        <is>
          <t>893249813</t>
        </is>
      </c>
    </row>
    <row r="1255">
      <c r="A1255" t="inlineStr">
        <is>
          <t>No</t>
        </is>
      </c>
      <c r="B1255" t="inlineStr">
        <is>
          <t>LB2840.2 .C425 1982</t>
        </is>
      </c>
      <c r="C1255" t="inlineStr">
        <is>
          <t>0                      LB 2840200C  425         1982</t>
        </is>
      </c>
      <c r="D1255" t="inlineStr">
        <is>
          <t>Job burnout in public education : symptoms, causes, and survival skills / Anthony J. Cedoline.</t>
        </is>
      </c>
      <c r="F1255" t="inlineStr">
        <is>
          <t>No</t>
        </is>
      </c>
      <c r="G1255" t="inlineStr">
        <is>
          <t>1</t>
        </is>
      </c>
      <c r="H1255" t="inlineStr">
        <is>
          <t>No</t>
        </is>
      </c>
      <c r="I1255" t="inlineStr">
        <is>
          <t>No</t>
        </is>
      </c>
      <c r="J1255" t="inlineStr">
        <is>
          <t>0</t>
        </is>
      </c>
      <c r="K1255" t="inlineStr">
        <is>
          <t>Cedoline, Anthony J.</t>
        </is>
      </c>
      <c r="L1255" t="inlineStr">
        <is>
          <t>New York : Teachers College Press, 1982.</t>
        </is>
      </c>
      <c r="M1255" t="inlineStr">
        <is>
          <t>1982</t>
        </is>
      </c>
      <c r="O1255" t="inlineStr">
        <is>
          <t>eng</t>
        </is>
      </c>
      <c r="P1255" t="inlineStr">
        <is>
          <t>nyu</t>
        </is>
      </c>
      <c r="R1255" t="inlineStr">
        <is>
          <t xml:space="preserve">LB </t>
        </is>
      </c>
      <c r="S1255" t="n">
        <v>5</v>
      </c>
      <c r="T1255" t="n">
        <v>5</v>
      </c>
      <c r="U1255" t="inlineStr">
        <is>
          <t>2000-10-09</t>
        </is>
      </c>
      <c r="V1255" t="inlineStr">
        <is>
          <t>2000-10-09</t>
        </is>
      </c>
      <c r="W1255" t="inlineStr">
        <is>
          <t>1990-03-01</t>
        </is>
      </c>
      <c r="X1255" t="inlineStr">
        <is>
          <t>1990-03-01</t>
        </is>
      </c>
      <c r="Y1255" t="n">
        <v>488</v>
      </c>
      <c r="Z1255" t="n">
        <v>440</v>
      </c>
      <c r="AA1255" t="n">
        <v>446</v>
      </c>
      <c r="AB1255" t="n">
        <v>3</v>
      </c>
      <c r="AC1255" t="n">
        <v>3</v>
      </c>
      <c r="AD1255" t="n">
        <v>21</v>
      </c>
      <c r="AE1255" t="n">
        <v>21</v>
      </c>
      <c r="AF1255" t="n">
        <v>12</v>
      </c>
      <c r="AG1255" t="n">
        <v>12</v>
      </c>
      <c r="AH1255" t="n">
        <v>2</v>
      </c>
      <c r="AI1255" t="n">
        <v>2</v>
      </c>
      <c r="AJ1255" t="n">
        <v>11</v>
      </c>
      <c r="AK1255" t="n">
        <v>11</v>
      </c>
      <c r="AL1255" t="n">
        <v>1</v>
      </c>
      <c r="AM1255" t="n">
        <v>1</v>
      </c>
      <c r="AN1255" t="n">
        <v>0</v>
      </c>
      <c r="AO1255" t="n">
        <v>0</v>
      </c>
      <c r="AP1255" t="inlineStr">
        <is>
          <t>No</t>
        </is>
      </c>
      <c r="AQ1255" t="inlineStr">
        <is>
          <t>No</t>
        </is>
      </c>
      <c r="AS1255">
        <f>HYPERLINK("https://creighton-primo.hosted.exlibrisgroup.com/primo-explore/search?tab=default_tab&amp;search_scope=EVERYTHING&amp;vid=01CRU&amp;lang=en_US&amp;offset=0&amp;query=any,contains,991005393289702656","Catalog Record")</f>
        <v/>
      </c>
      <c r="AT1255">
        <f>HYPERLINK("http://www.worldcat.org/oclc/8114699","WorldCat Record")</f>
        <v/>
      </c>
      <c r="AU1255" t="inlineStr">
        <is>
          <t>30874141:eng</t>
        </is>
      </c>
      <c r="AV1255" t="inlineStr">
        <is>
          <t>8114699</t>
        </is>
      </c>
      <c r="AW1255" t="inlineStr">
        <is>
          <t>991005393289702656</t>
        </is>
      </c>
      <c r="AX1255" t="inlineStr">
        <is>
          <t>991005393289702656</t>
        </is>
      </c>
      <c r="AY1255" t="inlineStr">
        <is>
          <t>2255312760002656</t>
        </is>
      </c>
      <c r="AZ1255" t="inlineStr">
        <is>
          <t>BOOK</t>
        </is>
      </c>
      <c r="BB1255" t="inlineStr">
        <is>
          <t>9780807726945</t>
        </is>
      </c>
      <c r="BC1255" t="inlineStr">
        <is>
          <t>32285000074855</t>
        </is>
      </c>
      <c r="BD1255" t="inlineStr">
        <is>
          <t>893883808</t>
        </is>
      </c>
    </row>
    <row r="1256">
      <c r="A1256" t="inlineStr">
        <is>
          <t>No</t>
        </is>
      </c>
      <c r="B1256" t="inlineStr">
        <is>
          <t>LB2840.2 .D43 1990</t>
        </is>
      </c>
      <c r="C1256" t="inlineStr">
        <is>
          <t>0                      LB 2840200D  43          1990</t>
        </is>
      </c>
      <c r="D1256" t="inlineStr">
        <is>
          <t>The special educator and job stress / Charles V. L. Dedrick and Donna B. Raschke.</t>
        </is>
      </c>
      <c r="F1256" t="inlineStr">
        <is>
          <t>No</t>
        </is>
      </c>
      <c r="G1256" t="inlineStr">
        <is>
          <t>1</t>
        </is>
      </c>
      <c r="H1256" t="inlineStr">
        <is>
          <t>No</t>
        </is>
      </c>
      <c r="I1256" t="inlineStr">
        <is>
          <t>No</t>
        </is>
      </c>
      <c r="J1256" t="inlineStr">
        <is>
          <t>0</t>
        </is>
      </c>
      <c r="K1256" t="inlineStr">
        <is>
          <t>Dedrick, Charles V. L.</t>
        </is>
      </c>
      <c r="L1256" t="inlineStr">
        <is>
          <t>Washington, D.C. : National Education Association, c1990.</t>
        </is>
      </c>
      <c r="M1256" t="inlineStr">
        <is>
          <t>1990</t>
        </is>
      </c>
      <c r="O1256" t="inlineStr">
        <is>
          <t>eng</t>
        </is>
      </c>
      <c r="P1256" t="inlineStr">
        <is>
          <t>dcu</t>
        </is>
      </c>
      <c r="Q1256" t="inlineStr">
        <is>
          <t>NEA aspects of learning</t>
        </is>
      </c>
      <c r="R1256" t="inlineStr">
        <is>
          <t xml:space="preserve">LB </t>
        </is>
      </c>
      <c r="S1256" t="n">
        <v>2</v>
      </c>
      <c r="T1256" t="n">
        <v>2</v>
      </c>
      <c r="U1256" t="inlineStr">
        <is>
          <t>1993-12-06</t>
        </is>
      </c>
      <c r="V1256" t="inlineStr">
        <is>
          <t>1993-12-06</t>
        </is>
      </c>
      <c r="W1256" t="inlineStr">
        <is>
          <t>1990-08-13</t>
        </is>
      </c>
      <c r="X1256" t="inlineStr">
        <is>
          <t>1990-08-13</t>
        </is>
      </c>
      <c r="Y1256" t="n">
        <v>330</v>
      </c>
      <c r="Z1256" t="n">
        <v>323</v>
      </c>
      <c r="AA1256" t="n">
        <v>331</v>
      </c>
      <c r="AB1256" t="n">
        <v>4</v>
      </c>
      <c r="AC1256" t="n">
        <v>4</v>
      </c>
      <c r="AD1256" t="n">
        <v>13</v>
      </c>
      <c r="AE1256" t="n">
        <v>13</v>
      </c>
      <c r="AF1256" t="n">
        <v>6</v>
      </c>
      <c r="AG1256" t="n">
        <v>6</v>
      </c>
      <c r="AH1256" t="n">
        <v>1</v>
      </c>
      <c r="AI1256" t="n">
        <v>1</v>
      </c>
      <c r="AJ1256" t="n">
        <v>6</v>
      </c>
      <c r="AK1256" t="n">
        <v>6</v>
      </c>
      <c r="AL1256" t="n">
        <v>3</v>
      </c>
      <c r="AM1256" t="n">
        <v>3</v>
      </c>
      <c r="AN1256" t="n">
        <v>0</v>
      </c>
      <c r="AO1256" t="n">
        <v>0</v>
      </c>
      <c r="AP1256" t="inlineStr">
        <is>
          <t>No</t>
        </is>
      </c>
      <c r="AQ1256" t="inlineStr">
        <is>
          <t>No</t>
        </is>
      </c>
      <c r="AS1256">
        <f>HYPERLINK("https://creighton-primo.hosted.exlibrisgroup.com/primo-explore/search?tab=default_tab&amp;search_scope=EVERYTHING&amp;vid=01CRU&amp;lang=en_US&amp;offset=0&amp;query=any,contains,991001632699702656","Catalog Record")</f>
        <v/>
      </c>
      <c r="AT1256">
        <f>HYPERLINK("http://www.worldcat.org/oclc/20932022","WorldCat Record")</f>
        <v/>
      </c>
      <c r="AU1256" t="inlineStr">
        <is>
          <t>1075991:eng</t>
        </is>
      </c>
      <c r="AV1256" t="inlineStr">
        <is>
          <t>20932022</t>
        </is>
      </c>
      <c r="AW1256" t="inlineStr">
        <is>
          <t>991001632699702656</t>
        </is>
      </c>
      <c r="AX1256" t="inlineStr">
        <is>
          <t>991001632699702656</t>
        </is>
      </c>
      <c r="AY1256" t="inlineStr">
        <is>
          <t>2265658060002656</t>
        </is>
      </c>
      <c r="AZ1256" t="inlineStr">
        <is>
          <t>BOOK</t>
        </is>
      </c>
      <c r="BB1256" t="inlineStr">
        <is>
          <t>9780810630055</t>
        </is>
      </c>
      <c r="BC1256" t="inlineStr">
        <is>
          <t>32285000024074</t>
        </is>
      </c>
      <c r="BD1256" t="inlineStr">
        <is>
          <t>893709411</t>
        </is>
      </c>
    </row>
    <row r="1257">
      <c r="A1257" t="inlineStr">
        <is>
          <t>No</t>
        </is>
      </c>
      <c r="B1257" t="inlineStr">
        <is>
          <t>LB2840.2 .D86 1984</t>
        </is>
      </c>
      <c r="C1257" t="inlineStr">
        <is>
          <t>0                      LB 2840200D  86          1984</t>
        </is>
      </c>
      <c r="D1257" t="inlineStr">
        <is>
          <t>Stress in teaching / by Jack Dunham.</t>
        </is>
      </c>
      <c r="F1257" t="inlineStr">
        <is>
          <t>No</t>
        </is>
      </c>
      <c r="G1257" t="inlineStr">
        <is>
          <t>1</t>
        </is>
      </c>
      <c r="H1257" t="inlineStr">
        <is>
          <t>No</t>
        </is>
      </c>
      <c r="I1257" t="inlineStr">
        <is>
          <t>No</t>
        </is>
      </c>
      <c r="J1257" t="inlineStr">
        <is>
          <t>0</t>
        </is>
      </c>
      <c r="K1257" t="inlineStr">
        <is>
          <t>Dunham, Jack.</t>
        </is>
      </c>
      <c r="L1257" t="inlineStr">
        <is>
          <t>London : Croom Helm ; New York : Nichols Pub. Co., 1984.</t>
        </is>
      </c>
      <c r="M1257" t="inlineStr">
        <is>
          <t>1984</t>
        </is>
      </c>
      <c r="O1257" t="inlineStr">
        <is>
          <t>eng</t>
        </is>
      </c>
      <c r="P1257" t="inlineStr">
        <is>
          <t>enk</t>
        </is>
      </c>
      <c r="R1257" t="inlineStr">
        <is>
          <t xml:space="preserve">LB </t>
        </is>
      </c>
      <c r="S1257" t="n">
        <v>6</v>
      </c>
      <c r="T1257" t="n">
        <v>6</v>
      </c>
      <c r="U1257" t="inlineStr">
        <is>
          <t>1999-03-15</t>
        </is>
      </c>
      <c r="V1257" t="inlineStr">
        <is>
          <t>1999-03-15</t>
        </is>
      </c>
      <c r="W1257" t="inlineStr">
        <is>
          <t>1990-03-01</t>
        </is>
      </c>
      <c r="X1257" t="inlineStr">
        <is>
          <t>1990-03-01</t>
        </is>
      </c>
      <c r="Y1257" t="n">
        <v>391</v>
      </c>
      <c r="Z1257" t="n">
        <v>263</v>
      </c>
      <c r="AA1257" t="n">
        <v>728</v>
      </c>
      <c r="AB1257" t="n">
        <v>2</v>
      </c>
      <c r="AC1257" t="n">
        <v>2</v>
      </c>
      <c r="AD1257" t="n">
        <v>7</v>
      </c>
      <c r="AE1257" t="n">
        <v>13</v>
      </c>
      <c r="AF1257" t="n">
        <v>2</v>
      </c>
      <c r="AG1257" t="n">
        <v>4</v>
      </c>
      <c r="AH1257" t="n">
        <v>1</v>
      </c>
      <c r="AI1257" t="n">
        <v>3</v>
      </c>
      <c r="AJ1257" t="n">
        <v>3</v>
      </c>
      <c r="AK1257" t="n">
        <v>6</v>
      </c>
      <c r="AL1257" t="n">
        <v>1</v>
      </c>
      <c r="AM1257" t="n">
        <v>1</v>
      </c>
      <c r="AN1257" t="n">
        <v>0</v>
      </c>
      <c r="AO1257" t="n">
        <v>0</v>
      </c>
      <c r="AP1257" t="inlineStr">
        <is>
          <t>No</t>
        </is>
      </c>
      <c r="AQ1257" t="inlineStr">
        <is>
          <t>No</t>
        </is>
      </c>
      <c r="AS1257">
        <f>HYPERLINK("https://creighton-primo.hosted.exlibrisgroup.com/primo-explore/search?tab=default_tab&amp;search_scope=EVERYTHING&amp;vid=01CRU&amp;lang=en_US&amp;offset=0&amp;query=any,contains,991005404039702656","Catalog Record")</f>
        <v/>
      </c>
      <c r="AT1257">
        <f>HYPERLINK("http://www.worldcat.org/oclc/10726859","WorldCat Record")</f>
        <v/>
      </c>
      <c r="AU1257" t="inlineStr">
        <is>
          <t>2645799:eng</t>
        </is>
      </c>
      <c r="AV1257" t="inlineStr">
        <is>
          <t>10726859</t>
        </is>
      </c>
      <c r="AW1257" t="inlineStr">
        <is>
          <t>991005404039702656</t>
        </is>
      </c>
      <c r="AX1257" t="inlineStr">
        <is>
          <t>991005404039702656</t>
        </is>
      </c>
      <c r="AY1257" t="inlineStr">
        <is>
          <t>2264086780002656</t>
        </is>
      </c>
      <c r="AZ1257" t="inlineStr">
        <is>
          <t>BOOK</t>
        </is>
      </c>
      <c r="BB1257" t="inlineStr">
        <is>
          <t>9780893971984</t>
        </is>
      </c>
      <c r="BC1257" t="inlineStr">
        <is>
          <t>32285000074863</t>
        </is>
      </c>
      <c r="BD1257" t="inlineStr">
        <is>
          <t>893254951</t>
        </is>
      </c>
    </row>
    <row r="1258">
      <c r="A1258" t="inlineStr">
        <is>
          <t>No</t>
        </is>
      </c>
      <c r="B1258" t="inlineStr">
        <is>
          <t>LB2840.2 .G35 1998</t>
        </is>
      </c>
      <c r="C1258" t="inlineStr">
        <is>
          <t>0                      LB 2840200G  35          1998</t>
        </is>
      </c>
      <c r="D1258" t="inlineStr">
        <is>
          <t>Inspiring tranquility : stress management and learning styles in the inclusive classroom / Janet O. Gallaher and Rebecca O. Nunn.</t>
        </is>
      </c>
      <c r="F1258" t="inlineStr">
        <is>
          <t>No</t>
        </is>
      </c>
      <c r="G1258" t="inlineStr">
        <is>
          <t>1</t>
        </is>
      </c>
      <c r="H1258" t="inlineStr">
        <is>
          <t>No</t>
        </is>
      </c>
      <c r="I1258" t="inlineStr">
        <is>
          <t>No</t>
        </is>
      </c>
      <c r="J1258" t="inlineStr">
        <is>
          <t>0</t>
        </is>
      </c>
      <c r="K1258" t="inlineStr">
        <is>
          <t>Gallaher, Janet O.</t>
        </is>
      </c>
      <c r="L1258" t="inlineStr">
        <is>
          <t>Annapolis Junction, MD : NEA Professional Library, c1998.</t>
        </is>
      </c>
      <c r="M1258" t="inlineStr">
        <is>
          <t>1998</t>
        </is>
      </c>
      <c r="O1258" t="inlineStr">
        <is>
          <t>eng</t>
        </is>
      </c>
      <c r="P1258" t="inlineStr">
        <is>
          <t>mdu</t>
        </is>
      </c>
      <c r="Q1258" t="inlineStr">
        <is>
          <t>The inspired classroom series</t>
        </is>
      </c>
      <c r="R1258" t="inlineStr">
        <is>
          <t xml:space="preserve">LB </t>
        </is>
      </c>
      <c r="S1258" t="n">
        <v>2</v>
      </c>
      <c r="T1258" t="n">
        <v>2</v>
      </c>
      <c r="U1258" t="inlineStr">
        <is>
          <t>2001-01-14</t>
        </is>
      </c>
      <c r="V1258" t="inlineStr">
        <is>
          <t>2001-01-14</t>
        </is>
      </c>
      <c r="W1258" t="inlineStr">
        <is>
          <t>1998-07-09</t>
        </is>
      </c>
      <c r="X1258" t="inlineStr">
        <is>
          <t>1998-07-09</t>
        </is>
      </c>
      <c r="Y1258" t="n">
        <v>255</v>
      </c>
      <c r="Z1258" t="n">
        <v>250</v>
      </c>
      <c r="AA1258" t="n">
        <v>257</v>
      </c>
      <c r="AB1258" t="n">
        <v>4</v>
      </c>
      <c r="AC1258" t="n">
        <v>4</v>
      </c>
      <c r="AD1258" t="n">
        <v>11</v>
      </c>
      <c r="AE1258" t="n">
        <v>11</v>
      </c>
      <c r="AF1258" t="n">
        <v>5</v>
      </c>
      <c r="AG1258" t="n">
        <v>5</v>
      </c>
      <c r="AH1258" t="n">
        <v>1</v>
      </c>
      <c r="AI1258" t="n">
        <v>1</v>
      </c>
      <c r="AJ1258" t="n">
        <v>5</v>
      </c>
      <c r="AK1258" t="n">
        <v>5</v>
      </c>
      <c r="AL1258" t="n">
        <v>3</v>
      </c>
      <c r="AM1258" t="n">
        <v>3</v>
      </c>
      <c r="AN1258" t="n">
        <v>0</v>
      </c>
      <c r="AO1258" t="n">
        <v>0</v>
      </c>
      <c r="AP1258" t="inlineStr">
        <is>
          <t>No</t>
        </is>
      </c>
      <c r="AQ1258" t="inlineStr">
        <is>
          <t>No</t>
        </is>
      </c>
      <c r="AS1258">
        <f>HYPERLINK("https://creighton-primo.hosted.exlibrisgroup.com/primo-explore/search?tab=default_tab&amp;search_scope=EVERYTHING&amp;vid=01CRU&amp;lang=en_US&amp;offset=0&amp;query=any,contains,991002838879702656","Catalog Record")</f>
        <v/>
      </c>
      <c r="AT1258">
        <f>HYPERLINK("http://www.worldcat.org/oclc/37392937","WorldCat Record")</f>
        <v/>
      </c>
      <c r="AU1258" t="inlineStr">
        <is>
          <t>905705621:eng</t>
        </is>
      </c>
      <c r="AV1258" t="inlineStr">
        <is>
          <t>37392937</t>
        </is>
      </c>
      <c r="AW1258" t="inlineStr">
        <is>
          <t>991002838879702656</t>
        </is>
      </c>
      <c r="AX1258" t="inlineStr">
        <is>
          <t>991002838879702656</t>
        </is>
      </c>
      <c r="AY1258" t="inlineStr">
        <is>
          <t>2264946400002656</t>
        </is>
      </c>
      <c r="AZ1258" t="inlineStr">
        <is>
          <t>BOOK</t>
        </is>
      </c>
      <c r="BB1258" t="inlineStr">
        <is>
          <t>9780810629523</t>
        </is>
      </c>
      <c r="BC1258" t="inlineStr">
        <is>
          <t>32285003431219</t>
        </is>
      </c>
      <c r="BD1258" t="inlineStr">
        <is>
          <t>893535216</t>
        </is>
      </c>
    </row>
    <row r="1259">
      <c r="A1259" t="inlineStr">
        <is>
          <t>No</t>
        </is>
      </c>
      <c r="B1259" t="inlineStr">
        <is>
          <t>LB2840.2 .S5</t>
        </is>
      </c>
      <c r="C1259" t="inlineStr">
        <is>
          <t>0                      LB 2840200S  5</t>
        </is>
      </c>
      <c r="D1259" t="inlineStr">
        <is>
          <t>Stress and burnout : a primer for special education and special services personnel / Stan F. Shaw, Jeffrey M. Bensky, Benjamin Dixon.</t>
        </is>
      </c>
      <c r="F1259" t="inlineStr">
        <is>
          <t>No</t>
        </is>
      </c>
      <c r="G1259" t="inlineStr">
        <is>
          <t>1</t>
        </is>
      </c>
      <c r="H1259" t="inlineStr">
        <is>
          <t>No</t>
        </is>
      </c>
      <c r="I1259" t="inlineStr">
        <is>
          <t>No</t>
        </is>
      </c>
      <c r="J1259" t="inlineStr">
        <is>
          <t>0</t>
        </is>
      </c>
      <c r="K1259" t="inlineStr">
        <is>
          <t>Shaw, Stan F.</t>
        </is>
      </c>
      <c r="L1259" t="inlineStr">
        <is>
          <t>Reston, Va. : Council for Exceptional Children, 1981.</t>
        </is>
      </c>
      <c r="M1259" t="inlineStr">
        <is>
          <t>1981</t>
        </is>
      </c>
      <c r="O1259" t="inlineStr">
        <is>
          <t>eng</t>
        </is>
      </c>
      <c r="P1259" t="inlineStr">
        <is>
          <t>vau</t>
        </is>
      </c>
      <c r="R1259" t="inlineStr">
        <is>
          <t xml:space="preserve">LB </t>
        </is>
      </c>
      <c r="S1259" t="n">
        <v>5</v>
      </c>
      <c r="T1259" t="n">
        <v>5</v>
      </c>
      <c r="U1259" t="inlineStr">
        <is>
          <t>2000-10-09</t>
        </is>
      </c>
      <c r="V1259" t="inlineStr">
        <is>
          <t>2000-10-09</t>
        </is>
      </c>
      <c r="W1259" t="inlineStr">
        <is>
          <t>1990-03-01</t>
        </is>
      </c>
      <c r="X1259" t="inlineStr">
        <is>
          <t>1990-03-01</t>
        </is>
      </c>
      <c r="Y1259" t="n">
        <v>144</v>
      </c>
      <c r="Z1259" t="n">
        <v>126</v>
      </c>
      <c r="AA1259" t="n">
        <v>128</v>
      </c>
      <c r="AB1259" t="n">
        <v>2</v>
      </c>
      <c r="AC1259" t="n">
        <v>2</v>
      </c>
      <c r="AD1259" t="n">
        <v>2</v>
      </c>
      <c r="AE1259" t="n">
        <v>2</v>
      </c>
      <c r="AF1259" t="n">
        <v>1</v>
      </c>
      <c r="AG1259" t="n">
        <v>1</v>
      </c>
      <c r="AH1259" t="n">
        <v>0</v>
      </c>
      <c r="AI1259" t="n">
        <v>0</v>
      </c>
      <c r="AJ1259" t="n">
        <v>0</v>
      </c>
      <c r="AK1259" t="n">
        <v>0</v>
      </c>
      <c r="AL1259" t="n">
        <v>1</v>
      </c>
      <c r="AM1259" t="n">
        <v>1</v>
      </c>
      <c r="AN1259" t="n">
        <v>0</v>
      </c>
      <c r="AO1259" t="n">
        <v>0</v>
      </c>
      <c r="AP1259" t="inlineStr">
        <is>
          <t>No</t>
        </is>
      </c>
      <c r="AQ1259" t="inlineStr">
        <is>
          <t>No</t>
        </is>
      </c>
      <c r="AS1259">
        <f>HYPERLINK("https://creighton-primo.hosted.exlibrisgroup.com/primo-explore/search?tab=default_tab&amp;search_scope=EVERYTHING&amp;vid=01CRU&amp;lang=en_US&amp;offset=0&amp;query=any,contains,991005388199702656","Catalog Record")</f>
        <v/>
      </c>
      <c r="AT1259">
        <f>HYPERLINK("http://www.worldcat.org/oclc/7792472","WorldCat Record")</f>
        <v/>
      </c>
      <c r="AU1259" t="inlineStr">
        <is>
          <t>512568:eng</t>
        </is>
      </c>
      <c r="AV1259" t="inlineStr">
        <is>
          <t>7792472</t>
        </is>
      </c>
      <c r="AW1259" t="inlineStr">
        <is>
          <t>991005388199702656</t>
        </is>
      </c>
      <c r="AX1259" t="inlineStr">
        <is>
          <t>991005388199702656</t>
        </is>
      </c>
      <c r="AY1259" t="inlineStr">
        <is>
          <t>2266748190002656</t>
        </is>
      </c>
      <c r="AZ1259" t="inlineStr">
        <is>
          <t>BOOK</t>
        </is>
      </c>
      <c r="BB1259" t="inlineStr">
        <is>
          <t>9780865861176</t>
        </is>
      </c>
      <c r="BC1259" t="inlineStr">
        <is>
          <t>32285000074889</t>
        </is>
      </c>
      <c r="BD1259" t="inlineStr">
        <is>
          <t>893320554</t>
        </is>
      </c>
    </row>
    <row r="1260">
      <c r="A1260" t="inlineStr">
        <is>
          <t>No</t>
        </is>
      </c>
      <c r="B1260" t="inlineStr">
        <is>
          <t>LB2842.22 .H63 2003</t>
        </is>
      </c>
      <c r="C1260" t="inlineStr">
        <is>
          <t>0                      LB 2842220H  63          2003</t>
        </is>
      </c>
      <c r="D1260" t="inlineStr">
        <is>
          <t>The role of performance pay systems in comprehensive school reform : considerations for policy making and planning / Warren A. Hodge.</t>
        </is>
      </c>
      <c r="F1260" t="inlineStr">
        <is>
          <t>No</t>
        </is>
      </c>
      <c r="G1260" t="inlineStr">
        <is>
          <t>1</t>
        </is>
      </c>
      <c r="H1260" t="inlineStr">
        <is>
          <t>No</t>
        </is>
      </c>
      <c r="I1260" t="inlineStr">
        <is>
          <t>No</t>
        </is>
      </c>
      <c r="J1260" t="inlineStr">
        <is>
          <t>0</t>
        </is>
      </c>
      <c r="K1260" t="inlineStr">
        <is>
          <t>Hodge, Warren A.</t>
        </is>
      </c>
      <c r="L1260" t="inlineStr">
        <is>
          <t>Lanham, Md. : University Press of America, c2003.</t>
        </is>
      </c>
      <c r="M1260" t="inlineStr">
        <is>
          <t>2003</t>
        </is>
      </c>
      <c r="O1260" t="inlineStr">
        <is>
          <t>eng</t>
        </is>
      </c>
      <c r="P1260" t="inlineStr">
        <is>
          <t>mdu</t>
        </is>
      </c>
      <c r="R1260" t="inlineStr">
        <is>
          <t xml:space="preserve">LB </t>
        </is>
      </c>
      <c r="S1260" t="n">
        <v>1</v>
      </c>
      <c r="T1260" t="n">
        <v>1</v>
      </c>
      <c r="U1260" t="inlineStr">
        <is>
          <t>2003-07-29</t>
        </is>
      </c>
      <c r="V1260" t="inlineStr">
        <is>
          <t>2003-07-29</t>
        </is>
      </c>
      <c r="W1260" t="inlineStr">
        <is>
          <t>2003-07-29</t>
        </is>
      </c>
      <c r="X1260" t="inlineStr">
        <is>
          <t>2003-07-29</t>
        </is>
      </c>
      <c r="Y1260" t="n">
        <v>154</v>
      </c>
      <c r="Z1260" t="n">
        <v>136</v>
      </c>
      <c r="AA1260" t="n">
        <v>138</v>
      </c>
      <c r="AB1260" t="n">
        <v>3</v>
      </c>
      <c r="AC1260" t="n">
        <v>3</v>
      </c>
      <c r="AD1260" t="n">
        <v>7</v>
      </c>
      <c r="AE1260" t="n">
        <v>7</v>
      </c>
      <c r="AF1260" t="n">
        <v>2</v>
      </c>
      <c r="AG1260" t="n">
        <v>2</v>
      </c>
      <c r="AH1260" t="n">
        <v>1</v>
      </c>
      <c r="AI1260" t="n">
        <v>1</v>
      </c>
      <c r="AJ1260" t="n">
        <v>4</v>
      </c>
      <c r="AK1260" t="n">
        <v>4</v>
      </c>
      <c r="AL1260" t="n">
        <v>2</v>
      </c>
      <c r="AM1260" t="n">
        <v>2</v>
      </c>
      <c r="AN1260" t="n">
        <v>0</v>
      </c>
      <c r="AO1260" t="n">
        <v>0</v>
      </c>
      <c r="AP1260" t="inlineStr">
        <is>
          <t>No</t>
        </is>
      </c>
      <c r="AQ1260" t="inlineStr">
        <is>
          <t>Yes</t>
        </is>
      </c>
      <c r="AR1260">
        <f>HYPERLINK("http://catalog.hathitrust.org/Record/004326946","HathiTrust Record")</f>
        <v/>
      </c>
      <c r="AS1260">
        <f>HYPERLINK("https://creighton-primo.hosted.exlibrisgroup.com/primo-explore/search?tab=default_tab&amp;search_scope=EVERYTHING&amp;vid=01CRU&amp;lang=en_US&amp;offset=0&amp;query=any,contains,991004096299702656","Catalog Record")</f>
        <v/>
      </c>
      <c r="AT1260">
        <f>HYPERLINK("http://www.worldcat.org/oclc/52127590","WorldCat Record")</f>
        <v/>
      </c>
      <c r="AU1260" t="inlineStr">
        <is>
          <t>755033:eng</t>
        </is>
      </c>
      <c r="AV1260" t="inlineStr">
        <is>
          <t>52127590</t>
        </is>
      </c>
      <c r="AW1260" t="inlineStr">
        <is>
          <t>991004096299702656</t>
        </is>
      </c>
      <c r="AX1260" t="inlineStr">
        <is>
          <t>991004096299702656</t>
        </is>
      </c>
      <c r="AY1260" t="inlineStr">
        <is>
          <t>2262651460002656</t>
        </is>
      </c>
      <c r="AZ1260" t="inlineStr">
        <is>
          <t>BOOK</t>
        </is>
      </c>
      <c r="BB1260" t="inlineStr">
        <is>
          <t>9780761825548</t>
        </is>
      </c>
      <c r="BC1260" t="inlineStr">
        <is>
          <t>32285004757315</t>
        </is>
      </c>
      <c r="BD1260" t="inlineStr">
        <is>
          <t>893624338</t>
        </is>
      </c>
    </row>
    <row r="1261">
      <c r="A1261" t="inlineStr">
        <is>
          <t>No</t>
        </is>
      </c>
      <c r="B1261" t="inlineStr">
        <is>
          <t>LB2842.22 .H64 2005</t>
        </is>
      </c>
      <c r="C1261" t="inlineStr">
        <is>
          <t>0                      LB 2842220H  64          2005</t>
        </is>
      </c>
      <c r="D1261" t="inlineStr">
        <is>
          <t>Looking forward to Monday morning : ideas for recognition and appreciation activities and fun things to do at work for educators / by Diane Hodges.</t>
        </is>
      </c>
      <c r="F1261" t="inlineStr">
        <is>
          <t>No</t>
        </is>
      </c>
      <c r="G1261" t="inlineStr">
        <is>
          <t>1</t>
        </is>
      </c>
      <c r="H1261" t="inlineStr">
        <is>
          <t>No</t>
        </is>
      </c>
      <c r="I1261" t="inlineStr">
        <is>
          <t>No</t>
        </is>
      </c>
      <c r="J1261" t="inlineStr">
        <is>
          <t>0</t>
        </is>
      </c>
      <c r="K1261" t="inlineStr">
        <is>
          <t>Hodges, Diane.</t>
        </is>
      </c>
      <c r="L1261" t="inlineStr">
        <is>
          <t>Thousand Oaks, Calif. : Corwin Press, c2005.</t>
        </is>
      </c>
      <c r="M1261" t="inlineStr">
        <is>
          <t>2005</t>
        </is>
      </c>
      <c r="O1261" t="inlineStr">
        <is>
          <t>eng</t>
        </is>
      </c>
      <c r="P1261" t="inlineStr">
        <is>
          <t>cau</t>
        </is>
      </c>
      <c r="R1261" t="inlineStr">
        <is>
          <t xml:space="preserve">LB </t>
        </is>
      </c>
      <c r="S1261" t="n">
        <v>2</v>
      </c>
      <c r="T1261" t="n">
        <v>2</v>
      </c>
      <c r="U1261" t="inlineStr">
        <is>
          <t>2005-03-31</t>
        </is>
      </c>
      <c r="V1261" t="inlineStr">
        <is>
          <t>2005-03-31</t>
        </is>
      </c>
      <c r="W1261" t="inlineStr">
        <is>
          <t>2005-03-16</t>
        </is>
      </c>
      <c r="X1261" t="inlineStr">
        <is>
          <t>2005-03-16</t>
        </is>
      </c>
      <c r="Y1261" t="n">
        <v>189</v>
      </c>
      <c r="Z1261" t="n">
        <v>154</v>
      </c>
      <c r="AA1261" t="n">
        <v>176</v>
      </c>
      <c r="AB1261" t="n">
        <v>2</v>
      </c>
      <c r="AC1261" t="n">
        <v>2</v>
      </c>
      <c r="AD1261" t="n">
        <v>3</v>
      </c>
      <c r="AE1261" t="n">
        <v>3</v>
      </c>
      <c r="AF1261" t="n">
        <v>0</v>
      </c>
      <c r="AG1261" t="n">
        <v>0</v>
      </c>
      <c r="AH1261" t="n">
        <v>0</v>
      </c>
      <c r="AI1261" t="n">
        <v>0</v>
      </c>
      <c r="AJ1261" t="n">
        <v>2</v>
      </c>
      <c r="AK1261" t="n">
        <v>2</v>
      </c>
      <c r="AL1261" t="n">
        <v>1</v>
      </c>
      <c r="AM1261" t="n">
        <v>1</v>
      </c>
      <c r="AN1261" t="n">
        <v>0</v>
      </c>
      <c r="AO1261" t="n">
        <v>0</v>
      </c>
      <c r="AP1261" t="inlineStr">
        <is>
          <t>No</t>
        </is>
      </c>
      <c r="AQ1261" t="inlineStr">
        <is>
          <t>Yes</t>
        </is>
      </c>
      <c r="AR1261">
        <f>HYPERLINK("http://catalog.hathitrust.org/Record/102036918","HathiTrust Record")</f>
        <v/>
      </c>
      <c r="AS1261">
        <f>HYPERLINK("https://creighton-primo.hosted.exlibrisgroup.com/primo-explore/search?tab=default_tab&amp;search_scope=EVERYTHING&amp;vid=01CRU&amp;lang=en_US&amp;offset=0&amp;query=any,contains,991004497679702656","Catalog Record")</f>
        <v/>
      </c>
      <c r="AT1261">
        <f>HYPERLINK("http://www.worldcat.org/oclc/56413813","WorldCat Record")</f>
        <v/>
      </c>
      <c r="AU1261" t="inlineStr">
        <is>
          <t>2242391150:eng</t>
        </is>
      </c>
      <c r="AV1261" t="inlineStr">
        <is>
          <t>56413813</t>
        </is>
      </c>
      <c r="AW1261" t="inlineStr">
        <is>
          <t>991004497679702656</t>
        </is>
      </c>
      <c r="AX1261" t="inlineStr">
        <is>
          <t>991004497679702656</t>
        </is>
      </c>
      <c r="AY1261" t="inlineStr">
        <is>
          <t>2270699340002656</t>
        </is>
      </c>
      <c r="AZ1261" t="inlineStr">
        <is>
          <t>BOOK</t>
        </is>
      </c>
      <c r="BB1261" t="inlineStr">
        <is>
          <t>9781412913379</t>
        </is>
      </c>
      <c r="BC1261" t="inlineStr">
        <is>
          <t>32285005042071</t>
        </is>
      </c>
      <c r="BD1261" t="inlineStr">
        <is>
          <t>893599902</t>
        </is>
      </c>
    </row>
    <row r="1262">
      <c r="A1262" t="inlineStr">
        <is>
          <t>No</t>
        </is>
      </c>
      <c r="B1262" t="inlineStr">
        <is>
          <t>LB2844.1.A8 G395 2003</t>
        </is>
      </c>
      <c r="C1262" t="inlineStr">
        <is>
          <t>0                      LB 2844100A  8                  G  395         2003</t>
        </is>
      </c>
      <c r="D1262" t="inlineStr">
        <is>
          <t>Let's team up! : a checklist for paraeducators, teachers, and principals / Kent Gerlach.</t>
        </is>
      </c>
      <c r="F1262" t="inlineStr">
        <is>
          <t>No</t>
        </is>
      </c>
      <c r="G1262" t="inlineStr">
        <is>
          <t>1</t>
        </is>
      </c>
      <c r="H1262" t="inlineStr">
        <is>
          <t>No</t>
        </is>
      </c>
      <c r="I1262" t="inlineStr">
        <is>
          <t>No</t>
        </is>
      </c>
      <c r="J1262" t="inlineStr">
        <is>
          <t>0</t>
        </is>
      </c>
      <c r="K1262" t="inlineStr">
        <is>
          <t>Gerlach, Kent.</t>
        </is>
      </c>
      <c r="L1262" t="inlineStr">
        <is>
          <t>Washington, DC : NEA Professional Library Publication, c2003.</t>
        </is>
      </c>
      <c r="M1262" t="inlineStr">
        <is>
          <t>2003</t>
        </is>
      </c>
      <c r="N1262" t="inlineStr">
        <is>
          <t>Rev. ed.</t>
        </is>
      </c>
      <c r="O1262" t="inlineStr">
        <is>
          <t>eng</t>
        </is>
      </c>
      <c r="P1262" t="inlineStr">
        <is>
          <t>dcu</t>
        </is>
      </c>
      <c r="Q1262" t="inlineStr">
        <is>
          <t>NEA checklist series</t>
        </is>
      </c>
      <c r="R1262" t="inlineStr">
        <is>
          <t xml:space="preserve">LB </t>
        </is>
      </c>
      <c r="S1262" t="n">
        <v>1</v>
      </c>
      <c r="T1262" t="n">
        <v>1</v>
      </c>
      <c r="U1262" t="inlineStr">
        <is>
          <t>2003-04-10</t>
        </is>
      </c>
      <c r="V1262" t="inlineStr">
        <is>
          <t>2003-04-10</t>
        </is>
      </c>
      <c r="W1262" t="inlineStr">
        <is>
          <t>2003-04-10</t>
        </is>
      </c>
      <c r="X1262" t="inlineStr">
        <is>
          <t>2003-04-10</t>
        </is>
      </c>
      <c r="Y1262" t="n">
        <v>146</v>
      </c>
      <c r="Z1262" t="n">
        <v>141</v>
      </c>
      <c r="AA1262" t="n">
        <v>216</v>
      </c>
      <c r="AB1262" t="n">
        <v>3</v>
      </c>
      <c r="AC1262" t="n">
        <v>3</v>
      </c>
      <c r="AD1262" t="n">
        <v>6</v>
      </c>
      <c r="AE1262" t="n">
        <v>11</v>
      </c>
      <c r="AF1262" t="n">
        <v>2</v>
      </c>
      <c r="AG1262" t="n">
        <v>5</v>
      </c>
      <c r="AH1262" t="n">
        <v>2</v>
      </c>
      <c r="AI1262" t="n">
        <v>2</v>
      </c>
      <c r="AJ1262" t="n">
        <v>2</v>
      </c>
      <c r="AK1262" t="n">
        <v>5</v>
      </c>
      <c r="AL1262" t="n">
        <v>2</v>
      </c>
      <c r="AM1262" t="n">
        <v>2</v>
      </c>
      <c r="AN1262" t="n">
        <v>0</v>
      </c>
      <c r="AO1262" t="n">
        <v>0</v>
      </c>
      <c r="AP1262" t="inlineStr">
        <is>
          <t>No</t>
        </is>
      </c>
      <c r="AQ1262" t="inlineStr">
        <is>
          <t>No</t>
        </is>
      </c>
      <c r="AS1262">
        <f>HYPERLINK("https://creighton-primo.hosted.exlibrisgroup.com/primo-explore/search?tab=default_tab&amp;search_scope=EVERYTHING&amp;vid=01CRU&amp;lang=en_US&amp;offset=0&amp;query=any,contains,991004037579702656","Catalog Record")</f>
        <v/>
      </c>
      <c r="AT1262">
        <f>HYPERLINK("http://www.worldcat.org/oclc/51945685","WorldCat Record")</f>
        <v/>
      </c>
      <c r="AU1262" t="inlineStr">
        <is>
          <t>10096278:eng</t>
        </is>
      </c>
      <c r="AV1262" t="inlineStr">
        <is>
          <t>51945685</t>
        </is>
      </c>
      <c r="AW1262" t="inlineStr">
        <is>
          <t>991004037579702656</t>
        </is>
      </c>
      <c r="AX1262" t="inlineStr">
        <is>
          <t>991004037579702656</t>
        </is>
      </c>
      <c r="AY1262" t="inlineStr">
        <is>
          <t>2261856830002656</t>
        </is>
      </c>
      <c r="AZ1262" t="inlineStr">
        <is>
          <t>BOOK</t>
        </is>
      </c>
      <c r="BC1262" t="inlineStr">
        <is>
          <t>32285004742101</t>
        </is>
      </c>
      <c r="BD1262" t="inlineStr">
        <is>
          <t>893349539</t>
        </is>
      </c>
    </row>
    <row r="1263">
      <c r="A1263" t="inlineStr">
        <is>
          <t>No</t>
        </is>
      </c>
      <c r="B1263" t="inlineStr">
        <is>
          <t>LB2844.1.C54 F53 2006</t>
        </is>
      </c>
      <c r="C1263" t="inlineStr">
        <is>
          <t>0                      LB 2844100C  54                 F  53          2006</t>
        </is>
      </c>
      <c r="D1263" t="inlineStr">
        <is>
          <t>Innocence denied : a guide to preventing sexual misconduct by teachers and coaches / William L. Fibkins.</t>
        </is>
      </c>
      <c r="F1263" t="inlineStr">
        <is>
          <t>No</t>
        </is>
      </c>
      <c r="G1263" t="inlineStr">
        <is>
          <t>1</t>
        </is>
      </c>
      <c r="H1263" t="inlineStr">
        <is>
          <t>No</t>
        </is>
      </c>
      <c r="I1263" t="inlineStr">
        <is>
          <t>No</t>
        </is>
      </c>
      <c r="J1263" t="inlineStr">
        <is>
          <t>0</t>
        </is>
      </c>
      <c r="K1263" t="inlineStr">
        <is>
          <t>Fibkins, William L.</t>
        </is>
      </c>
      <c r="L1263" t="inlineStr">
        <is>
          <t>Lanham, Md. : Rowman &amp; Littlefield Education, 2006.</t>
        </is>
      </c>
      <c r="M1263" t="inlineStr">
        <is>
          <t>2006</t>
        </is>
      </c>
      <c r="O1263" t="inlineStr">
        <is>
          <t>eng</t>
        </is>
      </c>
      <c r="P1263" t="inlineStr">
        <is>
          <t>mdu</t>
        </is>
      </c>
      <c r="R1263" t="inlineStr">
        <is>
          <t xml:space="preserve">LB </t>
        </is>
      </c>
      <c r="S1263" t="n">
        <v>1</v>
      </c>
      <c r="T1263" t="n">
        <v>1</v>
      </c>
      <c r="U1263" t="inlineStr">
        <is>
          <t>2006-05-22</t>
        </is>
      </c>
      <c r="V1263" t="inlineStr">
        <is>
          <t>2006-05-22</t>
        </is>
      </c>
      <c r="W1263" t="inlineStr">
        <is>
          <t>2006-05-22</t>
        </is>
      </c>
      <c r="X1263" t="inlineStr">
        <is>
          <t>2006-05-22</t>
        </is>
      </c>
      <c r="Y1263" t="n">
        <v>244</v>
      </c>
      <c r="Z1263" t="n">
        <v>216</v>
      </c>
      <c r="AA1263" t="n">
        <v>218</v>
      </c>
      <c r="AB1263" t="n">
        <v>3</v>
      </c>
      <c r="AC1263" t="n">
        <v>3</v>
      </c>
      <c r="AD1263" t="n">
        <v>9</v>
      </c>
      <c r="AE1263" t="n">
        <v>9</v>
      </c>
      <c r="AF1263" t="n">
        <v>2</v>
      </c>
      <c r="AG1263" t="n">
        <v>2</v>
      </c>
      <c r="AH1263" t="n">
        <v>1</v>
      </c>
      <c r="AI1263" t="n">
        <v>1</v>
      </c>
      <c r="AJ1263" t="n">
        <v>7</v>
      </c>
      <c r="AK1263" t="n">
        <v>7</v>
      </c>
      <c r="AL1263" t="n">
        <v>2</v>
      </c>
      <c r="AM1263" t="n">
        <v>2</v>
      </c>
      <c r="AN1263" t="n">
        <v>0</v>
      </c>
      <c r="AO1263" t="n">
        <v>0</v>
      </c>
      <c r="AP1263" t="inlineStr">
        <is>
          <t>No</t>
        </is>
      </c>
      <c r="AQ1263" t="inlineStr">
        <is>
          <t>Yes</t>
        </is>
      </c>
      <c r="AR1263">
        <f>HYPERLINK("http://catalog.hathitrust.org/Record/005126001","HathiTrust Record")</f>
        <v/>
      </c>
      <c r="AS1263">
        <f>HYPERLINK("https://creighton-primo.hosted.exlibrisgroup.com/primo-explore/search?tab=default_tab&amp;search_scope=EVERYTHING&amp;vid=01CRU&amp;lang=en_US&amp;offset=0&amp;query=any,contains,991004812779702656","Catalog Record")</f>
        <v/>
      </c>
      <c r="AT1263">
        <f>HYPERLINK("http://www.worldcat.org/oclc/60589051","WorldCat Record")</f>
        <v/>
      </c>
      <c r="AU1263" t="inlineStr">
        <is>
          <t>314594858:eng</t>
        </is>
      </c>
      <c r="AV1263" t="inlineStr">
        <is>
          <t>60589051</t>
        </is>
      </c>
      <c r="AW1263" t="inlineStr">
        <is>
          <t>991004812779702656</t>
        </is>
      </c>
      <c r="AX1263" t="inlineStr">
        <is>
          <t>991004812779702656</t>
        </is>
      </c>
      <c r="AY1263" t="inlineStr">
        <is>
          <t>2262518130002656</t>
        </is>
      </c>
      <c r="AZ1263" t="inlineStr">
        <is>
          <t>BOOK</t>
        </is>
      </c>
      <c r="BB1263" t="inlineStr">
        <is>
          <t>9781578863136</t>
        </is>
      </c>
      <c r="BC1263" t="inlineStr">
        <is>
          <t>32285005188379</t>
        </is>
      </c>
      <c r="BD1263" t="inlineStr">
        <is>
          <t>893700705</t>
        </is>
      </c>
    </row>
    <row r="1264">
      <c r="A1264" t="inlineStr">
        <is>
          <t>No</t>
        </is>
      </c>
      <c r="B1264" t="inlineStr">
        <is>
          <t>LB2844.1.N4 B76 1997</t>
        </is>
      </c>
      <c r="C1264" t="inlineStr">
        <is>
          <t>0                      LB 2844100N  4                  B  76          1997</t>
        </is>
      </c>
      <c r="D1264" t="inlineStr">
        <is>
          <t>From first-year to first-rate : principals guiding beginning teachers / Barbara L. Brock, Marilyn L. Grady.</t>
        </is>
      </c>
      <c r="F1264" t="inlineStr">
        <is>
          <t>No</t>
        </is>
      </c>
      <c r="G1264" t="inlineStr">
        <is>
          <t>1</t>
        </is>
      </c>
      <c r="H1264" t="inlineStr">
        <is>
          <t>No</t>
        </is>
      </c>
      <c r="I1264" t="inlineStr">
        <is>
          <t>Yes</t>
        </is>
      </c>
      <c r="J1264" t="inlineStr">
        <is>
          <t>0</t>
        </is>
      </c>
      <c r="K1264" t="inlineStr">
        <is>
          <t>Brock, Barbara L.</t>
        </is>
      </c>
      <c r="L1264" t="inlineStr">
        <is>
          <t>Thousand Oaks, Calif. : Corwin Press, c1997.</t>
        </is>
      </c>
      <c r="M1264" t="inlineStr">
        <is>
          <t>1997</t>
        </is>
      </c>
      <c r="O1264" t="inlineStr">
        <is>
          <t>eng</t>
        </is>
      </c>
      <c r="P1264" t="inlineStr">
        <is>
          <t>cau</t>
        </is>
      </c>
      <c r="R1264" t="inlineStr">
        <is>
          <t xml:space="preserve">LB </t>
        </is>
      </c>
      <c r="S1264" t="n">
        <v>10</v>
      </c>
      <c r="T1264" t="n">
        <v>10</v>
      </c>
      <c r="U1264" t="inlineStr">
        <is>
          <t>2003-04-27</t>
        </is>
      </c>
      <c r="V1264" t="inlineStr">
        <is>
          <t>2003-04-27</t>
        </is>
      </c>
      <c r="W1264" t="inlineStr">
        <is>
          <t>1997-05-21</t>
        </is>
      </c>
      <c r="X1264" t="inlineStr">
        <is>
          <t>1997-05-21</t>
        </is>
      </c>
      <c r="Y1264" t="n">
        <v>256</v>
      </c>
      <c r="Z1264" t="n">
        <v>220</v>
      </c>
      <c r="AA1264" t="n">
        <v>418</v>
      </c>
      <c r="AB1264" t="n">
        <v>2</v>
      </c>
      <c r="AC1264" t="n">
        <v>6</v>
      </c>
      <c r="AD1264" t="n">
        <v>8</v>
      </c>
      <c r="AE1264" t="n">
        <v>23</v>
      </c>
      <c r="AF1264" t="n">
        <v>3</v>
      </c>
      <c r="AG1264" t="n">
        <v>8</v>
      </c>
      <c r="AH1264" t="n">
        <v>2</v>
      </c>
      <c r="AI1264" t="n">
        <v>4</v>
      </c>
      <c r="AJ1264" t="n">
        <v>6</v>
      </c>
      <c r="AK1264" t="n">
        <v>12</v>
      </c>
      <c r="AL1264" t="n">
        <v>1</v>
      </c>
      <c r="AM1264" t="n">
        <v>5</v>
      </c>
      <c r="AN1264" t="n">
        <v>0</v>
      </c>
      <c r="AO1264" t="n">
        <v>0</v>
      </c>
      <c r="AP1264" t="inlineStr">
        <is>
          <t>No</t>
        </is>
      </c>
      <c r="AQ1264" t="inlineStr">
        <is>
          <t>Yes</t>
        </is>
      </c>
      <c r="AR1264">
        <f>HYPERLINK("http://catalog.hathitrust.org/Record/003172453","HathiTrust Record")</f>
        <v/>
      </c>
      <c r="AS1264">
        <f>HYPERLINK("https://creighton-primo.hosted.exlibrisgroup.com/primo-explore/search?tab=default_tab&amp;search_scope=EVERYTHING&amp;vid=01CRU&amp;lang=en_US&amp;offset=0&amp;query=any,contains,991002740159702656","Catalog Record")</f>
        <v/>
      </c>
      <c r="AT1264">
        <f>HYPERLINK("http://www.worldcat.org/oclc/35986438","WorldCat Record")</f>
        <v/>
      </c>
      <c r="AU1264" t="inlineStr">
        <is>
          <t>612667:eng</t>
        </is>
      </c>
      <c r="AV1264" t="inlineStr">
        <is>
          <t>35986438</t>
        </is>
      </c>
      <c r="AW1264" t="inlineStr">
        <is>
          <t>991002740159702656</t>
        </is>
      </c>
      <c r="AX1264" t="inlineStr">
        <is>
          <t>991002740159702656</t>
        </is>
      </c>
      <c r="AY1264" t="inlineStr">
        <is>
          <t>2269019450002656</t>
        </is>
      </c>
      <c r="AZ1264" t="inlineStr">
        <is>
          <t>BOOK</t>
        </is>
      </c>
      <c r="BB1264" t="inlineStr">
        <is>
          <t>9780803964181</t>
        </is>
      </c>
      <c r="BC1264" t="inlineStr">
        <is>
          <t>32285002610383</t>
        </is>
      </c>
      <c r="BD1264" t="inlineStr">
        <is>
          <t>893792849</t>
        </is>
      </c>
    </row>
    <row r="1265">
      <c r="A1265" t="inlineStr">
        <is>
          <t>No</t>
        </is>
      </c>
      <c r="B1265" t="inlineStr">
        <is>
          <t>LB2844.1.N4 B85 1989</t>
        </is>
      </c>
      <c r="C1265" t="inlineStr">
        <is>
          <t>0                      LB 2844100N  4                  B  85          1989</t>
        </is>
      </c>
      <c r="D1265" t="inlineStr">
        <is>
          <t>First-year teacher : a case study / Robert V. Bullough, Jr.</t>
        </is>
      </c>
      <c r="F1265" t="inlineStr">
        <is>
          <t>No</t>
        </is>
      </c>
      <c r="G1265" t="inlineStr">
        <is>
          <t>1</t>
        </is>
      </c>
      <c r="H1265" t="inlineStr">
        <is>
          <t>No</t>
        </is>
      </c>
      <c r="I1265" t="inlineStr">
        <is>
          <t>No</t>
        </is>
      </c>
      <c r="J1265" t="inlineStr">
        <is>
          <t>0</t>
        </is>
      </c>
      <c r="K1265" t="inlineStr">
        <is>
          <t>Bullough, Robert V., 1949-</t>
        </is>
      </c>
      <c r="L1265" t="inlineStr">
        <is>
          <t>New York : Teachers College Press, c1989.</t>
        </is>
      </c>
      <c r="M1265" t="inlineStr">
        <is>
          <t>1989</t>
        </is>
      </c>
      <c r="O1265" t="inlineStr">
        <is>
          <t>eng</t>
        </is>
      </c>
      <c r="P1265" t="inlineStr">
        <is>
          <t>nyu</t>
        </is>
      </c>
      <c r="R1265" t="inlineStr">
        <is>
          <t xml:space="preserve">LB </t>
        </is>
      </c>
      <c r="S1265" t="n">
        <v>7</v>
      </c>
      <c r="T1265" t="n">
        <v>7</v>
      </c>
      <c r="U1265" t="inlineStr">
        <is>
          <t>2003-10-14</t>
        </is>
      </c>
      <c r="V1265" t="inlineStr">
        <is>
          <t>2003-10-14</t>
        </is>
      </c>
      <c r="W1265" t="inlineStr">
        <is>
          <t>1992-08-18</t>
        </is>
      </c>
      <c r="X1265" t="inlineStr">
        <is>
          <t>1992-08-18</t>
        </is>
      </c>
      <c r="Y1265" t="n">
        <v>676</v>
      </c>
      <c r="Z1265" t="n">
        <v>608</v>
      </c>
      <c r="AA1265" t="n">
        <v>628</v>
      </c>
      <c r="AB1265" t="n">
        <v>7</v>
      </c>
      <c r="AC1265" t="n">
        <v>7</v>
      </c>
      <c r="AD1265" t="n">
        <v>29</v>
      </c>
      <c r="AE1265" t="n">
        <v>29</v>
      </c>
      <c r="AF1265" t="n">
        <v>12</v>
      </c>
      <c r="AG1265" t="n">
        <v>12</v>
      </c>
      <c r="AH1265" t="n">
        <v>4</v>
      </c>
      <c r="AI1265" t="n">
        <v>4</v>
      </c>
      <c r="AJ1265" t="n">
        <v>14</v>
      </c>
      <c r="AK1265" t="n">
        <v>14</v>
      </c>
      <c r="AL1265" t="n">
        <v>6</v>
      </c>
      <c r="AM1265" t="n">
        <v>6</v>
      </c>
      <c r="AN1265" t="n">
        <v>0</v>
      </c>
      <c r="AO1265" t="n">
        <v>0</v>
      </c>
      <c r="AP1265" t="inlineStr">
        <is>
          <t>No</t>
        </is>
      </c>
      <c r="AQ1265" t="inlineStr">
        <is>
          <t>No</t>
        </is>
      </c>
      <c r="AS1265">
        <f>HYPERLINK("https://creighton-primo.hosted.exlibrisgroup.com/primo-explore/search?tab=default_tab&amp;search_scope=EVERYTHING&amp;vid=01CRU&amp;lang=en_US&amp;offset=0&amp;query=any,contains,991001357499702656","Catalog Record")</f>
        <v/>
      </c>
      <c r="AT1265">
        <f>HYPERLINK("http://www.worldcat.org/oclc/18496947","WorldCat Record")</f>
        <v/>
      </c>
      <c r="AU1265" t="inlineStr">
        <is>
          <t>799942167:eng</t>
        </is>
      </c>
      <c r="AV1265" t="inlineStr">
        <is>
          <t>18496947</t>
        </is>
      </c>
      <c r="AW1265" t="inlineStr">
        <is>
          <t>991001357499702656</t>
        </is>
      </c>
      <c r="AX1265" t="inlineStr">
        <is>
          <t>991001357499702656</t>
        </is>
      </c>
      <c r="AY1265" t="inlineStr">
        <is>
          <t>2270949950002656</t>
        </is>
      </c>
      <c r="AZ1265" t="inlineStr">
        <is>
          <t>BOOK</t>
        </is>
      </c>
      <c r="BB1265" t="inlineStr">
        <is>
          <t>9780807729342</t>
        </is>
      </c>
      <c r="BC1265" t="inlineStr">
        <is>
          <t>32285001261832</t>
        </is>
      </c>
      <c r="BD1265" t="inlineStr">
        <is>
          <t>893696677</t>
        </is>
      </c>
    </row>
    <row r="1266">
      <c r="A1266" t="inlineStr">
        <is>
          <t>No</t>
        </is>
      </c>
      <c r="B1266" t="inlineStr">
        <is>
          <t>LB2844.1.N4 B87 2006</t>
        </is>
      </c>
      <c r="C1266" t="inlineStr">
        <is>
          <t>0                      LB 2844100N  4                  B  87          2006</t>
        </is>
      </c>
      <c r="D1266" t="inlineStr">
        <is>
          <t>Letters to a new teacher : a month-by-month guide to the year ahead / Jim Burke with Joy Krajicek.</t>
        </is>
      </c>
      <c r="F1266" t="inlineStr">
        <is>
          <t>No</t>
        </is>
      </c>
      <c r="G1266" t="inlineStr">
        <is>
          <t>1</t>
        </is>
      </c>
      <c r="H1266" t="inlineStr">
        <is>
          <t>No</t>
        </is>
      </c>
      <c r="I1266" t="inlineStr">
        <is>
          <t>No</t>
        </is>
      </c>
      <c r="J1266" t="inlineStr">
        <is>
          <t>0</t>
        </is>
      </c>
      <c r="K1266" t="inlineStr">
        <is>
          <t>Burke, Jim, 1961-</t>
        </is>
      </c>
      <c r="L1266" t="inlineStr">
        <is>
          <t>Portsmouth, NH : Heinemann, c2006.</t>
        </is>
      </c>
      <c r="M1266" t="inlineStr">
        <is>
          <t>2006</t>
        </is>
      </c>
      <c r="O1266" t="inlineStr">
        <is>
          <t>eng</t>
        </is>
      </c>
      <c r="P1266" t="inlineStr">
        <is>
          <t>nhu</t>
        </is>
      </c>
      <c r="R1266" t="inlineStr">
        <is>
          <t xml:space="preserve">LB </t>
        </is>
      </c>
      <c r="S1266" t="n">
        <v>1</v>
      </c>
      <c r="T1266" t="n">
        <v>1</v>
      </c>
      <c r="U1266" t="inlineStr">
        <is>
          <t>2008-02-20</t>
        </is>
      </c>
      <c r="V1266" t="inlineStr">
        <is>
          <t>2008-02-20</t>
        </is>
      </c>
      <c r="W1266" t="inlineStr">
        <is>
          <t>2006-03-23</t>
        </is>
      </c>
      <c r="X1266" t="inlineStr">
        <is>
          <t>2006-03-23</t>
        </is>
      </c>
      <c r="Y1266" t="n">
        <v>178</v>
      </c>
      <c r="Z1266" t="n">
        <v>160</v>
      </c>
      <c r="AA1266" t="n">
        <v>161</v>
      </c>
      <c r="AB1266" t="n">
        <v>1</v>
      </c>
      <c r="AC1266" t="n">
        <v>1</v>
      </c>
      <c r="AD1266" t="n">
        <v>9</v>
      </c>
      <c r="AE1266" t="n">
        <v>9</v>
      </c>
      <c r="AF1266" t="n">
        <v>4</v>
      </c>
      <c r="AG1266" t="n">
        <v>4</v>
      </c>
      <c r="AH1266" t="n">
        <v>2</v>
      </c>
      <c r="AI1266" t="n">
        <v>2</v>
      </c>
      <c r="AJ1266" t="n">
        <v>6</v>
      </c>
      <c r="AK1266" t="n">
        <v>6</v>
      </c>
      <c r="AL1266" t="n">
        <v>0</v>
      </c>
      <c r="AM1266" t="n">
        <v>0</v>
      </c>
      <c r="AN1266" t="n">
        <v>0</v>
      </c>
      <c r="AO1266" t="n">
        <v>0</v>
      </c>
      <c r="AP1266" t="inlineStr">
        <is>
          <t>No</t>
        </is>
      </c>
      <c r="AQ1266" t="inlineStr">
        <is>
          <t>Yes</t>
        </is>
      </c>
      <c r="AR1266">
        <f>HYPERLINK("http://catalog.hathitrust.org/Record/005138141","HathiTrust Record")</f>
        <v/>
      </c>
      <c r="AS1266">
        <f>HYPERLINK("https://creighton-primo.hosted.exlibrisgroup.com/primo-explore/search?tab=default_tab&amp;search_scope=EVERYTHING&amp;vid=01CRU&amp;lang=en_US&amp;offset=0&amp;query=any,contains,991004770539702656","Catalog Record")</f>
        <v/>
      </c>
      <c r="AT1266">
        <f>HYPERLINK("http://www.worldcat.org/oclc/61748245","WorldCat Record")</f>
        <v/>
      </c>
      <c r="AU1266" t="inlineStr">
        <is>
          <t>46280866:eng</t>
        </is>
      </c>
      <c r="AV1266" t="inlineStr">
        <is>
          <t>61748245</t>
        </is>
      </c>
      <c r="AW1266" t="inlineStr">
        <is>
          <t>991004770539702656</t>
        </is>
      </c>
      <c r="AX1266" t="inlineStr">
        <is>
          <t>991004770539702656</t>
        </is>
      </c>
      <c r="AY1266" t="inlineStr">
        <is>
          <t>2268927980002656</t>
        </is>
      </c>
      <c r="AZ1266" t="inlineStr">
        <is>
          <t>BOOK</t>
        </is>
      </c>
      <c r="BB1266" t="inlineStr">
        <is>
          <t>9780325009230</t>
        </is>
      </c>
      <c r="BC1266" t="inlineStr">
        <is>
          <t>32285005166995</t>
        </is>
      </c>
      <c r="BD1266" t="inlineStr">
        <is>
          <t>893418000</t>
        </is>
      </c>
    </row>
    <row r="1267">
      <c r="A1267" t="inlineStr">
        <is>
          <t>No</t>
        </is>
      </c>
      <c r="B1267" t="inlineStr">
        <is>
          <t>LB2844.1.N4 C54 2002</t>
        </is>
      </c>
      <c r="C1267" t="inlineStr">
        <is>
          <t>0                      LB 2844100N  4                  C  54          2002</t>
        </is>
      </c>
      <c r="D1267" t="inlineStr">
        <is>
          <t>Bright ideas : a pocket mentor for beginning teachers / Mary C. Clement.</t>
        </is>
      </c>
      <c r="F1267" t="inlineStr">
        <is>
          <t>No</t>
        </is>
      </c>
      <c r="G1267" t="inlineStr">
        <is>
          <t>1</t>
        </is>
      </c>
      <c r="H1267" t="inlineStr">
        <is>
          <t>No</t>
        </is>
      </c>
      <c r="I1267" t="inlineStr">
        <is>
          <t>No</t>
        </is>
      </c>
      <c r="J1267" t="inlineStr">
        <is>
          <t>0</t>
        </is>
      </c>
      <c r="K1267" t="inlineStr">
        <is>
          <t>Clement, Mary C.</t>
        </is>
      </c>
      <c r="L1267" t="inlineStr">
        <is>
          <t>[Washington] : National Education Association, c2002.</t>
        </is>
      </c>
      <c r="M1267" t="inlineStr">
        <is>
          <t>2002</t>
        </is>
      </c>
      <c r="N1267" t="inlineStr">
        <is>
          <t>New Revised ed.</t>
        </is>
      </c>
      <c r="O1267" t="inlineStr">
        <is>
          <t>eng</t>
        </is>
      </c>
      <c r="P1267" t="inlineStr">
        <is>
          <t>dcu</t>
        </is>
      </c>
      <c r="Q1267" t="inlineStr">
        <is>
          <t>NEA checklist series</t>
        </is>
      </c>
      <c r="R1267" t="inlineStr">
        <is>
          <t xml:space="preserve">LB </t>
        </is>
      </c>
      <c r="S1267" t="n">
        <v>2</v>
      </c>
      <c r="T1267" t="n">
        <v>2</v>
      </c>
      <c r="U1267" t="inlineStr">
        <is>
          <t>2003-02-19</t>
        </is>
      </c>
      <c r="V1267" t="inlineStr">
        <is>
          <t>2003-02-19</t>
        </is>
      </c>
      <c r="W1267" t="inlineStr">
        <is>
          <t>2002-10-07</t>
        </is>
      </c>
      <c r="X1267" t="inlineStr">
        <is>
          <t>2002-10-07</t>
        </is>
      </c>
      <c r="Y1267" t="n">
        <v>153</v>
      </c>
      <c r="Z1267" t="n">
        <v>149</v>
      </c>
      <c r="AA1267" t="n">
        <v>221</v>
      </c>
      <c r="AB1267" t="n">
        <v>3</v>
      </c>
      <c r="AC1267" t="n">
        <v>4</v>
      </c>
      <c r="AD1267" t="n">
        <v>6</v>
      </c>
      <c r="AE1267" t="n">
        <v>9</v>
      </c>
      <c r="AF1267" t="n">
        <v>4</v>
      </c>
      <c r="AG1267" t="n">
        <v>4</v>
      </c>
      <c r="AH1267" t="n">
        <v>0</v>
      </c>
      <c r="AI1267" t="n">
        <v>1</v>
      </c>
      <c r="AJ1267" t="n">
        <v>2</v>
      </c>
      <c r="AK1267" t="n">
        <v>4</v>
      </c>
      <c r="AL1267" t="n">
        <v>2</v>
      </c>
      <c r="AM1267" t="n">
        <v>3</v>
      </c>
      <c r="AN1267" t="n">
        <v>0</v>
      </c>
      <c r="AO1267" t="n">
        <v>0</v>
      </c>
      <c r="AP1267" t="inlineStr">
        <is>
          <t>No</t>
        </is>
      </c>
      <c r="AQ1267" t="inlineStr">
        <is>
          <t>No</t>
        </is>
      </c>
      <c r="AS1267">
        <f>HYPERLINK("https://creighton-primo.hosted.exlibrisgroup.com/primo-explore/search?tab=default_tab&amp;search_scope=EVERYTHING&amp;vid=01CRU&amp;lang=en_US&amp;offset=0&amp;query=any,contains,991003899359702656","Catalog Record")</f>
        <v/>
      </c>
      <c r="AT1267">
        <f>HYPERLINK("http://www.worldcat.org/oclc/50615737","WorldCat Record")</f>
        <v/>
      </c>
      <c r="AU1267" t="inlineStr">
        <is>
          <t>1075957:eng</t>
        </is>
      </c>
      <c r="AV1267" t="inlineStr">
        <is>
          <t>50615737</t>
        </is>
      </c>
      <c r="AW1267" t="inlineStr">
        <is>
          <t>991003899359702656</t>
        </is>
      </c>
      <c r="AX1267" t="inlineStr">
        <is>
          <t>991003899359702656</t>
        </is>
      </c>
      <c r="AY1267" t="inlineStr">
        <is>
          <t>2268530410002656</t>
        </is>
      </c>
      <c r="AZ1267" t="inlineStr">
        <is>
          <t>BOOK</t>
        </is>
      </c>
      <c r="BB1267" t="inlineStr">
        <is>
          <t>9780810621534</t>
        </is>
      </c>
      <c r="BC1267" t="inlineStr">
        <is>
          <t>32285004652714</t>
        </is>
      </c>
      <c r="BD1267" t="inlineStr">
        <is>
          <t>893259068</t>
        </is>
      </c>
    </row>
    <row r="1268">
      <c r="A1268" t="inlineStr">
        <is>
          <t>No</t>
        </is>
      </c>
      <c r="B1268" t="inlineStr">
        <is>
          <t>LB2844.1.N4 C56 2003</t>
        </is>
      </c>
      <c r="C1268" t="inlineStr">
        <is>
          <t>0                      LB 2844100N  4                  C  56          2003</t>
        </is>
      </c>
      <c r="D1268" t="inlineStr">
        <is>
          <t>But high school teaching is different! : success strategies for new secondary teachers / Mary C. Clement.</t>
        </is>
      </c>
      <c r="F1268" t="inlineStr">
        <is>
          <t>No</t>
        </is>
      </c>
      <c r="G1268" t="inlineStr">
        <is>
          <t>1</t>
        </is>
      </c>
      <c r="H1268" t="inlineStr">
        <is>
          <t>No</t>
        </is>
      </c>
      <c r="I1268" t="inlineStr">
        <is>
          <t>No</t>
        </is>
      </c>
      <c r="J1268" t="inlineStr">
        <is>
          <t>0</t>
        </is>
      </c>
      <c r="K1268" t="inlineStr">
        <is>
          <t>Clement, Mary C.</t>
        </is>
      </c>
      <c r="L1268" t="inlineStr">
        <is>
          <t>Washington, D.C. : National Education Association, 2003.</t>
        </is>
      </c>
      <c r="M1268" t="inlineStr">
        <is>
          <t>2003</t>
        </is>
      </c>
      <c r="O1268" t="inlineStr">
        <is>
          <t>eng</t>
        </is>
      </c>
      <c r="P1268" t="inlineStr">
        <is>
          <t>dcu</t>
        </is>
      </c>
      <c r="Q1268" t="inlineStr">
        <is>
          <t>NEA checklist series</t>
        </is>
      </c>
      <c r="R1268" t="inlineStr">
        <is>
          <t xml:space="preserve">LB </t>
        </is>
      </c>
      <c r="S1268" t="n">
        <v>2</v>
      </c>
      <c r="T1268" t="n">
        <v>2</v>
      </c>
      <c r="U1268" t="inlineStr">
        <is>
          <t>2003-09-09</t>
        </is>
      </c>
      <c r="V1268" t="inlineStr">
        <is>
          <t>2003-09-09</t>
        </is>
      </c>
      <c r="W1268" t="inlineStr">
        <is>
          <t>2003-09-09</t>
        </is>
      </c>
      <c r="X1268" t="inlineStr">
        <is>
          <t>2003-09-09</t>
        </is>
      </c>
      <c r="Y1268" t="n">
        <v>188</v>
      </c>
      <c r="Z1268" t="n">
        <v>184</v>
      </c>
      <c r="AA1268" t="n">
        <v>186</v>
      </c>
      <c r="AB1268" t="n">
        <v>2</v>
      </c>
      <c r="AC1268" t="n">
        <v>2</v>
      </c>
      <c r="AD1268" t="n">
        <v>5</v>
      </c>
      <c r="AE1268" t="n">
        <v>6</v>
      </c>
      <c r="AF1268" t="n">
        <v>2</v>
      </c>
      <c r="AG1268" t="n">
        <v>3</v>
      </c>
      <c r="AH1268" t="n">
        <v>0</v>
      </c>
      <c r="AI1268" t="n">
        <v>0</v>
      </c>
      <c r="AJ1268" t="n">
        <v>3</v>
      </c>
      <c r="AK1268" t="n">
        <v>4</v>
      </c>
      <c r="AL1268" t="n">
        <v>1</v>
      </c>
      <c r="AM1268" t="n">
        <v>1</v>
      </c>
      <c r="AN1268" t="n">
        <v>0</v>
      </c>
      <c r="AO1268" t="n">
        <v>0</v>
      </c>
      <c r="AP1268" t="inlineStr">
        <is>
          <t>No</t>
        </is>
      </c>
      <c r="AQ1268" t="inlineStr">
        <is>
          <t>No</t>
        </is>
      </c>
      <c r="AS1268">
        <f>HYPERLINK("https://creighton-primo.hosted.exlibrisgroup.com/primo-explore/search?tab=default_tab&amp;search_scope=EVERYTHING&amp;vid=01CRU&amp;lang=en_US&amp;offset=0&amp;query=any,contains,991004116849702656","Catalog Record")</f>
        <v/>
      </c>
      <c r="AT1268">
        <f>HYPERLINK("http://www.worldcat.org/oclc/52030984","WorldCat Record")</f>
        <v/>
      </c>
      <c r="AU1268" t="inlineStr">
        <is>
          <t>704493:eng</t>
        </is>
      </c>
      <c r="AV1268" t="inlineStr">
        <is>
          <t>52030984</t>
        </is>
      </c>
      <c r="AW1268" t="inlineStr">
        <is>
          <t>991004116849702656</t>
        </is>
      </c>
      <c r="AX1268" t="inlineStr">
        <is>
          <t>991004116849702656</t>
        </is>
      </c>
      <c r="AY1268" t="inlineStr">
        <is>
          <t>2256139350002656</t>
        </is>
      </c>
      <c r="AZ1268" t="inlineStr">
        <is>
          <t>BOOK</t>
        </is>
      </c>
      <c r="BB1268" t="inlineStr">
        <is>
          <t>9780810621671</t>
        </is>
      </c>
      <c r="BC1268" t="inlineStr">
        <is>
          <t>32285004782180</t>
        </is>
      </c>
      <c r="BD1268" t="inlineStr">
        <is>
          <t>893519258</t>
        </is>
      </c>
    </row>
    <row r="1269">
      <c r="A1269" t="inlineStr">
        <is>
          <t>No</t>
        </is>
      </c>
      <c r="B1269" t="inlineStr">
        <is>
          <t>LB2844.1.N4 C63 1999</t>
        </is>
      </c>
      <c r="C1269" t="inlineStr">
        <is>
          <t>0                      LB 2844100N  4                  C  63          1999</t>
        </is>
      </c>
      <c r="D1269" t="inlineStr">
        <is>
          <t>Educating Esmé : diary of a teacher's first year / Esmé Raji Codell.</t>
        </is>
      </c>
      <c r="F1269" t="inlineStr">
        <is>
          <t>No</t>
        </is>
      </c>
      <c r="G1269" t="inlineStr">
        <is>
          <t>1</t>
        </is>
      </c>
      <c r="H1269" t="inlineStr">
        <is>
          <t>No</t>
        </is>
      </c>
      <c r="I1269" t="inlineStr">
        <is>
          <t>No</t>
        </is>
      </c>
      <c r="J1269" t="inlineStr">
        <is>
          <t>0</t>
        </is>
      </c>
      <c r="K1269" t="inlineStr">
        <is>
          <t>Codell, Esmé Raji, 1968-</t>
        </is>
      </c>
      <c r="L1269" t="inlineStr">
        <is>
          <t>Chapel Hill, N.C. : Algonquin Books of Chapel Hill, 1999.</t>
        </is>
      </c>
      <c r="M1269" t="inlineStr">
        <is>
          <t>1999</t>
        </is>
      </c>
      <c r="N1269" t="inlineStr">
        <is>
          <t>1st ed.</t>
        </is>
      </c>
      <c r="O1269" t="inlineStr">
        <is>
          <t>eng</t>
        </is>
      </c>
      <c r="P1269" t="inlineStr">
        <is>
          <t>ncu</t>
        </is>
      </c>
      <c r="R1269" t="inlineStr">
        <is>
          <t xml:space="preserve">LB </t>
        </is>
      </c>
      <c r="S1269" t="n">
        <v>6</v>
      </c>
      <c r="T1269" t="n">
        <v>6</v>
      </c>
      <c r="U1269" t="inlineStr">
        <is>
          <t>2006-05-11</t>
        </is>
      </c>
      <c r="V1269" t="inlineStr">
        <is>
          <t>2006-05-11</t>
        </is>
      </c>
      <c r="W1269" t="inlineStr">
        <is>
          <t>2000-09-25</t>
        </is>
      </c>
      <c r="X1269" t="inlineStr">
        <is>
          <t>2000-09-25</t>
        </is>
      </c>
      <c r="Y1269" t="n">
        <v>1150</v>
      </c>
      <c r="Z1269" t="n">
        <v>1107</v>
      </c>
      <c r="AA1269" t="n">
        <v>1665</v>
      </c>
      <c r="AB1269" t="n">
        <v>11</v>
      </c>
      <c r="AC1269" t="n">
        <v>18</v>
      </c>
      <c r="AD1269" t="n">
        <v>27</v>
      </c>
      <c r="AE1269" t="n">
        <v>39</v>
      </c>
      <c r="AF1269" t="n">
        <v>11</v>
      </c>
      <c r="AG1269" t="n">
        <v>18</v>
      </c>
      <c r="AH1269" t="n">
        <v>5</v>
      </c>
      <c r="AI1269" t="n">
        <v>5</v>
      </c>
      <c r="AJ1269" t="n">
        <v>11</v>
      </c>
      <c r="AK1269" t="n">
        <v>13</v>
      </c>
      <c r="AL1269" t="n">
        <v>5</v>
      </c>
      <c r="AM1269" t="n">
        <v>10</v>
      </c>
      <c r="AN1269" t="n">
        <v>0</v>
      </c>
      <c r="AO1269" t="n">
        <v>0</v>
      </c>
      <c r="AP1269" t="inlineStr">
        <is>
          <t>No</t>
        </is>
      </c>
      <c r="AQ1269" t="inlineStr">
        <is>
          <t>Yes</t>
        </is>
      </c>
      <c r="AR1269">
        <f>HYPERLINK("http://catalog.hathitrust.org/Record/004356115","HathiTrust Record")</f>
        <v/>
      </c>
      <c r="AS1269">
        <f>HYPERLINK("https://creighton-primo.hosted.exlibrisgroup.com/primo-explore/search?tab=default_tab&amp;search_scope=EVERYTHING&amp;vid=01CRU&amp;lang=en_US&amp;offset=0&amp;query=any,contains,991003264059702656","Catalog Record")</f>
        <v/>
      </c>
      <c r="AT1269">
        <f>HYPERLINK("http://www.worldcat.org/oclc/40193499","WorldCat Record")</f>
        <v/>
      </c>
      <c r="AU1269" t="inlineStr">
        <is>
          <t>25235941:eng</t>
        </is>
      </c>
      <c r="AV1269" t="inlineStr">
        <is>
          <t>40193499</t>
        </is>
      </c>
      <c r="AW1269" t="inlineStr">
        <is>
          <t>991003264059702656</t>
        </is>
      </c>
      <c r="AX1269" t="inlineStr">
        <is>
          <t>991003264059702656</t>
        </is>
      </c>
      <c r="AY1269" t="inlineStr">
        <is>
          <t>2266846450002656</t>
        </is>
      </c>
      <c r="AZ1269" t="inlineStr">
        <is>
          <t>BOOK</t>
        </is>
      </c>
      <c r="BB1269" t="inlineStr">
        <is>
          <t>9781565122253</t>
        </is>
      </c>
      <c r="BC1269" t="inlineStr">
        <is>
          <t>32285003764312</t>
        </is>
      </c>
      <c r="BD1269" t="inlineStr">
        <is>
          <t>893246194</t>
        </is>
      </c>
    </row>
    <row r="1270">
      <c r="A1270" t="inlineStr">
        <is>
          <t>No</t>
        </is>
      </c>
      <c r="B1270" t="inlineStr">
        <is>
          <t>LB2844.1.N4 F59 2000</t>
        </is>
      </c>
      <c r="C1270" t="inlineStr">
        <is>
          <t>0                      LB 2844100N  4                  F  59          2000</t>
        </is>
      </c>
      <c r="D1270" t="inlineStr">
        <is>
          <t>The collaboration guide for early career educators / edited by Mary Susan E. Fishbaugh.</t>
        </is>
      </c>
      <c r="F1270" t="inlineStr">
        <is>
          <t>No</t>
        </is>
      </c>
      <c r="G1270" t="inlineStr">
        <is>
          <t>1</t>
        </is>
      </c>
      <c r="H1270" t="inlineStr">
        <is>
          <t>No</t>
        </is>
      </c>
      <c r="I1270" t="inlineStr">
        <is>
          <t>No</t>
        </is>
      </c>
      <c r="J1270" t="inlineStr">
        <is>
          <t>0</t>
        </is>
      </c>
      <c r="K1270" t="inlineStr">
        <is>
          <t>Fishbaugh, Mary Susan.</t>
        </is>
      </c>
      <c r="L1270" t="inlineStr">
        <is>
          <t>Baltimore, Md. : P.H. Brookes Pub., c2000.</t>
        </is>
      </c>
      <c r="M1270" t="inlineStr">
        <is>
          <t>2000</t>
        </is>
      </c>
      <c r="O1270" t="inlineStr">
        <is>
          <t>eng</t>
        </is>
      </c>
      <c r="P1270" t="inlineStr">
        <is>
          <t>mdu</t>
        </is>
      </c>
      <c r="R1270" t="inlineStr">
        <is>
          <t xml:space="preserve">LB </t>
        </is>
      </c>
      <c r="S1270" t="n">
        <v>2</v>
      </c>
      <c r="T1270" t="n">
        <v>2</v>
      </c>
      <c r="U1270" t="inlineStr">
        <is>
          <t>2000-12-20</t>
        </is>
      </c>
      <c r="V1270" t="inlineStr">
        <is>
          <t>2000-12-20</t>
        </is>
      </c>
      <c r="W1270" t="inlineStr">
        <is>
          <t>2000-12-20</t>
        </is>
      </c>
      <c r="X1270" t="inlineStr">
        <is>
          <t>2000-12-20</t>
        </is>
      </c>
      <c r="Y1270" t="n">
        <v>141</v>
      </c>
      <c r="Z1270" t="n">
        <v>129</v>
      </c>
      <c r="AA1270" t="n">
        <v>130</v>
      </c>
      <c r="AB1270" t="n">
        <v>2</v>
      </c>
      <c r="AC1270" t="n">
        <v>2</v>
      </c>
      <c r="AD1270" t="n">
        <v>7</v>
      </c>
      <c r="AE1270" t="n">
        <v>7</v>
      </c>
      <c r="AF1270" t="n">
        <v>2</v>
      </c>
      <c r="AG1270" t="n">
        <v>2</v>
      </c>
      <c r="AH1270" t="n">
        <v>2</v>
      </c>
      <c r="AI1270" t="n">
        <v>2</v>
      </c>
      <c r="AJ1270" t="n">
        <v>4</v>
      </c>
      <c r="AK1270" t="n">
        <v>4</v>
      </c>
      <c r="AL1270" t="n">
        <v>1</v>
      </c>
      <c r="AM1270" t="n">
        <v>1</v>
      </c>
      <c r="AN1270" t="n">
        <v>0</v>
      </c>
      <c r="AO1270" t="n">
        <v>0</v>
      </c>
      <c r="AP1270" t="inlineStr">
        <is>
          <t>No</t>
        </is>
      </c>
      <c r="AQ1270" t="inlineStr">
        <is>
          <t>Yes</t>
        </is>
      </c>
      <c r="AR1270">
        <f>HYPERLINK("http://catalog.hathitrust.org/Record/004211810","HathiTrust Record")</f>
        <v/>
      </c>
      <c r="AS1270">
        <f>HYPERLINK("https://creighton-primo.hosted.exlibrisgroup.com/primo-explore/search?tab=default_tab&amp;search_scope=EVERYTHING&amp;vid=01CRU&amp;lang=en_US&amp;offset=0&amp;query=any,contains,991003460359702656","Catalog Record")</f>
        <v/>
      </c>
      <c r="AT1270">
        <f>HYPERLINK("http://www.worldcat.org/oclc/44313470","WorldCat Record")</f>
        <v/>
      </c>
      <c r="AU1270" t="inlineStr">
        <is>
          <t>33015404:eng</t>
        </is>
      </c>
      <c r="AV1270" t="inlineStr">
        <is>
          <t>44313470</t>
        </is>
      </c>
      <c r="AW1270" t="inlineStr">
        <is>
          <t>991003460359702656</t>
        </is>
      </c>
      <c r="AX1270" t="inlineStr">
        <is>
          <t>991003460359702656</t>
        </is>
      </c>
      <c r="AY1270" t="inlineStr">
        <is>
          <t>2257053760002656</t>
        </is>
      </c>
      <c r="AZ1270" t="inlineStr">
        <is>
          <t>BOOK</t>
        </is>
      </c>
      <c r="BB1270" t="inlineStr">
        <is>
          <t>9781557663948</t>
        </is>
      </c>
      <c r="BC1270" t="inlineStr">
        <is>
          <t>32285004278130</t>
        </is>
      </c>
      <c r="BD1270" t="inlineStr">
        <is>
          <t>893705238</t>
        </is>
      </c>
    </row>
    <row r="1271">
      <c r="A1271" t="inlineStr">
        <is>
          <t>No</t>
        </is>
      </c>
      <c r="B1271" t="inlineStr">
        <is>
          <t>LB2844.1.N4 H7 2007</t>
        </is>
      </c>
      <c r="C1271" t="inlineStr">
        <is>
          <t>0                      LB 2844100N  4                  H  7           2007</t>
        </is>
      </c>
      <c r="D1271" t="inlineStr">
        <is>
          <t>First year teacher : wisdom, warnings, and what I wished I'd known my first 100 days on the job / edited by Randy Howe.</t>
        </is>
      </c>
      <c r="F1271" t="inlineStr">
        <is>
          <t>No</t>
        </is>
      </c>
      <c r="G1271" t="inlineStr">
        <is>
          <t>1</t>
        </is>
      </c>
      <c r="H1271" t="inlineStr">
        <is>
          <t>No</t>
        </is>
      </c>
      <c r="I1271" t="inlineStr">
        <is>
          <t>No</t>
        </is>
      </c>
      <c r="J1271" t="inlineStr">
        <is>
          <t>0</t>
        </is>
      </c>
      <c r="L1271" t="inlineStr">
        <is>
          <t>New York : Kaplan, c2007.</t>
        </is>
      </c>
      <c r="M1271" t="inlineStr">
        <is>
          <t>2007</t>
        </is>
      </c>
      <c r="N1271" t="inlineStr">
        <is>
          <t>2nd ed.</t>
        </is>
      </c>
      <c r="O1271" t="inlineStr">
        <is>
          <t>eng</t>
        </is>
      </c>
      <c r="P1271" t="inlineStr">
        <is>
          <t>nyu</t>
        </is>
      </c>
      <c r="R1271" t="inlineStr">
        <is>
          <t xml:space="preserve">LB </t>
        </is>
      </c>
      <c r="S1271" t="n">
        <v>1</v>
      </c>
      <c r="T1271" t="n">
        <v>1</v>
      </c>
      <c r="U1271" t="inlineStr">
        <is>
          <t>2008-09-10</t>
        </is>
      </c>
      <c r="V1271" t="inlineStr">
        <is>
          <t>2008-09-10</t>
        </is>
      </c>
      <c r="W1271" t="inlineStr">
        <is>
          <t>2008-09-10</t>
        </is>
      </c>
      <c r="X1271" t="inlineStr">
        <is>
          <t>2008-09-10</t>
        </is>
      </c>
      <c r="Y1271" t="n">
        <v>86</v>
      </c>
      <c r="Z1271" t="n">
        <v>77</v>
      </c>
      <c r="AA1271" t="n">
        <v>89</v>
      </c>
      <c r="AB1271" t="n">
        <v>1</v>
      </c>
      <c r="AC1271" t="n">
        <v>1</v>
      </c>
      <c r="AD1271" t="n">
        <v>0</v>
      </c>
      <c r="AE1271" t="n">
        <v>0</v>
      </c>
      <c r="AF1271" t="n">
        <v>0</v>
      </c>
      <c r="AG1271" t="n">
        <v>0</v>
      </c>
      <c r="AH1271" t="n">
        <v>0</v>
      </c>
      <c r="AI1271" t="n">
        <v>0</v>
      </c>
      <c r="AJ1271" t="n">
        <v>0</v>
      </c>
      <c r="AK1271" t="n">
        <v>0</v>
      </c>
      <c r="AL1271" t="n">
        <v>0</v>
      </c>
      <c r="AM1271" t="n">
        <v>0</v>
      </c>
      <c r="AN1271" t="n">
        <v>0</v>
      </c>
      <c r="AO1271" t="n">
        <v>0</v>
      </c>
      <c r="AP1271" t="inlineStr">
        <is>
          <t>No</t>
        </is>
      </c>
      <c r="AQ1271" t="inlineStr">
        <is>
          <t>No</t>
        </is>
      </c>
      <c r="AS1271">
        <f>HYPERLINK("https://creighton-primo.hosted.exlibrisgroup.com/primo-explore/search?tab=default_tab&amp;search_scope=EVERYTHING&amp;vid=01CRU&amp;lang=en_US&amp;offset=0&amp;query=any,contains,991005263619702656","Catalog Record")</f>
        <v/>
      </c>
      <c r="AT1271">
        <f>HYPERLINK("http://www.worldcat.org/oclc/84151168","WorldCat Record")</f>
        <v/>
      </c>
      <c r="AU1271" t="inlineStr">
        <is>
          <t>139468813:eng</t>
        </is>
      </c>
      <c r="AV1271" t="inlineStr">
        <is>
          <t>84151168</t>
        </is>
      </c>
      <c r="AW1271" t="inlineStr">
        <is>
          <t>991005263619702656</t>
        </is>
      </c>
      <c r="AX1271" t="inlineStr">
        <is>
          <t>991005263619702656</t>
        </is>
      </c>
      <c r="AY1271" t="inlineStr">
        <is>
          <t>2260174910002656</t>
        </is>
      </c>
      <c r="AZ1271" t="inlineStr">
        <is>
          <t>BOOK</t>
        </is>
      </c>
      <c r="BB1271" t="inlineStr">
        <is>
          <t>9781419551178</t>
        </is>
      </c>
      <c r="BC1271" t="inlineStr">
        <is>
          <t>32285005457758</t>
        </is>
      </c>
      <c r="BD1271" t="inlineStr">
        <is>
          <t>893695027</t>
        </is>
      </c>
    </row>
    <row r="1272">
      <c r="A1272" t="inlineStr">
        <is>
          <t>No</t>
        </is>
      </c>
      <c r="B1272" t="inlineStr">
        <is>
          <t>LB2844.1.S8 P77 2003</t>
        </is>
      </c>
      <c r="C1272" t="inlineStr">
        <is>
          <t>0                      LB 2844100S  8                  P  77          2003</t>
        </is>
      </c>
      <c r="D1272" t="inlineStr">
        <is>
          <t>Standing in your shoes : a checklist for classroom and substitute teachers / Doug Provencio.</t>
        </is>
      </c>
      <c r="F1272" t="inlineStr">
        <is>
          <t>No</t>
        </is>
      </c>
      <c r="G1272" t="inlineStr">
        <is>
          <t>1</t>
        </is>
      </c>
      <c r="H1272" t="inlineStr">
        <is>
          <t>No</t>
        </is>
      </c>
      <c r="I1272" t="inlineStr">
        <is>
          <t>No</t>
        </is>
      </c>
      <c r="J1272" t="inlineStr">
        <is>
          <t>0</t>
        </is>
      </c>
      <c r="K1272" t="inlineStr">
        <is>
          <t>Provencio, Doug.</t>
        </is>
      </c>
      <c r="L1272" t="inlineStr">
        <is>
          <t>Washington, D.C. : National Education Association, 2003.</t>
        </is>
      </c>
      <c r="M1272" t="inlineStr">
        <is>
          <t>2003</t>
        </is>
      </c>
      <c r="O1272" t="inlineStr">
        <is>
          <t>eng</t>
        </is>
      </c>
      <c r="P1272" t="inlineStr">
        <is>
          <t>dcu</t>
        </is>
      </c>
      <c r="Q1272" t="inlineStr">
        <is>
          <t>NEA checklist series</t>
        </is>
      </c>
      <c r="R1272" t="inlineStr">
        <is>
          <t xml:space="preserve">LB </t>
        </is>
      </c>
      <c r="S1272" t="n">
        <v>1</v>
      </c>
      <c r="T1272" t="n">
        <v>1</v>
      </c>
      <c r="U1272" t="inlineStr">
        <is>
          <t>2003-09-09</t>
        </is>
      </c>
      <c r="V1272" t="inlineStr">
        <is>
          <t>2003-09-09</t>
        </is>
      </c>
      <c r="W1272" t="inlineStr">
        <is>
          <t>2003-09-09</t>
        </is>
      </c>
      <c r="X1272" t="inlineStr">
        <is>
          <t>2003-09-09</t>
        </is>
      </c>
      <c r="Y1272" t="n">
        <v>182</v>
      </c>
      <c r="Z1272" t="n">
        <v>178</v>
      </c>
      <c r="AA1272" t="n">
        <v>180</v>
      </c>
      <c r="AB1272" t="n">
        <v>2</v>
      </c>
      <c r="AC1272" t="n">
        <v>2</v>
      </c>
      <c r="AD1272" t="n">
        <v>6</v>
      </c>
      <c r="AE1272" t="n">
        <v>7</v>
      </c>
      <c r="AF1272" t="n">
        <v>3</v>
      </c>
      <c r="AG1272" t="n">
        <v>4</v>
      </c>
      <c r="AH1272" t="n">
        <v>1</v>
      </c>
      <c r="AI1272" t="n">
        <v>1</v>
      </c>
      <c r="AJ1272" t="n">
        <v>3</v>
      </c>
      <c r="AK1272" t="n">
        <v>4</v>
      </c>
      <c r="AL1272" t="n">
        <v>1</v>
      </c>
      <c r="AM1272" t="n">
        <v>1</v>
      </c>
      <c r="AN1272" t="n">
        <v>0</v>
      </c>
      <c r="AO1272" t="n">
        <v>0</v>
      </c>
      <c r="AP1272" t="inlineStr">
        <is>
          <t>No</t>
        </is>
      </c>
      <c r="AQ1272" t="inlineStr">
        <is>
          <t>No</t>
        </is>
      </c>
      <c r="AS1272">
        <f>HYPERLINK("https://creighton-primo.hosted.exlibrisgroup.com/primo-explore/search?tab=default_tab&amp;search_scope=EVERYTHING&amp;vid=01CRU&amp;lang=en_US&amp;offset=0&amp;query=any,contains,991004116889702656","Catalog Record")</f>
        <v/>
      </c>
      <c r="AT1272">
        <f>HYPERLINK("http://www.worldcat.org/oclc/52001506","WorldCat Record")</f>
        <v/>
      </c>
      <c r="AU1272" t="inlineStr">
        <is>
          <t>704491:eng</t>
        </is>
      </c>
      <c r="AV1272" t="inlineStr">
        <is>
          <t>52001506</t>
        </is>
      </c>
      <c r="AW1272" t="inlineStr">
        <is>
          <t>991004116889702656</t>
        </is>
      </c>
      <c r="AX1272" t="inlineStr">
        <is>
          <t>991004116889702656</t>
        </is>
      </c>
      <c r="AY1272" t="inlineStr">
        <is>
          <t>2263363420002656</t>
        </is>
      </c>
      <c r="AZ1272" t="inlineStr">
        <is>
          <t>BOOK</t>
        </is>
      </c>
      <c r="BB1272" t="inlineStr">
        <is>
          <t>9780810621664</t>
        </is>
      </c>
      <c r="BC1272" t="inlineStr">
        <is>
          <t>32285004782172</t>
        </is>
      </c>
      <c r="BD1272" t="inlineStr">
        <is>
          <t>893888308</t>
        </is>
      </c>
    </row>
    <row r="1273">
      <c r="A1273" t="inlineStr">
        <is>
          <t>No</t>
        </is>
      </c>
      <c r="B1273" t="inlineStr">
        <is>
          <t>LB2844.1.S8 R83 2008</t>
        </is>
      </c>
      <c r="C1273" t="inlineStr">
        <is>
          <t>0                      LB 2844100S  8                  R  83          2008</t>
        </is>
      </c>
      <c r="D1273" t="inlineStr">
        <is>
          <t>How to succeed as a substitute teacher : everything you need from start to finish / Cicely Anne Rude.</t>
        </is>
      </c>
      <c r="F1273" t="inlineStr">
        <is>
          <t>No</t>
        </is>
      </c>
      <c r="G1273" t="inlineStr">
        <is>
          <t>1</t>
        </is>
      </c>
      <c r="H1273" t="inlineStr">
        <is>
          <t>No</t>
        </is>
      </c>
      <c r="I1273" t="inlineStr">
        <is>
          <t>No</t>
        </is>
      </c>
      <c r="J1273" t="inlineStr">
        <is>
          <t>0</t>
        </is>
      </c>
      <c r="K1273" t="inlineStr">
        <is>
          <t>Rude, Cicely Anne.</t>
        </is>
      </c>
      <c r="L1273" t="inlineStr">
        <is>
          <t>Thousand Oaks, CA : Corwin Press, c2008.</t>
        </is>
      </c>
      <c r="M1273" t="inlineStr">
        <is>
          <t>2008</t>
        </is>
      </c>
      <c r="O1273" t="inlineStr">
        <is>
          <t>eng</t>
        </is>
      </c>
      <c r="P1273" t="inlineStr">
        <is>
          <t>cau</t>
        </is>
      </c>
      <c r="R1273" t="inlineStr">
        <is>
          <t xml:space="preserve">LB </t>
        </is>
      </c>
      <c r="S1273" t="n">
        <v>1</v>
      </c>
      <c r="T1273" t="n">
        <v>1</v>
      </c>
      <c r="U1273" t="inlineStr">
        <is>
          <t>2008-01-14</t>
        </is>
      </c>
      <c r="V1273" t="inlineStr">
        <is>
          <t>2008-01-14</t>
        </is>
      </c>
      <c r="W1273" t="inlineStr">
        <is>
          <t>2008-01-14</t>
        </is>
      </c>
      <c r="X1273" t="inlineStr">
        <is>
          <t>2008-01-14</t>
        </is>
      </c>
      <c r="Y1273" t="n">
        <v>228</v>
      </c>
      <c r="Z1273" t="n">
        <v>187</v>
      </c>
      <c r="AA1273" t="n">
        <v>204</v>
      </c>
      <c r="AB1273" t="n">
        <v>3</v>
      </c>
      <c r="AC1273" t="n">
        <v>3</v>
      </c>
      <c r="AD1273" t="n">
        <v>10</v>
      </c>
      <c r="AE1273" t="n">
        <v>11</v>
      </c>
      <c r="AF1273" t="n">
        <v>2</v>
      </c>
      <c r="AG1273" t="n">
        <v>3</v>
      </c>
      <c r="AH1273" t="n">
        <v>1</v>
      </c>
      <c r="AI1273" t="n">
        <v>2</v>
      </c>
      <c r="AJ1273" t="n">
        <v>7</v>
      </c>
      <c r="AK1273" t="n">
        <v>7</v>
      </c>
      <c r="AL1273" t="n">
        <v>2</v>
      </c>
      <c r="AM1273" t="n">
        <v>2</v>
      </c>
      <c r="AN1273" t="n">
        <v>0</v>
      </c>
      <c r="AO1273" t="n">
        <v>0</v>
      </c>
      <c r="AP1273" t="inlineStr">
        <is>
          <t>No</t>
        </is>
      </c>
      <c r="AQ1273" t="inlineStr">
        <is>
          <t>No</t>
        </is>
      </c>
      <c r="AS1273">
        <f>HYPERLINK("https://creighton-primo.hosted.exlibrisgroup.com/primo-explore/search?tab=default_tab&amp;search_scope=EVERYTHING&amp;vid=01CRU&amp;lang=en_US&amp;offset=0&amp;query=any,contains,991005169409702656","Catalog Record")</f>
        <v/>
      </c>
      <c r="AT1273">
        <f>HYPERLINK("http://www.worldcat.org/oclc/129958937","WorldCat Record")</f>
        <v/>
      </c>
      <c r="AU1273" t="inlineStr">
        <is>
          <t>867437191:eng</t>
        </is>
      </c>
      <c r="AV1273" t="inlineStr">
        <is>
          <t>129958937</t>
        </is>
      </c>
      <c r="AW1273" t="inlineStr">
        <is>
          <t>991005169409702656</t>
        </is>
      </c>
      <c r="AX1273" t="inlineStr">
        <is>
          <t>991005169409702656</t>
        </is>
      </c>
      <c r="AY1273" t="inlineStr">
        <is>
          <t>2263993830002656</t>
        </is>
      </c>
      <c r="AZ1273" t="inlineStr">
        <is>
          <t>BOOK</t>
        </is>
      </c>
      <c r="BB1273" t="inlineStr">
        <is>
          <t>9781412944748</t>
        </is>
      </c>
      <c r="BC1273" t="inlineStr">
        <is>
          <t>32285005376958</t>
        </is>
      </c>
      <c r="BD1273" t="inlineStr">
        <is>
          <t>893613240</t>
        </is>
      </c>
    </row>
    <row r="1274">
      <c r="A1274" t="inlineStr">
        <is>
          <t>No</t>
        </is>
      </c>
      <c r="B1274" t="inlineStr">
        <is>
          <t>LB2844.1.V6 K557 1990</t>
        </is>
      </c>
      <c r="C1274" t="inlineStr">
        <is>
          <t>0                      LB 2844100V  6                  K  557         1990</t>
        </is>
      </c>
      <c r="D1274" t="inlineStr">
        <is>
          <t>Knowing you've made a difference : strengthening campus-based mentoring programs through evaluation and research / by MacGregor Kniseley.</t>
        </is>
      </c>
      <c r="F1274" t="inlineStr">
        <is>
          <t>No</t>
        </is>
      </c>
      <c r="G1274" t="inlineStr">
        <is>
          <t>1</t>
        </is>
      </c>
      <c r="H1274" t="inlineStr">
        <is>
          <t>No</t>
        </is>
      </c>
      <c r="I1274" t="inlineStr">
        <is>
          <t>No</t>
        </is>
      </c>
      <c r="J1274" t="inlineStr">
        <is>
          <t>0</t>
        </is>
      </c>
      <c r="K1274" t="inlineStr">
        <is>
          <t>Kniseley, MacGregor.</t>
        </is>
      </c>
      <c r="L1274" t="inlineStr">
        <is>
          <t>Denver, CO : Education Commission of the States ; Providence, RI : Campus Compact, Brown University, 1990.</t>
        </is>
      </c>
      <c r="M1274" t="inlineStr">
        <is>
          <t>1990</t>
        </is>
      </c>
      <c r="O1274" t="inlineStr">
        <is>
          <t>eng</t>
        </is>
      </c>
      <c r="P1274" t="inlineStr">
        <is>
          <t>cou</t>
        </is>
      </c>
      <c r="R1274" t="inlineStr">
        <is>
          <t xml:space="preserve">LB </t>
        </is>
      </c>
      <c r="S1274" t="n">
        <v>2</v>
      </c>
      <c r="T1274" t="n">
        <v>2</v>
      </c>
      <c r="U1274" t="inlineStr">
        <is>
          <t>2004-11-01</t>
        </is>
      </c>
      <c r="V1274" t="inlineStr">
        <is>
          <t>2004-11-01</t>
        </is>
      </c>
      <c r="W1274" t="inlineStr">
        <is>
          <t>2001-03-01</t>
        </is>
      </c>
      <c r="X1274" t="inlineStr">
        <is>
          <t>2001-03-01</t>
        </is>
      </c>
      <c r="Y1274" t="n">
        <v>13</v>
      </c>
      <c r="Z1274" t="n">
        <v>13</v>
      </c>
      <c r="AA1274" t="n">
        <v>23</v>
      </c>
      <c r="AB1274" t="n">
        <v>1</v>
      </c>
      <c r="AC1274" t="n">
        <v>1</v>
      </c>
      <c r="AD1274" t="n">
        <v>0</v>
      </c>
      <c r="AE1274" t="n">
        <v>0</v>
      </c>
      <c r="AF1274" t="n">
        <v>0</v>
      </c>
      <c r="AG1274" t="n">
        <v>0</v>
      </c>
      <c r="AH1274" t="n">
        <v>0</v>
      </c>
      <c r="AI1274" t="n">
        <v>0</v>
      </c>
      <c r="AJ1274" t="n">
        <v>0</v>
      </c>
      <c r="AK1274" t="n">
        <v>0</v>
      </c>
      <c r="AL1274" t="n">
        <v>0</v>
      </c>
      <c r="AM1274" t="n">
        <v>0</v>
      </c>
      <c r="AN1274" t="n">
        <v>0</v>
      </c>
      <c r="AO1274" t="n">
        <v>0</v>
      </c>
      <c r="AP1274" t="inlineStr">
        <is>
          <t>No</t>
        </is>
      </c>
      <c r="AQ1274" t="inlineStr">
        <is>
          <t>No</t>
        </is>
      </c>
      <c r="AS1274">
        <f>HYPERLINK("https://creighton-primo.hosted.exlibrisgroup.com/primo-explore/search?tab=default_tab&amp;search_scope=EVERYTHING&amp;vid=01CRU&amp;lang=en_US&amp;offset=0&amp;query=any,contains,991003352149702656","Catalog Record")</f>
        <v/>
      </c>
      <c r="AT1274">
        <f>HYPERLINK("http://www.worldcat.org/oclc/31450761","WorldCat Record")</f>
        <v/>
      </c>
      <c r="AU1274" t="inlineStr">
        <is>
          <t>32682323:eng</t>
        </is>
      </c>
      <c r="AV1274" t="inlineStr">
        <is>
          <t>31450761</t>
        </is>
      </c>
      <c r="AW1274" t="inlineStr">
        <is>
          <t>991003352149702656</t>
        </is>
      </c>
      <c r="AX1274" t="inlineStr">
        <is>
          <t>991003352149702656</t>
        </is>
      </c>
      <c r="AY1274" t="inlineStr">
        <is>
          <t>2265385980002656</t>
        </is>
      </c>
      <c r="AZ1274" t="inlineStr">
        <is>
          <t>BOOK</t>
        </is>
      </c>
      <c r="BC1274" t="inlineStr">
        <is>
          <t>32285004298930</t>
        </is>
      </c>
      <c r="BD1274" t="inlineStr">
        <is>
          <t>893899903</t>
        </is>
      </c>
    </row>
    <row r="1275">
      <c r="A1275" t="inlineStr">
        <is>
          <t>No</t>
        </is>
      </c>
      <c r="B1275" t="inlineStr">
        <is>
          <t>LB2844.1.V6 P55 1997</t>
        </is>
      </c>
      <c r="C1275" t="inlineStr">
        <is>
          <t>0                      LB 2844100V  6                  P  55          1997</t>
        </is>
      </c>
      <c r="D1275" t="inlineStr">
        <is>
          <t>Help America read : a handbook for volunteers / Gay Su Pinnell and Irene C. Fountas.</t>
        </is>
      </c>
      <c r="F1275" t="inlineStr">
        <is>
          <t>No</t>
        </is>
      </c>
      <c r="G1275" t="inlineStr">
        <is>
          <t>1</t>
        </is>
      </c>
      <c r="H1275" t="inlineStr">
        <is>
          <t>No</t>
        </is>
      </c>
      <c r="I1275" t="inlineStr">
        <is>
          <t>No</t>
        </is>
      </c>
      <c r="J1275" t="inlineStr">
        <is>
          <t>0</t>
        </is>
      </c>
      <c r="K1275" t="inlineStr">
        <is>
          <t>Pinnell, Gay Su.</t>
        </is>
      </c>
      <c r="L1275" t="inlineStr">
        <is>
          <t>Portsmouth, NH : Heinemann, c1997.</t>
        </is>
      </c>
      <c r="M1275" t="inlineStr">
        <is>
          <t>1997</t>
        </is>
      </c>
      <c r="O1275" t="inlineStr">
        <is>
          <t>eng</t>
        </is>
      </c>
      <c r="P1275" t="inlineStr">
        <is>
          <t>nhu</t>
        </is>
      </c>
      <c r="R1275" t="inlineStr">
        <is>
          <t xml:space="preserve">LB </t>
        </is>
      </c>
      <c r="S1275" t="n">
        <v>1</v>
      </c>
      <c r="T1275" t="n">
        <v>1</v>
      </c>
      <c r="U1275" t="inlineStr">
        <is>
          <t>2007-02-26</t>
        </is>
      </c>
      <c r="V1275" t="inlineStr">
        <is>
          <t>2007-02-26</t>
        </is>
      </c>
      <c r="W1275" t="inlineStr">
        <is>
          <t>1998-07-09</t>
        </is>
      </c>
      <c r="X1275" t="inlineStr">
        <is>
          <t>1998-07-09</t>
        </is>
      </c>
      <c r="Y1275" t="n">
        <v>267</v>
      </c>
      <c r="Z1275" t="n">
        <v>264</v>
      </c>
      <c r="AA1275" t="n">
        <v>267</v>
      </c>
      <c r="AB1275" t="n">
        <v>2</v>
      </c>
      <c r="AC1275" t="n">
        <v>2</v>
      </c>
      <c r="AD1275" t="n">
        <v>7</v>
      </c>
      <c r="AE1275" t="n">
        <v>7</v>
      </c>
      <c r="AF1275" t="n">
        <v>4</v>
      </c>
      <c r="AG1275" t="n">
        <v>4</v>
      </c>
      <c r="AH1275" t="n">
        <v>0</v>
      </c>
      <c r="AI1275" t="n">
        <v>0</v>
      </c>
      <c r="AJ1275" t="n">
        <v>5</v>
      </c>
      <c r="AK1275" t="n">
        <v>5</v>
      </c>
      <c r="AL1275" t="n">
        <v>1</v>
      </c>
      <c r="AM1275" t="n">
        <v>1</v>
      </c>
      <c r="AN1275" t="n">
        <v>0</v>
      </c>
      <c r="AO1275" t="n">
        <v>0</v>
      </c>
      <c r="AP1275" t="inlineStr">
        <is>
          <t>No</t>
        </is>
      </c>
      <c r="AQ1275" t="inlineStr">
        <is>
          <t>Yes</t>
        </is>
      </c>
      <c r="AR1275">
        <f>HYPERLINK("http://catalog.hathitrust.org/Record/003955184","HathiTrust Record")</f>
        <v/>
      </c>
      <c r="AS1275">
        <f>HYPERLINK("https://creighton-primo.hosted.exlibrisgroup.com/primo-explore/search?tab=default_tab&amp;search_scope=EVERYTHING&amp;vid=01CRU&amp;lang=en_US&amp;offset=0&amp;query=any,contains,991002855749702656","Catalog Record")</f>
        <v/>
      </c>
      <c r="AT1275">
        <f>HYPERLINK("http://www.worldcat.org/oclc/37625681","WorldCat Record")</f>
        <v/>
      </c>
      <c r="AU1275" t="inlineStr">
        <is>
          <t>544348:eng</t>
        </is>
      </c>
      <c r="AV1275" t="inlineStr">
        <is>
          <t>37625681</t>
        </is>
      </c>
      <c r="AW1275" t="inlineStr">
        <is>
          <t>991002855749702656</t>
        </is>
      </c>
      <c r="AX1275" t="inlineStr">
        <is>
          <t>991002855749702656</t>
        </is>
      </c>
      <c r="AY1275" t="inlineStr">
        <is>
          <t>2260731200002656</t>
        </is>
      </c>
      <c r="AZ1275" t="inlineStr">
        <is>
          <t>BOOK</t>
        </is>
      </c>
      <c r="BB1275" t="inlineStr">
        <is>
          <t>9780435072506</t>
        </is>
      </c>
      <c r="BC1275" t="inlineStr">
        <is>
          <t>32285003430922</t>
        </is>
      </c>
      <c r="BD1275" t="inlineStr">
        <is>
          <t>893335811</t>
        </is>
      </c>
    </row>
    <row r="1276">
      <c r="A1276" t="inlineStr">
        <is>
          <t>No</t>
        </is>
      </c>
      <c r="B1276" t="inlineStr">
        <is>
          <t>LB2844.53.U6 B47 1988</t>
        </is>
      </c>
      <c r="C1276" t="inlineStr">
        <is>
          <t>0                      LB 2844530U  6                  B  47          1988</t>
        </is>
      </c>
      <c r="D1276" t="inlineStr">
        <is>
          <t>Teacher politics : the influence of unions / Maurice R. Berube.</t>
        </is>
      </c>
      <c r="F1276" t="inlineStr">
        <is>
          <t>No</t>
        </is>
      </c>
      <c r="G1276" t="inlineStr">
        <is>
          <t>1</t>
        </is>
      </c>
      <c r="H1276" t="inlineStr">
        <is>
          <t>No</t>
        </is>
      </c>
      <c r="I1276" t="inlineStr">
        <is>
          <t>No</t>
        </is>
      </c>
      <c r="J1276" t="inlineStr">
        <is>
          <t>0</t>
        </is>
      </c>
      <c r="K1276" t="inlineStr">
        <is>
          <t>Berube, Maurice R.</t>
        </is>
      </c>
      <c r="L1276" t="inlineStr">
        <is>
          <t>New York : Greenwood Press, 1988.</t>
        </is>
      </c>
      <c r="M1276" t="inlineStr">
        <is>
          <t>1988</t>
        </is>
      </c>
      <c r="O1276" t="inlineStr">
        <is>
          <t>eng</t>
        </is>
      </c>
      <c r="P1276" t="inlineStr">
        <is>
          <t>nyu</t>
        </is>
      </c>
      <c r="Q1276" t="inlineStr">
        <is>
          <t>Contributions to the study of education, 0196-707X ; no. 26</t>
        </is>
      </c>
      <c r="R1276" t="inlineStr">
        <is>
          <t xml:space="preserve">LB </t>
        </is>
      </c>
      <c r="S1276" t="n">
        <v>2</v>
      </c>
      <c r="T1276" t="n">
        <v>2</v>
      </c>
      <c r="U1276" t="inlineStr">
        <is>
          <t>2007-09-17</t>
        </is>
      </c>
      <c r="V1276" t="inlineStr">
        <is>
          <t>2007-09-17</t>
        </is>
      </c>
      <c r="W1276" t="inlineStr">
        <is>
          <t>1992-08-18</t>
        </is>
      </c>
      <c r="X1276" t="inlineStr">
        <is>
          <t>1992-08-18</t>
        </is>
      </c>
      <c r="Y1276" t="n">
        <v>487</v>
      </c>
      <c r="Z1276" t="n">
        <v>436</v>
      </c>
      <c r="AA1276" t="n">
        <v>443</v>
      </c>
      <c r="AB1276" t="n">
        <v>4</v>
      </c>
      <c r="AC1276" t="n">
        <v>4</v>
      </c>
      <c r="AD1276" t="n">
        <v>21</v>
      </c>
      <c r="AE1276" t="n">
        <v>21</v>
      </c>
      <c r="AF1276" t="n">
        <v>9</v>
      </c>
      <c r="AG1276" t="n">
        <v>9</v>
      </c>
      <c r="AH1276" t="n">
        <v>4</v>
      </c>
      <c r="AI1276" t="n">
        <v>4</v>
      </c>
      <c r="AJ1276" t="n">
        <v>11</v>
      </c>
      <c r="AK1276" t="n">
        <v>11</v>
      </c>
      <c r="AL1276" t="n">
        <v>3</v>
      </c>
      <c r="AM1276" t="n">
        <v>3</v>
      </c>
      <c r="AN1276" t="n">
        <v>0</v>
      </c>
      <c r="AO1276" t="n">
        <v>0</v>
      </c>
      <c r="AP1276" t="inlineStr">
        <is>
          <t>No</t>
        </is>
      </c>
      <c r="AQ1276" t="inlineStr">
        <is>
          <t>Yes</t>
        </is>
      </c>
      <c r="AR1276">
        <f>HYPERLINK("http://catalog.hathitrust.org/Record/001076418","HathiTrust Record")</f>
        <v/>
      </c>
      <c r="AS1276">
        <f>HYPERLINK("https://creighton-primo.hosted.exlibrisgroup.com/primo-explore/search?tab=default_tab&amp;search_scope=EVERYTHING&amp;vid=01CRU&amp;lang=en_US&amp;offset=0&amp;query=any,contains,991001159389702656","Catalog Record")</f>
        <v/>
      </c>
      <c r="AT1276">
        <f>HYPERLINK("http://www.worldcat.org/oclc/16872943","WorldCat Record")</f>
        <v/>
      </c>
      <c r="AU1276" t="inlineStr">
        <is>
          <t>2613943:eng</t>
        </is>
      </c>
      <c r="AV1276" t="inlineStr">
        <is>
          <t>16872943</t>
        </is>
      </c>
      <c r="AW1276" t="inlineStr">
        <is>
          <t>991001159389702656</t>
        </is>
      </c>
      <c r="AX1276" t="inlineStr">
        <is>
          <t>991001159389702656</t>
        </is>
      </c>
      <c r="AY1276" t="inlineStr">
        <is>
          <t>2255907380002656</t>
        </is>
      </c>
      <c r="AZ1276" t="inlineStr">
        <is>
          <t>BOOK</t>
        </is>
      </c>
      <c r="BB1276" t="inlineStr">
        <is>
          <t>9780313256851</t>
        </is>
      </c>
      <c r="BC1276" t="inlineStr">
        <is>
          <t>32285001261915</t>
        </is>
      </c>
      <c r="BD1276" t="inlineStr">
        <is>
          <t>893626585</t>
        </is>
      </c>
    </row>
    <row r="1277">
      <c r="A1277" t="inlineStr">
        <is>
          <t>No</t>
        </is>
      </c>
      <c r="B1277" t="inlineStr">
        <is>
          <t>LB2844.53.U6 B75 2003</t>
        </is>
      </c>
      <c r="C1277" t="inlineStr">
        <is>
          <t>0                      LB 2844530U  6                  B  75          2003</t>
        </is>
      </c>
      <c r="D1277" t="inlineStr">
        <is>
          <t>The worm in the apple : how the teacher unions are destroying American education / Peter Brimelow.</t>
        </is>
      </c>
      <c r="F1277" t="inlineStr">
        <is>
          <t>No</t>
        </is>
      </c>
      <c r="G1277" t="inlineStr">
        <is>
          <t>1</t>
        </is>
      </c>
      <c r="H1277" t="inlineStr">
        <is>
          <t>No</t>
        </is>
      </c>
      <c r="I1277" t="inlineStr">
        <is>
          <t>No</t>
        </is>
      </c>
      <c r="J1277" t="inlineStr">
        <is>
          <t>0</t>
        </is>
      </c>
      <c r="K1277" t="inlineStr">
        <is>
          <t>Brimelow, Peter, 1947-</t>
        </is>
      </c>
      <c r="L1277" t="inlineStr">
        <is>
          <t>New York : HarperCollins, c2003.</t>
        </is>
      </c>
      <c r="M1277" t="inlineStr">
        <is>
          <t>2003</t>
        </is>
      </c>
      <c r="N1277" t="inlineStr">
        <is>
          <t>1st ed.</t>
        </is>
      </c>
      <c r="O1277" t="inlineStr">
        <is>
          <t>eng</t>
        </is>
      </c>
      <c r="P1277" t="inlineStr">
        <is>
          <t>nyu</t>
        </is>
      </c>
      <c r="R1277" t="inlineStr">
        <is>
          <t xml:space="preserve">LB </t>
        </is>
      </c>
      <c r="S1277" t="n">
        <v>2</v>
      </c>
      <c r="T1277" t="n">
        <v>2</v>
      </c>
      <c r="U1277" t="inlineStr">
        <is>
          <t>2004-12-06</t>
        </is>
      </c>
      <c r="V1277" t="inlineStr">
        <is>
          <t>2004-12-06</t>
        </is>
      </c>
      <c r="W1277" t="inlineStr">
        <is>
          <t>2003-07-29</t>
        </is>
      </c>
      <c r="X1277" t="inlineStr">
        <is>
          <t>2003-07-29</t>
        </is>
      </c>
      <c r="Y1277" t="n">
        <v>760</v>
      </c>
      <c r="Z1277" t="n">
        <v>727</v>
      </c>
      <c r="AA1277" t="n">
        <v>785</v>
      </c>
      <c r="AB1277" t="n">
        <v>4</v>
      </c>
      <c r="AC1277" t="n">
        <v>4</v>
      </c>
      <c r="AD1277" t="n">
        <v>21</v>
      </c>
      <c r="AE1277" t="n">
        <v>23</v>
      </c>
      <c r="AF1277" t="n">
        <v>9</v>
      </c>
      <c r="AG1277" t="n">
        <v>11</v>
      </c>
      <c r="AH1277" t="n">
        <v>5</v>
      </c>
      <c r="AI1277" t="n">
        <v>5</v>
      </c>
      <c r="AJ1277" t="n">
        <v>8</v>
      </c>
      <c r="AK1277" t="n">
        <v>8</v>
      </c>
      <c r="AL1277" t="n">
        <v>3</v>
      </c>
      <c r="AM1277" t="n">
        <v>3</v>
      </c>
      <c r="AN1277" t="n">
        <v>0</v>
      </c>
      <c r="AO1277" t="n">
        <v>0</v>
      </c>
      <c r="AP1277" t="inlineStr">
        <is>
          <t>No</t>
        </is>
      </c>
      <c r="AQ1277" t="inlineStr">
        <is>
          <t>No</t>
        </is>
      </c>
      <c r="AS1277">
        <f>HYPERLINK("https://creighton-primo.hosted.exlibrisgroup.com/primo-explore/search?tab=default_tab&amp;search_scope=EVERYTHING&amp;vid=01CRU&amp;lang=en_US&amp;offset=0&amp;query=any,contains,991004082139702656","Catalog Record")</f>
        <v/>
      </c>
      <c r="AT1277">
        <f>HYPERLINK("http://www.worldcat.org/oclc/50272935","WorldCat Record")</f>
        <v/>
      </c>
      <c r="AU1277" t="inlineStr">
        <is>
          <t>6284704:eng</t>
        </is>
      </c>
      <c r="AV1277" t="inlineStr">
        <is>
          <t>50272935</t>
        </is>
      </c>
      <c r="AW1277" t="inlineStr">
        <is>
          <t>991004082139702656</t>
        </is>
      </c>
      <c r="AX1277" t="inlineStr">
        <is>
          <t>991004082139702656</t>
        </is>
      </c>
      <c r="AY1277" t="inlineStr">
        <is>
          <t>2259836040002656</t>
        </is>
      </c>
      <c r="AZ1277" t="inlineStr">
        <is>
          <t>BOOK</t>
        </is>
      </c>
      <c r="BB1277" t="inlineStr">
        <is>
          <t>9780060096618</t>
        </is>
      </c>
      <c r="BC1277" t="inlineStr">
        <is>
          <t>32285004757612</t>
        </is>
      </c>
      <c r="BD1277" t="inlineStr">
        <is>
          <t>893263084</t>
        </is>
      </c>
    </row>
    <row r="1278">
      <c r="A1278" t="inlineStr">
        <is>
          <t>No</t>
        </is>
      </c>
      <c r="B1278" t="inlineStr">
        <is>
          <t>LB2844.53.U6 K473 1998</t>
        </is>
      </c>
      <c r="C1278" t="inlineStr">
        <is>
          <t>0                      LB 2844530U  6                  K  473         1998</t>
        </is>
      </c>
      <c r="D1278" t="inlineStr">
        <is>
          <t>Taking charge of quality : how teachers and unions can revitalize schools : an introduction and companion to United mind workers / Charles Taylor Kerchner, Julia E. Koppich &amp; Joseph G. Weeres.</t>
        </is>
      </c>
      <c r="F1278" t="inlineStr">
        <is>
          <t>No</t>
        </is>
      </c>
      <c r="G1278" t="inlineStr">
        <is>
          <t>1</t>
        </is>
      </c>
      <c r="H1278" t="inlineStr">
        <is>
          <t>No</t>
        </is>
      </c>
      <c r="I1278" t="inlineStr">
        <is>
          <t>No</t>
        </is>
      </c>
      <c r="J1278" t="inlineStr">
        <is>
          <t>0</t>
        </is>
      </c>
      <c r="K1278" t="inlineStr">
        <is>
          <t>Kerchner, Charles T.</t>
        </is>
      </c>
      <c r="L1278" t="inlineStr">
        <is>
          <t>San Francisco : Jossey-Bass, c1998.</t>
        </is>
      </c>
      <c r="M1278" t="inlineStr">
        <is>
          <t>1998</t>
        </is>
      </c>
      <c r="N1278" t="inlineStr">
        <is>
          <t>1st ed.</t>
        </is>
      </c>
      <c r="O1278" t="inlineStr">
        <is>
          <t>eng</t>
        </is>
      </c>
      <c r="P1278" t="inlineStr">
        <is>
          <t>cau</t>
        </is>
      </c>
      <c r="R1278" t="inlineStr">
        <is>
          <t xml:space="preserve">LB </t>
        </is>
      </c>
      <c r="S1278" t="n">
        <v>3</v>
      </c>
      <c r="T1278" t="n">
        <v>3</v>
      </c>
      <c r="U1278" t="inlineStr">
        <is>
          <t>2004-12-06</t>
        </is>
      </c>
      <c r="V1278" t="inlineStr">
        <is>
          <t>2004-12-06</t>
        </is>
      </c>
      <c r="W1278" t="inlineStr">
        <is>
          <t>1998-10-08</t>
        </is>
      </c>
      <c r="X1278" t="inlineStr">
        <is>
          <t>1998-10-08</t>
        </is>
      </c>
      <c r="Y1278" t="n">
        <v>256</v>
      </c>
      <c r="Z1278" t="n">
        <v>246</v>
      </c>
      <c r="AA1278" t="n">
        <v>248</v>
      </c>
      <c r="AB1278" t="n">
        <v>3</v>
      </c>
      <c r="AC1278" t="n">
        <v>3</v>
      </c>
      <c r="AD1278" t="n">
        <v>13</v>
      </c>
      <c r="AE1278" t="n">
        <v>13</v>
      </c>
      <c r="AF1278" t="n">
        <v>7</v>
      </c>
      <c r="AG1278" t="n">
        <v>7</v>
      </c>
      <c r="AH1278" t="n">
        <v>1</v>
      </c>
      <c r="AI1278" t="n">
        <v>1</v>
      </c>
      <c r="AJ1278" t="n">
        <v>7</v>
      </c>
      <c r="AK1278" t="n">
        <v>7</v>
      </c>
      <c r="AL1278" t="n">
        <v>2</v>
      </c>
      <c r="AM1278" t="n">
        <v>2</v>
      </c>
      <c r="AN1278" t="n">
        <v>0</v>
      </c>
      <c r="AO1278" t="n">
        <v>0</v>
      </c>
      <c r="AP1278" t="inlineStr">
        <is>
          <t>No</t>
        </is>
      </c>
      <c r="AQ1278" t="inlineStr">
        <is>
          <t>Yes</t>
        </is>
      </c>
      <c r="AR1278">
        <f>HYPERLINK("http://catalog.hathitrust.org/Record/003321657","HathiTrust Record")</f>
        <v/>
      </c>
      <c r="AS1278">
        <f>HYPERLINK("https://creighton-primo.hosted.exlibrisgroup.com/primo-explore/search?tab=default_tab&amp;search_scope=EVERYTHING&amp;vid=01CRU&amp;lang=en_US&amp;offset=0&amp;query=any,contains,991002907329702656","Catalog Record")</f>
        <v/>
      </c>
      <c r="AT1278">
        <f>HYPERLINK("http://www.worldcat.org/oclc/38410138","WorldCat Record")</f>
        <v/>
      </c>
      <c r="AU1278" t="inlineStr">
        <is>
          <t>34941171:eng</t>
        </is>
      </c>
      <c r="AV1278" t="inlineStr">
        <is>
          <t>38410138</t>
        </is>
      </c>
      <c r="AW1278" t="inlineStr">
        <is>
          <t>991002907329702656</t>
        </is>
      </c>
      <c r="AX1278" t="inlineStr">
        <is>
          <t>991002907329702656</t>
        </is>
      </c>
      <c r="AY1278" t="inlineStr">
        <is>
          <t>2254763420002656</t>
        </is>
      </c>
      <c r="AZ1278" t="inlineStr">
        <is>
          <t>BOOK</t>
        </is>
      </c>
      <c r="BB1278" t="inlineStr">
        <is>
          <t>9780787943349</t>
        </is>
      </c>
      <c r="BC1278" t="inlineStr">
        <is>
          <t>32285003474128</t>
        </is>
      </c>
      <c r="BD1278" t="inlineStr">
        <is>
          <t>893685936</t>
        </is>
      </c>
    </row>
    <row r="1279">
      <c r="A1279" t="inlineStr">
        <is>
          <t>No</t>
        </is>
      </c>
      <c r="B1279" t="inlineStr">
        <is>
          <t>LB2844.53.U62 C66 2000</t>
        </is>
      </c>
      <c r="C1279" t="inlineStr">
        <is>
          <t>0                      LB 2844530U  62                 C  66          2000</t>
        </is>
      </c>
      <c r="D1279" t="inlineStr">
        <is>
          <t>Conflicting missions? : teachers unions and educational reform / Tom Loveless, editor.</t>
        </is>
      </c>
      <c r="F1279" t="inlineStr">
        <is>
          <t>No</t>
        </is>
      </c>
      <c r="G1279" t="inlineStr">
        <is>
          <t>1</t>
        </is>
      </c>
      <c r="H1279" t="inlineStr">
        <is>
          <t>No</t>
        </is>
      </c>
      <c r="I1279" t="inlineStr">
        <is>
          <t>No</t>
        </is>
      </c>
      <c r="J1279" t="inlineStr">
        <is>
          <t>0</t>
        </is>
      </c>
      <c r="L1279" t="inlineStr">
        <is>
          <t>Washington, D.C. : Brookings Institution Press, c2000.</t>
        </is>
      </c>
      <c r="M1279" t="inlineStr">
        <is>
          <t>2000</t>
        </is>
      </c>
      <c r="O1279" t="inlineStr">
        <is>
          <t>eng</t>
        </is>
      </c>
      <c r="P1279" t="inlineStr">
        <is>
          <t>dcu</t>
        </is>
      </c>
      <c r="R1279" t="inlineStr">
        <is>
          <t xml:space="preserve">LB </t>
        </is>
      </c>
      <c r="S1279" t="n">
        <v>3</v>
      </c>
      <c r="T1279" t="n">
        <v>3</v>
      </c>
      <c r="U1279" t="inlineStr">
        <is>
          <t>2009-03-15</t>
        </is>
      </c>
      <c r="V1279" t="inlineStr">
        <is>
          <t>2009-03-15</t>
        </is>
      </c>
      <c r="W1279" t="inlineStr">
        <is>
          <t>2000-06-29</t>
        </is>
      </c>
      <c r="X1279" t="inlineStr">
        <is>
          <t>2000-06-29</t>
        </is>
      </c>
      <c r="Y1279" t="n">
        <v>569</v>
      </c>
      <c r="Z1279" t="n">
        <v>516</v>
      </c>
      <c r="AA1279" t="n">
        <v>685</v>
      </c>
      <c r="AB1279" t="n">
        <v>4</v>
      </c>
      <c r="AC1279" t="n">
        <v>4</v>
      </c>
      <c r="AD1279" t="n">
        <v>26</v>
      </c>
      <c r="AE1279" t="n">
        <v>33</v>
      </c>
      <c r="AF1279" t="n">
        <v>8</v>
      </c>
      <c r="AG1279" t="n">
        <v>14</v>
      </c>
      <c r="AH1279" t="n">
        <v>7</v>
      </c>
      <c r="AI1279" t="n">
        <v>9</v>
      </c>
      <c r="AJ1279" t="n">
        <v>15</v>
      </c>
      <c r="AK1279" t="n">
        <v>17</v>
      </c>
      <c r="AL1279" t="n">
        <v>3</v>
      </c>
      <c r="AM1279" t="n">
        <v>3</v>
      </c>
      <c r="AN1279" t="n">
        <v>1</v>
      </c>
      <c r="AO1279" t="n">
        <v>1</v>
      </c>
      <c r="AP1279" t="inlineStr">
        <is>
          <t>No</t>
        </is>
      </c>
      <c r="AQ1279" t="inlineStr">
        <is>
          <t>No</t>
        </is>
      </c>
      <c r="AS1279">
        <f>HYPERLINK("https://creighton-primo.hosted.exlibrisgroup.com/primo-explore/search?tab=default_tab&amp;search_scope=EVERYTHING&amp;vid=01CRU&amp;lang=en_US&amp;offset=0&amp;query=any,contains,991003197029702656","Catalog Record")</f>
        <v/>
      </c>
      <c r="AT1279">
        <f>HYPERLINK("http://www.worldcat.org/oclc/44060788","WorldCat Record")</f>
        <v/>
      </c>
      <c r="AU1279" t="inlineStr">
        <is>
          <t>56552486:eng</t>
        </is>
      </c>
      <c r="AV1279" t="inlineStr">
        <is>
          <t>44060788</t>
        </is>
      </c>
      <c r="AW1279" t="inlineStr">
        <is>
          <t>991003197029702656</t>
        </is>
      </c>
      <c r="AX1279" t="inlineStr">
        <is>
          <t>991003197029702656</t>
        </is>
      </c>
      <c r="AY1279" t="inlineStr">
        <is>
          <t>2271957010002656</t>
        </is>
      </c>
      <c r="AZ1279" t="inlineStr">
        <is>
          <t>BOOK</t>
        </is>
      </c>
      <c r="BB1279" t="inlineStr">
        <is>
          <t>9780815753032</t>
        </is>
      </c>
      <c r="BC1279" t="inlineStr">
        <is>
          <t>32285003713335</t>
        </is>
      </c>
      <c r="BD1279" t="inlineStr">
        <is>
          <t>893348421</t>
        </is>
      </c>
    </row>
    <row r="1280">
      <c r="A1280" t="inlineStr">
        <is>
          <t>No</t>
        </is>
      </c>
      <c r="B1280" t="inlineStr">
        <is>
          <t>LB2845.7 .G87 2010</t>
        </is>
      </c>
      <c r="C1280" t="inlineStr">
        <is>
          <t>0                      LB 2845700G  87          2010</t>
        </is>
      </c>
      <c r="D1280" t="inlineStr">
        <is>
          <t>Developing standards-based report cards / Thomas R. Guskey, Jane M. Bailey.</t>
        </is>
      </c>
      <c r="F1280" t="inlineStr">
        <is>
          <t>No</t>
        </is>
      </c>
      <c r="G1280" t="inlineStr">
        <is>
          <t>1</t>
        </is>
      </c>
      <c r="H1280" t="inlineStr">
        <is>
          <t>No</t>
        </is>
      </c>
      <c r="I1280" t="inlineStr">
        <is>
          <t>No</t>
        </is>
      </c>
      <c r="J1280" t="inlineStr">
        <is>
          <t>0</t>
        </is>
      </c>
      <c r="K1280" t="inlineStr">
        <is>
          <t>Guskey, Thomas R.</t>
        </is>
      </c>
      <c r="L1280" t="inlineStr">
        <is>
          <t>Thousand Oaks, Calif. : Corwin, c2010.</t>
        </is>
      </c>
      <c r="M1280" t="inlineStr">
        <is>
          <t>2010</t>
        </is>
      </c>
      <c r="O1280" t="inlineStr">
        <is>
          <t>eng</t>
        </is>
      </c>
      <c r="P1280" t="inlineStr">
        <is>
          <t>cau</t>
        </is>
      </c>
      <c r="R1280" t="inlineStr">
        <is>
          <t xml:space="preserve">LB </t>
        </is>
      </c>
      <c r="S1280" t="n">
        <v>1</v>
      </c>
      <c r="T1280" t="n">
        <v>1</v>
      </c>
      <c r="U1280" t="inlineStr">
        <is>
          <t>2010-02-08</t>
        </is>
      </c>
      <c r="V1280" t="inlineStr">
        <is>
          <t>2010-02-08</t>
        </is>
      </c>
      <c r="W1280" t="inlineStr">
        <is>
          <t>2010-02-08</t>
        </is>
      </c>
      <c r="X1280" t="inlineStr">
        <is>
          <t>2010-02-08</t>
        </is>
      </c>
      <c r="Y1280" t="n">
        <v>174</v>
      </c>
      <c r="Z1280" t="n">
        <v>137</v>
      </c>
      <c r="AA1280" t="n">
        <v>202</v>
      </c>
      <c r="AB1280" t="n">
        <v>3</v>
      </c>
      <c r="AC1280" t="n">
        <v>4</v>
      </c>
      <c r="AD1280" t="n">
        <v>7</v>
      </c>
      <c r="AE1280" t="n">
        <v>12</v>
      </c>
      <c r="AF1280" t="n">
        <v>2</v>
      </c>
      <c r="AG1280" t="n">
        <v>4</v>
      </c>
      <c r="AH1280" t="n">
        <v>1</v>
      </c>
      <c r="AI1280" t="n">
        <v>3</v>
      </c>
      <c r="AJ1280" t="n">
        <v>5</v>
      </c>
      <c r="AK1280" t="n">
        <v>7</v>
      </c>
      <c r="AL1280" t="n">
        <v>2</v>
      </c>
      <c r="AM1280" t="n">
        <v>3</v>
      </c>
      <c r="AN1280" t="n">
        <v>0</v>
      </c>
      <c r="AO1280" t="n">
        <v>0</v>
      </c>
      <c r="AP1280" t="inlineStr">
        <is>
          <t>No</t>
        </is>
      </c>
      <c r="AQ1280" t="inlineStr">
        <is>
          <t>No</t>
        </is>
      </c>
      <c r="AS1280">
        <f>HYPERLINK("https://creighton-primo.hosted.exlibrisgroup.com/primo-explore/search?tab=default_tab&amp;search_scope=EVERYTHING&amp;vid=01CRU&amp;lang=en_US&amp;offset=0&amp;query=any,contains,991005362379702656","Catalog Record")</f>
        <v/>
      </c>
      <c r="AT1280">
        <f>HYPERLINK("http://www.worldcat.org/oclc/424554892","WorldCat Record")</f>
        <v/>
      </c>
      <c r="AU1280" t="inlineStr">
        <is>
          <t>1317077984:eng</t>
        </is>
      </c>
      <c r="AV1280" t="inlineStr">
        <is>
          <t>424554892</t>
        </is>
      </c>
      <c r="AW1280" t="inlineStr">
        <is>
          <t>991005362379702656</t>
        </is>
      </c>
      <c r="AX1280" t="inlineStr">
        <is>
          <t>991005362379702656</t>
        </is>
      </c>
      <c r="AY1280" t="inlineStr">
        <is>
          <t>2262450110002656</t>
        </is>
      </c>
      <c r="AZ1280" t="inlineStr">
        <is>
          <t>BOOK</t>
        </is>
      </c>
      <c r="BB1280" t="inlineStr">
        <is>
          <t>9781412940863</t>
        </is>
      </c>
      <c r="BC1280" t="inlineStr">
        <is>
          <t>32285005572424</t>
        </is>
      </c>
      <c r="BD1280" t="inlineStr">
        <is>
          <t>893713955</t>
        </is>
      </c>
    </row>
    <row r="1281">
      <c r="A1281" t="inlineStr">
        <is>
          <t>No</t>
        </is>
      </c>
      <c r="B1281" t="inlineStr">
        <is>
          <t>LB2845.7 .M54 2005</t>
        </is>
      </c>
      <c r="C1281" t="inlineStr">
        <is>
          <t>0                      LB 2845700M  54          2005</t>
        </is>
      </c>
      <c r="D1281" t="inlineStr">
        <is>
          <t>Classroom record keeping made simple : tips for time-strapped teachers / Diane Mierzwik.</t>
        </is>
      </c>
      <c r="F1281" t="inlineStr">
        <is>
          <t>No</t>
        </is>
      </c>
      <c r="G1281" t="inlineStr">
        <is>
          <t>1</t>
        </is>
      </c>
      <c r="H1281" t="inlineStr">
        <is>
          <t>No</t>
        </is>
      </c>
      <c r="I1281" t="inlineStr">
        <is>
          <t>No</t>
        </is>
      </c>
      <c r="J1281" t="inlineStr">
        <is>
          <t>0</t>
        </is>
      </c>
      <c r="K1281" t="inlineStr">
        <is>
          <t>Mierzwik, Diane.</t>
        </is>
      </c>
      <c r="L1281" t="inlineStr">
        <is>
          <t>Thousand Oaks, Calif. : Corwin Press, c2005.</t>
        </is>
      </c>
      <c r="M1281" t="inlineStr">
        <is>
          <t>2005</t>
        </is>
      </c>
      <c r="O1281" t="inlineStr">
        <is>
          <t>eng</t>
        </is>
      </c>
      <c r="P1281" t="inlineStr">
        <is>
          <t>cau</t>
        </is>
      </c>
      <c r="R1281" t="inlineStr">
        <is>
          <t xml:space="preserve">LB </t>
        </is>
      </c>
      <c r="S1281" t="n">
        <v>1</v>
      </c>
      <c r="T1281" t="n">
        <v>1</v>
      </c>
      <c r="U1281" t="inlineStr">
        <is>
          <t>2005-09-26</t>
        </is>
      </c>
      <c r="V1281" t="inlineStr">
        <is>
          <t>2005-09-26</t>
        </is>
      </c>
      <c r="W1281" t="inlineStr">
        <is>
          <t>2005-09-26</t>
        </is>
      </c>
      <c r="X1281" t="inlineStr">
        <is>
          <t>2005-09-26</t>
        </is>
      </c>
      <c r="Y1281" t="n">
        <v>156</v>
      </c>
      <c r="Z1281" t="n">
        <v>133</v>
      </c>
      <c r="AA1281" t="n">
        <v>165</v>
      </c>
      <c r="AB1281" t="n">
        <v>2</v>
      </c>
      <c r="AC1281" t="n">
        <v>2</v>
      </c>
      <c r="AD1281" t="n">
        <v>4</v>
      </c>
      <c r="AE1281" t="n">
        <v>6</v>
      </c>
      <c r="AF1281" t="n">
        <v>0</v>
      </c>
      <c r="AG1281" t="n">
        <v>2</v>
      </c>
      <c r="AH1281" t="n">
        <v>0</v>
      </c>
      <c r="AI1281" t="n">
        <v>1</v>
      </c>
      <c r="AJ1281" t="n">
        <v>3</v>
      </c>
      <c r="AK1281" t="n">
        <v>3</v>
      </c>
      <c r="AL1281" t="n">
        <v>1</v>
      </c>
      <c r="AM1281" t="n">
        <v>1</v>
      </c>
      <c r="AN1281" t="n">
        <v>0</v>
      </c>
      <c r="AO1281" t="n">
        <v>0</v>
      </c>
      <c r="AP1281" t="inlineStr">
        <is>
          <t>No</t>
        </is>
      </c>
      <c r="AQ1281" t="inlineStr">
        <is>
          <t>No</t>
        </is>
      </c>
      <c r="AS1281">
        <f>HYPERLINK("https://creighton-primo.hosted.exlibrisgroup.com/primo-explore/search?tab=default_tab&amp;search_scope=EVERYTHING&amp;vid=01CRU&amp;lang=en_US&amp;offset=0&amp;query=any,contains,991004656939702656","Catalog Record")</f>
        <v/>
      </c>
      <c r="AT1281">
        <f>HYPERLINK("http://www.worldcat.org/oclc/60373870","WorldCat Record")</f>
        <v/>
      </c>
      <c r="AU1281" t="inlineStr">
        <is>
          <t>322322:eng</t>
        </is>
      </c>
      <c r="AV1281" t="inlineStr">
        <is>
          <t>60373870</t>
        </is>
      </c>
      <c r="AW1281" t="inlineStr">
        <is>
          <t>991004656939702656</t>
        </is>
      </c>
      <c r="AX1281" t="inlineStr">
        <is>
          <t>991004656939702656</t>
        </is>
      </c>
      <c r="AY1281" t="inlineStr">
        <is>
          <t>2267093570002656</t>
        </is>
      </c>
      <c r="AZ1281" t="inlineStr">
        <is>
          <t>BOOK</t>
        </is>
      </c>
      <c r="BB1281" t="inlineStr">
        <is>
          <t>9781412914567</t>
        </is>
      </c>
      <c r="BC1281" t="inlineStr">
        <is>
          <t>32285005084958</t>
        </is>
      </c>
      <c r="BD1281" t="inlineStr">
        <is>
          <t>893801195</t>
        </is>
      </c>
    </row>
    <row r="1282">
      <c r="A1282" t="inlineStr">
        <is>
          <t>No</t>
        </is>
      </c>
      <c r="B1282" t="inlineStr">
        <is>
          <t>LB2845.7 .S36 2003</t>
        </is>
      </c>
      <c r="C1282" t="inlineStr">
        <is>
          <t>0                      LB 2845700S  36          2003</t>
        </is>
      </c>
      <c r="D1282" t="inlineStr">
        <is>
          <t>The school administrator's complete letter book / compiled and edited by Gerald Tomlinson.</t>
        </is>
      </c>
      <c r="F1282" t="inlineStr">
        <is>
          <t>No</t>
        </is>
      </c>
      <c r="G1282" t="inlineStr">
        <is>
          <t>1</t>
        </is>
      </c>
      <c r="H1282" t="inlineStr">
        <is>
          <t>No</t>
        </is>
      </c>
      <c r="I1282" t="inlineStr">
        <is>
          <t>No</t>
        </is>
      </c>
      <c r="J1282" t="inlineStr">
        <is>
          <t>0</t>
        </is>
      </c>
      <c r="L1282" t="inlineStr">
        <is>
          <t>San Francisco, CA : Jossey-Bass, c2003.</t>
        </is>
      </c>
      <c r="M1282" t="inlineStr">
        <is>
          <t>2003</t>
        </is>
      </c>
      <c r="N1282" t="inlineStr">
        <is>
          <t>2nd ed.</t>
        </is>
      </c>
      <c r="O1282" t="inlineStr">
        <is>
          <t>eng</t>
        </is>
      </c>
      <c r="P1282" t="inlineStr">
        <is>
          <t>cau</t>
        </is>
      </c>
      <c r="R1282" t="inlineStr">
        <is>
          <t xml:space="preserve">LB </t>
        </is>
      </c>
      <c r="S1282" t="n">
        <v>3</v>
      </c>
      <c r="T1282" t="n">
        <v>3</v>
      </c>
      <c r="U1282" t="inlineStr">
        <is>
          <t>2006-07-10</t>
        </is>
      </c>
      <c r="V1282" t="inlineStr">
        <is>
          <t>2006-07-10</t>
        </is>
      </c>
      <c r="W1282" t="inlineStr">
        <is>
          <t>2003-06-16</t>
        </is>
      </c>
      <c r="X1282" t="inlineStr">
        <is>
          <t>2003-06-16</t>
        </is>
      </c>
      <c r="Y1282" t="n">
        <v>157</v>
      </c>
      <c r="Z1282" t="n">
        <v>138</v>
      </c>
      <c r="AA1282" t="n">
        <v>288</v>
      </c>
      <c r="AB1282" t="n">
        <v>2</v>
      </c>
      <c r="AC1282" t="n">
        <v>4</v>
      </c>
      <c r="AD1282" t="n">
        <v>8</v>
      </c>
      <c r="AE1282" t="n">
        <v>9</v>
      </c>
      <c r="AF1282" t="n">
        <v>3</v>
      </c>
      <c r="AG1282" t="n">
        <v>3</v>
      </c>
      <c r="AH1282" t="n">
        <v>1</v>
      </c>
      <c r="AI1282" t="n">
        <v>1</v>
      </c>
      <c r="AJ1282" t="n">
        <v>6</v>
      </c>
      <c r="AK1282" t="n">
        <v>6</v>
      </c>
      <c r="AL1282" t="n">
        <v>1</v>
      </c>
      <c r="AM1282" t="n">
        <v>2</v>
      </c>
      <c r="AN1282" t="n">
        <v>0</v>
      </c>
      <c r="AO1282" t="n">
        <v>0</v>
      </c>
      <c r="AP1282" t="inlineStr">
        <is>
          <t>No</t>
        </is>
      </c>
      <c r="AQ1282" t="inlineStr">
        <is>
          <t>Yes</t>
        </is>
      </c>
      <c r="AR1282">
        <f>HYPERLINK("http://catalog.hathitrust.org/Record/102027480","HathiTrust Record")</f>
        <v/>
      </c>
      <c r="AS1282">
        <f>HYPERLINK("https://creighton-primo.hosted.exlibrisgroup.com/primo-explore/search?tab=default_tab&amp;search_scope=EVERYTHING&amp;vid=01CRU&amp;lang=en_US&amp;offset=0&amp;query=any,contains,991004071199702656","Catalog Record")</f>
        <v/>
      </c>
      <c r="AT1282">
        <f>HYPERLINK("http://www.worldcat.org/oclc/51770184","WorldCat Record")</f>
        <v/>
      </c>
      <c r="AU1282" t="inlineStr">
        <is>
          <t>57352463:eng</t>
        </is>
      </c>
      <c r="AV1282" t="inlineStr">
        <is>
          <t>51770184</t>
        </is>
      </c>
      <c r="AW1282" t="inlineStr">
        <is>
          <t>991004071199702656</t>
        </is>
      </c>
      <c r="AX1282" t="inlineStr">
        <is>
          <t>991004071199702656</t>
        </is>
      </c>
      <c r="AY1282" t="inlineStr">
        <is>
          <t>2268224870002656</t>
        </is>
      </c>
      <c r="AZ1282" t="inlineStr">
        <is>
          <t>BOOK</t>
        </is>
      </c>
      <c r="BB1282" t="inlineStr">
        <is>
          <t>9780787965891</t>
        </is>
      </c>
      <c r="BC1282" t="inlineStr">
        <is>
          <t>32285004771621</t>
        </is>
      </c>
      <c r="BD1282" t="inlineStr">
        <is>
          <t>893712121</t>
        </is>
      </c>
    </row>
    <row r="1283">
      <c r="A1283" t="inlineStr">
        <is>
          <t>No</t>
        </is>
      </c>
      <c r="B1283" t="inlineStr">
        <is>
          <t>LB2846 .G555</t>
        </is>
      </c>
      <c r="C1283" t="inlineStr">
        <is>
          <t>0                      LB 2846000G  555</t>
        </is>
      </c>
      <c r="D1283" t="inlineStr">
        <is>
          <t>Statistical methods in education / Harvey J. Goehring, Jr.</t>
        </is>
      </c>
      <c r="F1283" t="inlineStr">
        <is>
          <t>No</t>
        </is>
      </c>
      <c r="G1283" t="inlineStr">
        <is>
          <t>1</t>
        </is>
      </c>
      <c r="H1283" t="inlineStr">
        <is>
          <t>No</t>
        </is>
      </c>
      <c r="I1283" t="inlineStr">
        <is>
          <t>No</t>
        </is>
      </c>
      <c r="J1283" t="inlineStr">
        <is>
          <t>0</t>
        </is>
      </c>
      <c r="K1283" t="inlineStr">
        <is>
          <t>Goehring, Harvey John, 1920-</t>
        </is>
      </c>
      <c r="L1283" t="inlineStr">
        <is>
          <t>Arlington, Va. : Information Resources Press, 1981.</t>
        </is>
      </c>
      <c r="M1283" t="inlineStr">
        <is>
          <t>1981</t>
        </is>
      </c>
      <c r="O1283" t="inlineStr">
        <is>
          <t>eng</t>
        </is>
      </c>
      <c r="P1283" t="inlineStr">
        <is>
          <t>vau</t>
        </is>
      </c>
      <c r="R1283" t="inlineStr">
        <is>
          <t xml:space="preserve">LB </t>
        </is>
      </c>
      <c r="S1283" t="n">
        <v>1</v>
      </c>
      <c r="T1283" t="n">
        <v>1</v>
      </c>
      <c r="U1283" t="inlineStr">
        <is>
          <t>1998-01-06</t>
        </is>
      </c>
      <c r="V1283" t="inlineStr">
        <is>
          <t>1998-01-06</t>
        </is>
      </c>
      <c r="W1283" t="inlineStr">
        <is>
          <t>1992-08-18</t>
        </is>
      </c>
      <c r="X1283" t="inlineStr">
        <is>
          <t>1992-08-18</t>
        </is>
      </c>
      <c r="Y1283" t="n">
        <v>241</v>
      </c>
      <c r="Z1283" t="n">
        <v>218</v>
      </c>
      <c r="AA1283" t="n">
        <v>224</v>
      </c>
      <c r="AB1283" t="n">
        <v>1</v>
      </c>
      <c r="AC1283" t="n">
        <v>1</v>
      </c>
      <c r="AD1283" t="n">
        <v>5</v>
      </c>
      <c r="AE1283" t="n">
        <v>5</v>
      </c>
      <c r="AF1283" t="n">
        <v>4</v>
      </c>
      <c r="AG1283" t="n">
        <v>4</v>
      </c>
      <c r="AH1283" t="n">
        <v>0</v>
      </c>
      <c r="AI1283" t="n">
        <v>0</v>
      </c>
      <c r="AJ1283" t="n">
        <v>4</v>
      </c>
      <c r="AK1283" t="n">
        <v>4</v>
      </c>
      <c r="AL1283" t="n">
        <v>0</v>
      </c>
      <c r="AM1283" t="n">
        <v>0</v>
      </c>
      <c r="AN1283" t="n">
        <v>0</v>
      </c>
      <c r="AO1283" t="n">
        <v>0</v>
      </c>
      <c r="AP1283" t="inlineStr">
        <is>
          <t>No</t>
        </is>
      </c>
      <c r="AQ1283" t="inlineStr">
        <is>
          <t>No</t>
        </is>
      </c>
      <c r="AS1283">
        <f>HYPERLINK("https://creighton-primo.hosted.exlibrisgroup.com/primo-explore/search?tab=default_tab&amp;search_scope=EVERYTHING&amp;vid=01CRU&amp;lang=en_US&amp;offset=0&amp;query=any,contains,991005110769702656","Catalog Record")</f>
        <v/>
      </c>
      <c r="AT1283">
        <f>HYPERLINK("http://www.worldcat.org/oclc/7422946","WorldCat Record")</f>
        <v/>
      </c>
      <c r="AU1283" t="inlineStr">
        <is>
          <t>537660:eng</t>
        </is>
      </c>
      <c r="AV1283" t="inlineStr">
        <is>
          <t>7422946</t>
        </is>
      </c>
      <c r="AW1283" t="inlineStr">
        <is>
          <t>991005110769702656</t>
        </is>
      </c>
      <c r="AX1283" t="inlineStr">
        <is>
          <t>991005110769702656</t>
        </is>
      </c>
      <c r="AY1283" t="inlineStr">
        <is>
          <t>2271635390002656</t>
        </is>
      </c>
      <c r="AZ1283" t="inlineStr">
        <is>
          <t>BOOK</t>
        </is>
      </c>
      <c r="BB1283" t="inlineStr">
        <is>
          <t>9780878150335</t>
        </is>
      </c>
      <c r="BC1283" t="inlineStr">
        <is>
          <t>32285001262145</t>
        </is>
      </c>
      <c r="BD1283" t="inlineStr">
        <is>
          <t>893600630</t>
        </is>
      </c>
    </row>
    <row r="1284">
      <c r="A1284" t="inlineStr">
        <is>
          <t>No</t>
        </is>
      </c>
      <c r="B1284" t="inlineStr">
        <is>
          <t>LB2846 .H56 2004</t>
        </is>
      </c>
      <c r="C1284" t="inlineStr">
        <is>
          <t>0                      LB 2846000H  56          2004</t>
        </is>
      </c>
      <c r="D1284" t="inlineStr">
        <is>
          <t>Getting excited about data : combining people, passion, and proof to maximize student achievement / Edie L. Holcomb ; foreword by Tony Wagner.</t>
        </is>
      </c>
      <c r="F1284" t="inlineStr">
        <is>
          <t>No</t>
        </is>
      </c>
      <c r="G1284" t="inlineStr">
        <is>
          <t>1</t>
        </is>
      </c>
      <c r="H1284" t="inlineStr">
        <is>
          <t>No</t>
        </is>
      </c>
      <c r="I1284" t="inlineStr">
        <is>
          <t>No</t>
        </is>
      </c>
      <c r="J1284" t="inlineStr">
        <is>
          <t>0</t>
        </is>
      </c>
      <c r="K1284" t="inlineStr">
        <is>
          <t>Holcomb, Edie L.</t>
        </is>
      </c>
      <c r="L1284" t="inlineStr">
        <is>
          <t>Thousand Oaks, Calif. : Corwin Press, c2004.</t>
        </is>
      </c>
      <c r="M1284" t="inlineStr">
        <is>
          <t>2004</t>
        </is>
      </c>
      <c r="N1284" t="inlineStr">
        <is>
          <t>2nd ed.</t>
        </is>
      </c>
      <c r="O1284" t="inlineStr">
        <is>
          <t>eng</t>
        </is>
      </c>
      <c r="P1284" t="inlineStr">
        <is>
          <t>cau</t>
        </is>
      </c>
      <c r="R1284" t="inlineStr">
        <is>
          <t xml:space="preserve">LB </t>
        </is>
      </c>
      <c r="S1284" t="n">
        <v>1</v>
      </c>
      <c r="T1284" t="n">
        <v>1</v>
      </c>
      <c r="U1284" t="inlineStr">
        <is>
          <t>2004-06-07</t>
        </is>
      </c>
      <c r="V1284" t="inlineStr">
        <is>
          <t>2004-06-07</t>
        </is>
      </c>
      <c r="W1284" t="inlineStr">
        <is>
          <t>2004-06-07</t>
        </is>
      </c>
      <c r="X1284" t="inlineStr">
        <is>
          <t>2004-06-07</t>
        </is>
      </c>
      <c r="Y1284" t="n">
        <v>312</v>
      </c>
      <c r="Z1284" t="n">
        <v>254</v>
      </c>
      <c r="AA1284" t="n">
        <v>255</v>
      </c>
      <c r="AB1284" t="n">
        <v>2</v>
      </c>
      <c r="AC1284" t="n">
        <v>2</v>
      </c>
      <c r="AD1284" t="n">
        <v>10</v>
      </c>
      <c r="AE1284" t="n">
        <v>10</v>
      </c>
      <c r="AF1284" t="n">
        <v>2</v>
      </c>
      <c r="AG1284" t="n">
        <v>2</v>
      </c>
      <c r="AH1284" t="n">
        <v>2</v>
      </c>
      <c r="AI1284" t="n">
        <v>2</v>
      </c>
      <c r="AJ1284" t="n">
        <v>6</v>
      </c>
      <c r="AK1284" t="n">
        <v>6</v>
      </c>
      <c r="AL1284" t="n">
        <v>1</v>
      </c>
      <c r="AM1284" t="n">
        <v>1</v>
      </c>
      <c r="AN1284" t="n">
        <v>0</v>
      </c>
      <c r="AO1284" t="n">
        <v>0</v>
      </c>
      <c r="AP1284" t="inlineStr">
        <is>
          <t>No</t>
        </is>
      </c>
      <c r="AQ1284" t="inlineStr">
        <is>
          <t>Yes</t>
        </is>
      </c>
      <c r="AR1284">
        <f>HYPERLINK("http://catalog.hathitrust.org/Record/102032332","HathiTrust Record")</f>
        <v/>
      </c>
      <c r="AS1284">
        <f>HYPERLINK("https://creighton-primo.hosted.exlibrisgroup.com/primo-explore/search?tab=default_tab&amp;search_scope=EVERYTHING&amp;vid=01CRU&amp;lang=en_US&amp;offset=0&amp;query=any,contains,991004302469702656","Catalog Record")</f>
        <v/>
      </c>
      <c r="AT1284">
        <f>HYPERLINK("http://www.worldcat.org/oclc/54666852","WorldCat Record")</f>
        <v/>
      </c>
      <c r="AU1284" t="inlineStr">
        <is>
          <t>3858046501:eng</t>
        </is>
      </c>
      <c r="AV1284" t="inlineStr">
        <is>
          <t>54666852</t>
        </is>
      </c>
      <c r="AW1284" t="inlineStr">
        <is>
          <t>991004302469702656</t>
        </is>
      </c>
      <c r="AX1284" t="inlineStr">
        <is>
          <t>991004302469702656</t>
        </is>
      </c>
      <c r="AY1284" t="inlineStr">
        <is>
          <t>2269590530002656</t>
        </is>
      </c>
      <c r="AZ1284" t="inlineStr">
        <is>
          <t>BOOK</t>
        </is>
      </c>
      <c r="BB1284" t="inlineStr">
        <is>
          <t>9780761939580</t>
        </is>
      </c>
      <c r="BC1284" t="inlineStr">
        <is>
          <t>32285004907837</t>
        </is>
      </c>
      <c r="BD1284" t="inlineStr">
        <is>
          <t>893506679</t>
        </is>
      </c>
    </row>
    <row r="1285">
      <c r="A1285" t="inlineStr">
        <is>
          <t>No</t>
        </is>
      </c>
      <c r="B1285" t="inlineStr">
        <is>
          <t>LB2847 .C36 1984</t>
        </is>
      </c>
      <c r="C1285" t="inlineStr">
        <is>
          <t>0                      LB 2847000C  36          1984</t>
        </is>
      </c>
      <c r="D1285" t="inlineStr">
        <is>
          <t>Public relations / by Cathy Campbell.</t>
        </is>
      </c>
      <c r="F1285" t="inlineStr">
        <is>
          <t>No</t>
        </is>
      </c>
      <c r="G1285" t="inlineStr">
        <is>
          <t>1</t>
        </is>
      </c>
      <c r="H1285" t="inlineStr">
        <is>
          <t>No</t>
        </is>
      </c>
      <c r="I1285" t="inlineStr">
        <is>
          <t>No</t>
        </is>
      </c>
      <c r="J1285" t="inlineStr">
        <is>
          <t>0</t>
        </is>
      </c>
      <c r="K1285" t="inlineStr">
        <is>
          <t>Campbell, Cathy.</t>
        </is>
      </c>
      <c r="L1285" t="inlineStr">
        <is>
          <t>Washington, D.C. : National Catholic Educational Association, Office of Development, 1984.</t>
        </is>
      </c>
      <c r="M1285" t="inlineStr">
        <is>
          <t>1984</t>
        </is>
      </c>
      <c r="O1285" t="inlineStr">
        <is>
          <t>eng</t>
        </is>
      </c>
      <c r="P1285" t="inlineStr">
        <is>
          <t>dcu</t>
        </is>
      </c>
      <c r="R1285" t="inlineStr">
        <is>
          <t xml:space="preserve">LB </t>
        </is>
      </c>
      <c r="S1285" t="n">
        <v>2</v>
      </c>
      <c r="T1285" t="n">
        <v>2</v>
      </c>
      <c r="U1285" t="inlineStr">
        <is>
          <t>2001-04-25</t>
        </is>
      </c>
      <c r="V1285" t="inlineStr">
        <is>
          <t>2001-04-25</t>
        </is>
      </c>
      <c r="W1285" t="inlineStr">
        <is>
          <t>1992-08-18</t>
        </is>
      </c>
      <c r="X1285" t="inlineStr">
        <is>
          <t>1992-08-18</t>
        </is>
      </c>
      <c r="Y1285" t="n">
        <v>12</v>
      </c>
      <c r="Z1285" t="n">
        <v>12</v>
      </c>
      <c r="AA1285" t="n">
        <v>14</v>
      </c>
      <c r="AB1285" t="n">
        <v>1</v>
      </c>
      <c r="AC1285" t="n">
        <v>1</v>
      </c>
      <c r="AD1285" t="n">
        <v>2</v>
      </c>
      <c r="AE1285" t="n">
        <v>2</v>
      </c>
      <c r="AF1285" t="n">
        <v>0</v>
      </c>
      <c r="AG1285" t="n">
        <v>0</v>
      </c>
      <c r="AH1285" t="n">
        <v>0</v>
      </c>
      <c r="AI1285" t="n">
        <v>0</v>
      </c>
      <c r="AJ1285" t="n">
        <v>2</v>
      </c>
      <c r="AK1285" t="n">
        <v>2</v>
      </c>
      <c r="AL1285" t="n">
        <v>0</v>
      </c>
      <c r="AM1285" t="n">
        <v>0</v>
      </c>
      <c r="AN1285" t="n">
        <v>0</v>
      </c>
      <c r="AO1285" t="n">
        <v>0</v>
      </c>
      <c r="AP1285" t="inlineStr">
        <is>
          <t>No</t>
        </is>
      </c>
      <c r="AQ1285" t="inlineStr">
        <is>
          <t>No</t>
        </is>
      </c>
      <c r="AS1285">
        <f>HYPERLINK("https://creighton-primo.hosted.exlibrisgroup.com/primo-explore/search?tab=default_tab&amp;search_scope=EVERYTHING&amp;vid=01CRU&amp;lang=en_US&amp;offset=0&amp;query=any,contains,991000626909702656","Catalog Record")</f>
        <v/>
      </c>
      <c r="AT1285">
        <f>HYPERLINK("http://www.worldcat.org/oclc/12039373","WorldCat Record")</f>
        <v/>
      </c>
      <c r="AU1285" t="inlineStr">
        <is>
          <t>4002903131:eng</t>
        </is>
      </c>
      <c r="AV1285" t="inlineStr">
        <is>
          <t>12039373</t>
        </is>
      </c>
      <c r="AW1285" t="inlineStr">
        <is>
          <t>991000626909702656</t>
        </is>
      </c>
      <c r="AX1285" t="inlineStr">
        <is>
          <t>991000626909702656</t>
        </is>
      </c>
      <c r="AY1285" t="inlineStr">
        <is>
          <t>2257100900002656</t>
        </is>
      </c>
      <c r="AZ1285" t="inlineStr">
        <is>
          <t>BOOK</t>
        </is>
      </c>
      <c r="BC1285" t="inlineStr">
        <is>
          <t>32285001262202</t>
        </is>
      </c>
      <c r="BD1285" t="inlineStr">
        <is>
          <t>893689877</t>
        </is>
      </c>
    </row>
    <row r="1286">
      <c r="A1286" t="inlineStr">
        <is>
          <t>No</t>
        </is>
      </c>
      <c r="B1286" t="inlineStr">
        <is>
          <t>LB2847 .C37 1994</t>
        </is>
      </c>
      <c r="C1286" t="inlineStr">
        <is>
          <t>0                      LB 2847000C  37          1994</t>
        </is>
      </c>
      <c r="D1286" t="inlineStr">
        <is>
          <t>How smart schools get and keep community support / Susan Rovezzi Carroll, David Carroll ; [photographs by Jean Valette].</t>
        </is>
      </c>
      <c r="F1286" t="inlineStr">
        <is>
          <t>No</t>
        </is>
      </c>
      <c r="G1286" t="inlineStr">
        <is>
          <t>1</t>
        </is>
      </c>
      <c r="H1286" t="inlineStr">
        <is>
          <t>No</t>
        </is>
      </c>
      <c r="I1286" t="inlineStr">
        <is>
          <t>No</t>
        </is>
      </c>
      <c r="J1286" t="inlineStr">
        <is>
          <t>0</t>
        </is>
      </c>
      <c r="K1286" t="inlineStr">
        <is>
          <t>Carroll, Susan Rovezzi.</t>
        </is>
      </c>
      <c r="L1286" t="inlineStr">
        <is>
          <t>Bloomington, Ind. : National Educational Service, c1994.</t>
        </is>
      </c>
      <c r="M1286" t="inlineStr">
        <is>
          <t>1994</t>
        </is>
      </c>
      <c r="O1286" t="inlineStr">
        <is>
          <t>eng</t>
        </is>
      </c>
      <c r="P1286" t="inlineStr">
        <is>
          <t>inu</t>
        </is>
      </c>
      <c r="R1286" t="inlineStr">
        <is>
          <t xml:space="preserve">LB </t>
        </is>
      </c>
      <c r="S1286" t="n">
        <v>3</v>
      </c>
      <c r="T1286" t="n">
        <v>3</v>
      </c>
      <c r="U1286" t="inlineStr">
        <is>
          <t>2003-09-17</t>
        </is>
      </c>
      <c r="V1286" t="inlineStr">
        <is>
          <t>2003-09-17</t>
        </is>
      </c>
      <c r="W1286" t="inlineStr">
        <is>
          <t>1996-02-08</t>
        </is>
      </c>
      <c r="X1286" t="inlineStr">
        <is>
          <t>1996-02-08</t>
        </is>
      </c>
      <c r="Y1286" t="n">
        <v>156</v>
      </c>
      <c r="Z1286" t="n">
        <v>135</v>
      </c>
      <c r="AA1286" t="n">
        <v>137</v>
      </c>
      <c r="AB1286" t="n">
        <v>1</v>
      </c>
      <c r="AC1286" t="n">
        <v>1</v>
      </c>
      <c r="AD1286" t="n">
        <v>3</v>
      </c>
      <c r="AE1286" t="n">
        <v>3</v>
      </c>
      <c r="AF1286" t="n">
        <v>2</v>
      </c>
      <c r="AG1286" t="n">
        <v>2</v>
      </c>
      <c r="AH1286" t="n">
        <v>1</v>
      </c>
      <c r="AI1286" t="n">
        <v>1</v>
      </c>
      <c r="AJ1286" t="n">
        <v>1</v>
      </c>
      <c r="AK1286" t="n">
        <v>1</v>
      </c>
      <c r="AL1286" t="n">
        <v>0</v>
      </c>
      <c r="AM1286" t="n">
        <v>0</v>
      </c>
      <c r="AN1286" t="n">
        <v>0</v>
      </c>
      <c r="AO1286" t="n">
        <v>0</v>
      </c>
      <c r="AP1286" t="inlineStr">
        <is>
          <t>No</t>
        </is>
      </c>
      <c r="AQ1286" t="inlineStr">
        <is>
          <t>No</t>
        </is>
      </c>
      <c r="AS1286">
        <f>HYPERLINK("https://creighton-primo.hosted.exlibrisgroup.com/primo-explore/search?tab=default_tab&amp;search_scope=EVERYTHING&amp;vid=01CRU&amp;lang=en_US&amp;offset=0&amp;query=any,contains,991002551059702656","Catalog Record")</f>
        <v/>
      </c>
      <c r="AT1286">
        <f>HYPERLINK("http://www.worldcat.org/oclc/33134223","WorldCat Record")</f>
        <v/>
      </c>
      <c r="AU1286" t="inlineStr">
        <is>
          <t>3740836046:eng</t>
        </is>
      </c>
      <c r="AV1286" t="inlineStr">
        <is>
          <t>33134223</t>
        </is>
      </c>
      <c r="AW1286" t="inlineStr">
        <is>
          <t>991002551059702656</t>
        </is>
      </c>
      <c r="AX1286" t="inlineStr">
        <is>
          <t>991002551059702656</t>
        </is>
      </c>
      <c r="AY1286" t="inlineStr">
        <is>
          <t>2271816130002656</t>
        </is>
      </c>
      <c r="AZ1286" t="inlineStr">
        <is>
          <t>BOOK</t>
        </is>
      </c>
      <c r="BB1286" t="inlineStr">
        <is>
          <t>9781879639300</t>
        </is>
      </c>
      <c r="BC1286" t="inlineStr">
        <is>
          <t>32285002128303</t>
        </is>
      </c>
      <c r="BD1286" t="inlineStr">
        <is>
          <t>893685471</t>
        </is>
      </c>
    </row>
    <row r="1287">
      <c r="A1287" t="inlineStr">
        <is>
          <t>No</t>
        </is>
      </c>
      <c r="B1287" t="inlineStr">
        <is>
          <t>LB2847 .K69 1996</t>
        </is>
      </c>
      <c r="C1287" t="inlineStr">
        <is>
          <t>0                      LB 2847000K  69          1996</t>
        </is>
      </c>
      <c r="D1287" t="inlineStr">
        <is>
          <t>Public relations in educational organizations : practice in an age of information and reform / Theodore J. Kowalski.</t>
        </is>
      </c>
      <c r="F1287" t="inlineStr">
        <is>
          <t>No</t>
        </is>
      </c>
      <c r="G1287" t="inlineStr">
        <is>
          <t>1</t>
        </is>
      </c>
      <c r="H1287" t="inlineStr">
        <is>
          <t>No</t>
        </is>
      </c>
      <c r="I1287" t="inlineStr">
        <is>
          <t>No</t>
        </is>
      </c>
      <c r="J1287" t="inlineStr">
        <is>
          <t>0</t>
        </is>
      </c>
      <c r="K1287" t="inlineStr">
        <is>
          <t>Kowalski, Theodore J.</t>
        </is>
      </c>
      <c r="L1287" t="inlineStr">
        <is>
          <t>Englewood Cliffs, N.J. : Merrill, c1996.</t>
        </is>
      </c>
      <c r="M1287" t="inlineStr">
        <is>
          <t>1996</t>
        </is>
      </c>
      <c r="O1287" t="inlineStr">
        <is>
          <t>eng</t>
        </is>
      </c>
      <c r="P1287" t="inlineStr">
        <is>
          <t>nju</t>
        </is>
      </c>
      <c r="R1287" t="inlineStr">
        <is>
          <t xml:space="preserve">LB </t>
        </is>
      </c>
      <c r="S1287" t="n">
        <v>6</v>
      </c>
      <c r="T1287" t="n">
        <v>6</v>
      </c>
      <c r="U1287" t="inlineStr">
        <is>
          <t>2000-04-06</t>
        </is>
      </c>
      <c r="V1287" t="inlineStr">
        <is>
          <t>2000-04-06</t>
        </is>
      </c>
      <c r="W1287" t="inlineStr">
        <is>
          <t>1996-02-15</t>
        </is>
      </c>
      <c r="X1287" t="inlineStr">
        <is>
          <t>1996-02-15</t>
        </is>
      </c>
      <c r="Y1287" t="n">
        <v>168</v>
      </c>
      <c r="Z1287" t="n">
        <v>146</v>
      </c>
      <c r="AA1287" t="n">
        <v>153</v>
      </c>
      <c r="AB1287" t="n">
        <v>3</v>
      </c>
      <c r="AC1287" t="n">
        <v>3</v>
      </c>
      <c r="AD1287" t="n">
        <v>5</v>
      </c>
      <c r="AE1287" t="n">
        <v>5</v>
      </c>
      <c r="AF1287" t="n">
        <v>0</v>
      </c>
      <c r="AG1287" t="n">
        <v>0</v>
      </c>
      <c r="AH1287" t="n">
        <v>1</v>
      </c>
      <c r="AI1287" t="n">
        <v>1</v>
      </c>
      <c r="AJ1287" t="n">
        <v>3</v>
      </c>
      <c r="AK1287" t="n">
        <v>3</v>
      </c>
      <c r="AL1287" t="n">
        <v>2</v>
      </c>
      <c r="AM1287" t="n">
        <v>2</v>
      </c>
      <c r="AN1287" t="n">
        <v>0</v>
      </c>
      <c r="AO1287" t="n">
        <v>0</v>
      </c>
      <c r="AP1287" t="inlineStr">
        <is>
          <t>No</t>
        </is>
      </c>
      <c r="AQ1287" t="inlineStr">
        <is>
          <t>Yes</t>
        </is>
      </c>
      <c r="AR1287">
        <f>HYPERLINK("http://catalog.hathitrust.org/Record/003030768","HathiTrust Record")</f>
        <v/>
      </c>
      <c r="AS1287">
        <f>HYPERLINK("https://creighton-primo.hosted.exlibrisgroup.com/primo-explore/search?tab=default_tab&amp;search_scope=EVERYTHING&amp;vid=01CRU&amp;lang=en_US&amp;offset=0&amp;query=any,contains,991002525869702656","Catalog Record")</f>
        <v/>
      </c>
      <c r="AT1287">
        <f>HYPERLINK("http://www.worldcat.org/oclc/32853562","WorldCat Record")</f>
        <v/>
      </c>
      <c r="AU1287" t="inlineStr">
        <is>
          <t>37154717:eng</t>
        </is>
      </c>
      <c r="AV1287" t="inlineStr">
        <is>
          <t>32853562</t>
        </is>
      </c>
      <c r="AW1287" t="inlineStr">
        <is>
          <t>991002525869702656</t>
        </is>
      </c>
      <c r="AX1287" t="inlineStr">
        <is>
          <t>991002525869702656</t>
        </is>
      </c>
      <c r="AY1287" t="inlineStr">
        <is>
          <t>2270864270002656</t>
        </is>
      </c>
      <c r="AZ1287" t="inlineStr">
        <is>
          <t>BOOK</t>
        </is>
      </c>
      <c r="BB1287" t="inlineStr">
        <is>
          <t>9780023662355</t>
        </is>
      </c>
      <c r="BC1287" t="inlineStr">
        <is>
          <t>32285002135845</t>
        </is>
      </c>
      <c r="BD1287" t="inlineStr">
        <is>
          <t>893685447</t>
        </is>
      </c>
    </row>
    <row r="1288">
      <c r="A1288" t="inlineStr">
        <is>
          <t>No</t>
        </is>
      </c>
      <c r="B1288" t="inlineStr">
        <is>
          <t>LB2847 .S34 1986</t>
        </is>
      </c>
      <c r="C1288" t="inlineStr">
        <is>
          <t>0                      LB 2847000S  34          1986</t>
        </is>
      </c>
      <c r="D1288" t="inlineStr">
        <is>
          <t>School public relations : the complete book : a source book of proven PR practices.</t>
        </is>
      </c>
      <c r="F1288" t="inlineStr">
        <is>
          <t>No</t>
        </is>
      </c>
      <c r="G1288" t="inlineStr">
        <is>
          <t>1</t>
        </is>
      </c>
      <c r="H1288" t="inlineStr">
        <is>
          <t>No</t>
        </is>
      </c>
      <c r="I1288" t="inlineStr">
        <is>
          <t>No</t>
        </is>
      </c>
      <c r="J1288" t="inlineStr">
        <is>
          <t>0</t>
        </is>
      </c>
      <c r="L1288" t="inlineStr">
        <is>
          <t>Arlington, Va. : Published by the National School Public Relations Association, c1986.</t>
        </is>
      </c>
      <c r="M1288" t="inlineStr">
        <is>
          <t>1986</t>
        </is>
      </c>
      <c r="O1288" t="inlineStr">
        <is>
          <t>eng</t>
        </is>
      </c>
      <c r="P1288" t="inlineStr">
        <is>
          <t>vau</t>
        </is>
      </c>
      <c r="R1288" t="inlineStr">
        <is>
          <t xml:space="preserve">LB </t>
        </is>
      </c>
      <c r="S1288" t="n">
        <v>2</v>
      </c>
      <c r="T1288" t="n">
        <v>2</v>
      </c>
      <c r="U1288" t="inlineStr">
        <is>
          <t>2002-06-24</t>
        </is>
      </c>
      <c r="V1288" t="inlineStr">
        <is>
          <t>2002-06-24</t>
        </is>
      </c>
      <c r="W1288" t="inlineStr">
        <is>
          <t>1992-08-18</t>
        </is>
      </c>
      <c r="X1288" t="inlineStr">
        <is>
          <t>1992-08-18</t>
        </is>
      </c>
      <c r="Y1288" t="n">
        <v>101</v>
      </c>
      <c r="Z1288" t="n">
        <v>99</v>
      </c>
      <c r="AA1288" t="n">
        <v>103</v>
      </c>
      <c r="AB1288" t="n">
        <v>5</v>
      </c>
      <c r="AC1288" t="n">
        <v>5</v>
      </c>
      <c r="AD1288" t="n">
        <v>8</v>
      </c>
      <c r="AE1288" t="n">
        <v>8</v>
      </c>
      <c r="AF1288" t="n">
        <v>2</v>
      </c>
      <c r="AG1288" t="n">
        <v>2</v>
      </c>
      <c r="AH1288" t="n">
        <v>1</v>
      </c>
      <c r="AI1288" t="n">
        <v>1</v>
      </c>
      <c r="AJ1288" t="n">
        <v>4</v>
      </c>
      <c r="AK1288" t="n">
        <v>4</v>
      </c>
      <c r="AL1288" t="n">
        <v>3</v>
      </c>
      <c r="AM1288" t="n">
        <v>3</v>
      </c>
      <c r="AN1288" t="n">
        <v>0</v>
      </c>
      <c r="AO1288" t="n">
        <v>0</v>
      </c>
      <c r="AP1288" t="inlineStr">
        <is>
          <t>No</t>
        </is>
      </c>
      <c r="AQ1288" t="inlineStr">
        <is>
          <t>Yes</t>
        </is>
      </c>
      <c r="AR1288">
        <f>HYPERLINK("http://catalog.hathitrust.org/Record/005415956","HathiTrust Record")</f>
        <v/>
      </c>
      <c r="AS1288">
        <f>HYPERLINK("https://creighton-primo.hosted.exlibrisgroup.com/primo-explore/search?tab=default_tab&amp;search_scope=EVERYTHING&amp;vid=01CRU&amp;lang=en_US&amp;offset=0&amp;query=any,contains,991000963269702656","Catalog Record")</f>
        <v/>
      </c>
      <c r="AT1288">
        <f>HYPERLINK("http://www.worldcat.org/oclc/13658939","WorldCat Record")</f>
        <v/>
      </c>
      <c r="AU1288" t="inlineStr">
        <is>
          <t>902184611:eng</t>
        </is>
      </c>
      <c r="AV1288" t="inlineStr">
        <is>
          <t>13658939</t>
        </is>
      </c>
      <c r="AW1288" t="inlineStr">
        <is>
          <t>991000963269702656</t>
        </is>
      </c>
      <c r="AX1288" t="inlineStr">
        <is>
          <t>991000963269702656</t>
        </is>
      </c>
      <c r="AY1288" t="inlineStr">
        <is>
          <t>2261778000002656</t>
        </is>
      </c>
      <c r="AZ1288" t="inlineStr">
        <is>
          <t>BOOK</t>
        </is>
      </c>
      <c r="BB1288" t="inlineStr">
        <is>
          <t>9780875450513</t>
        </is>
      </c>
      <c r="BC1288" t="inlineStr">
        <is>
          <t>32285001262251</t>
        </is>
      </c>
      <c r="BD1288" t="inlineStr">
        <is>
          <t>893696339</t>
        </is>
      </c>
    </row>
    <row r="1289">
      <c r="A1289" t="inlineStr">
        <is>
          <t>No</t>
        </is>
      </c>
      <c r="B1289" t="inlineStr">
        <is>
          <t>LB2847 .W36 2009</t>
        </is>
      </c>
      <c r="C1289" t="inlineStr">
        <is>
          <t>0                      LB 2847000W  36          2009</t>
        </is>
      </c>
      <c r="D1289" t="inlineStr">
        <is>
          <t>Promoting your school : going beyond PR / Carolyn Warner ; foreword by Jay Mathews.</t>
        </is>
      </c>
      <c r="F1289" t="inlineStr">
        <is>
          <t>No</t>
        </is>
      </c>
      <c r="G1289" t="inlineStr">
        <is>
          <t>1</t>
        </is>
      </c>
      <c r="H1289" t="inlineStr">
        <is>
          <t>No</t>
        </is>
      </c>
      <c r="I1289" t="inlineStr">
        <is>
          <t>No</t>
        </is>
      </c>
      <c r="J1289" t="inlineStr">
        <is>
          <t>0</t>
        </is>
      </c>
      <c r="K1289" t="inlineStr">
        <is>
          <t>Warner, Carolyn.</t>
        </is>
      </c>
      <c r="L1289" t="inlineStr">
        <is>
          <t>Thousand Oaks, Calif. : Corwin Press, c2009.</t>
        </is>
      </c>
      <c r="M1289" t="inlineStr">
        <is>
          <t>2009</t>
        </is>
      </c>
      <c r="N1289" t="inlineStr">
        <is>
          <t>3rd ed.</t>
        </is>
      </c>
      <c r="O1289" t="inlineStr">
        <is>
          <t>eng</t>
        </is>
      </c>
      <c r="P1289" t="inlineStr">
        <is>
          <t>cau</t>
        </is>
      </c>
      <c r="R1289" t="inlineStr">
        <is>
          <t xml:space="preserve">LB </t>
        </is>
      </c>
      <c r="S1289" t="n">
        <v>2</v>
      </c>
      <c r="T1289" t="n">
        <v>2</v>
      </c>
      <c r="U1289" t="inlineStr">
        <is>
          <t>2009-09-24</t>
        </is>
      </c>
      <c r="V1289" t="inlineStr">
        <is>
          <t>2009-09-24</t>
        </is>
      </c>
      <c r="W1289" t="inlineStr">
        <is>
          <t>2009-03-30</t>
        </is>
      </c>
      <c r="X1289" t="inlineStr">
        <is>
          <t>2009-03-30</t>
        </is>
      </c>
      <c r="Y1289" t="n">
        <v>122</v>
      </c>
      <c r="Z1289" t="n">
        <v>94</v>
      </c>
      <c r="AA1289" t="n">
        <v>646</v>
      </c>
      <c r="AB1289" t="n">
        <v>1</v>
      </c>
      <c r="AC1289" t="n">
        <v>6</v>
      </c>
      <c r="AD1289" t="n">
        <v>8</v>
      </c>
      <c r="AE1289" t="n">
        <v>26</v>
      </c>
      <c r="AF1289" t="n">
        <v>5</v>
      </c>
      <c r="AG1289" t="n">
        <v>12</v>
      </c>
      <c r="AH1289" t="n">
        <v>1</v>
      </c>
      <c r="AI1289" t="n">
        <v>4</v>
      </c>
      <c r="AJ1289" t="n">
        <v>4</v>
      </c>
      <c r="AK1289" t="n">
        <v>11</v>
      </c>
      <c r="AL1289" t="n">
        <v>0</v>
      </c>
      <c r="AM1289" t="n">
        <v>5</v>
      </c>
      <c r="AN1289" t="n">
        <v>0</v>
      </c>
      <c r="AO1289" t="n">
        <v>0</v>
      </c>
      <c r="AP1289" t="inlineStr">
        <is>
          <t>No</t>
        </is>
      </c>
      <c r="AQ1289" t="inlineStr">
        <is>
          <t>Yes</t>
        </is>
      </c>
      <c r="AR1289">
        <f>HYPERLINK("http://catalog.hathitrust.org/Record/102063218","HathiTrust Record")</f>
        <v/>
      </c>
      <c r="AS1289">
        <f>HYPERLINK("https://creighton-primo.hosted.exlibrisgroup.com/primo-explore/search?tab=default_tab&amp;search_scope=EVERYTHING&amp;vid=01CRU&amp;lang=en_US&amp;offset=0&amp;query=any,contains,991005303639702656","Catalog Record")</f>
        <v/>
      </c>
      <c r="AT1289">
        <f>HYPERLINK("http://www.worldcat.org/oclc/230193418","WorldCat Record")</f>
        <v/>
      </c>
      <c r="AU1289" t="inlineStr">
        <is>
          <t>31358589:eng</t>
        </is>
      </c>
      <c r="AV1289" t="inlineStr">
        <is>
          <t>230193418</t>
        </is>
      </c>
      <c r="AW1289" t="inlineStr">
        <is>
          <t>991005303639702656</t>
        </is>
      </c>
      <c r="AX1289" t="inlineStr">
        <is>
          <t>991005303639702656</t>
        </is>
      </c>
      <c r="AY1289" t="inlineStr">
        <is>
          <t>2257737120002656</t>
        </is>
      </c>
      <c r="AZ1289" t="inlineStr">
        <is>
          <t>BOOK</t>
        </is>
      </c>
      <c r="BB1289" t="inlineStr">
        <is>
          <t>9781412958127</t>
        </is>
      </c>
      <c r="BC1289" t="inlineStr">
        <is>
          <t>32285005510838</t>
        </is>
      </c>
      <c r="BD1289" t="inlineStr">
        <is>
          <t>893344995</t>
        </is>
      </c>
    </row>
    <row r="1290">
      <c r="A1290" t="inlineStr">
        <is>
          <t>No</t>
        </is>
      </c>
      <c r="B1290" t="inlineStr">
        <is>
          <t>LB2862 .B76 1990</t>
        </is>
      </c>
      <c r="C1290" t="inlineStr">
        <is>
          <t>0                      LB 2862000B  76          1990</t>
        </is>
      </c>
      <c r="D1290" t="inlineStr">
        <is>
          <t>Decentralization and school-based management / by Daniel J. Brown.</t>
        </is>
      </c>
      <c r="F1290" t="inlineStr">
        <is>
          <t>No</t>
        </is>
      </c>
      <c r="G1290" t="inlineStr">
        <is>
          <t>1</t>
        </is>
      </c>
      <c r="H1290" t="inlineStr">
        <is>
          <t>No</t>
        </is>
      </c>
      <c r="I1290" t="inlineStr">
        <is>
          <t>No</t>
        </is>
      </c>
      <c r="J1290" t="inlineStr">
        <is>
          <t>0</t>
        </is>
      </c>
      <c r="K1290" t="inlineStr">
        <is>
          <t>Brown, Daniel J., 1941-</t>
        </is>
      </c>
      <c r="L1290" t="inlineStr">
        <is>
          <t>London ; New York : Falmer Press, 1990.</t>
        </is>
      </c>
      <c r="M1290" t="inlineStr">
        <is>
          <t>1990</t>
        </is>
      </c>
      <c r="O1290" t="inlineStr">
        <is>
          <t>eng</t>
        </is>
      </c>
      <c r="P1290" t="inlineStr">
        <is>
          <t>enk</t>
        </is>
      </c>
      <c r="R1290" t="inlineStr">
        <is>
          <t xml:space="preserve">LB </t>
        </is>
      </c>
      <c r="S1290" t="n">
        <v>2</v>
      </c>
      <c r="T1290" t="n">
        <v>2</v>
      </c>
      <c r="U1290" t="inlineStr">
        <is>
          <t>2001-10-24</t>
        </is>
      </c>
      <c r="V1290" t="inlineStr">
        <is>
          <t>2001-10-24</t>
        </is>
      </c>
      <c r="W1290" t="inlineStr">
        <is>
          <t>1990-11-27</t>
        </is>
      </c>
      <c r="X1290" t="inlineStr">
        <is>
          <t>1990-11-27</t>
        </is>
      </c>
      <c r="Y1290" t="n">
        <v>318</v>
      </c>
      <c r="Z1290" t="n">
        <v>204</v>
      </c>
      <c r="AA1290" t="n">
        <v>208</v>
      </c>
      <c r="AB1290" t="n">
        <v>3</v>
      </c>
      <c r="AC1290" t="n">
        <v>3</v>
      </c>
      <c r="AD1290" t="n">
        <v>14</v>
      </c>
      <c r="AE1290" t="n">
        <v>14</v>
      </c>
      <c r="AF1290" t="n">
        <v>4</v>
      </c>
      <c r="AG1290" t="n">
        <v>4</v>
      </c>
      <c r="AH1290" t="n">
        <v>2</v>
      </c>
      <c r="AI1290" t="n">
        <v>2</v>
      </c>
      <c r="AJ1290" t="n">
        <v>10</v>
      </c>
      <c r="AK1290" t="n">
        <v>10</v>
      </c>
      <c r="AL1290" t="n">
        <v>2</v>
      </c>
      <c r="AM1290" t="n">
        <v>2</v>
      </c>
      <c r="AN1290" t="n">
        <v>0</v>
      </c>
      <c r="AO1290" t="n">
        <v>0</v>
      </c>
      <c r="AP1290" t="inlineStr">
        <is>
          <t>No</t>
        </is>
      </c>
      <c r="AQ1290" t="inlineStr">
        <is>
          <t>Yes</t>
        </is>
      </c>
      <c r="AR1290">
        <f>HYPERLINK("http://catalog.hathitrust.org/Record/001837497","HathiTrust Record")</f>
        <v/>
      </c>
      <c r="AS1290">
        <f>HYPERLINK("https://creighton-primo.hosted.exlibrisgroup.com/primo-explore/search?tab=default_tab&amp;search_scope=EVERYTHING&amp;vid=01CRU&amp;lang=en_US&amp;offset=0&amp;query=any,contains,991001592219702656","Catalog Record")</f>
        <v/>
      </c>
      <c r="AT1290">
        <f>HYPERLINK("http://www.worldcat.org/oclc/20593698","WorldCat Record")</f>
        <v/>
      </c>
      <c r="AU1290" t="inlineStr">
        <is>
          <t>21746691:eng</t>
        </is>
      </c>
      <c r="AV1290" t="inlineStr">
        <is>
          <t>20593698</t>
        </is>
      </c>
      <c r="AW1290" t="inlineStr">
        <is>
          <t>991001592219702656</t>
        </is>
      </c>
      <c r="AX1290" t="inlineStr">
        <is>
          <t>991001592219702656</t>
        </is>
      </c>
      <c r="AY1290" t="inlineStr">
        <is>
          <t>2267018600002656</t>
        </is>
      </c>
      <c r="AZ1290" t="inlineStr">
        <is>
          <t>BOOK</t>
        </is>
      </c>
      <c r="BB1290" t="inlineStr">
        <is>
          <t>9781850006015</t>
        </is>
      </c>
      <c r="BC1290" t="inlineStr">
        <is>
          <t>32285000357219</t>
        </is>
      </c>
      <c r="BD1290" t="inlineStr">
        <is>
          <t>893690695</t>
        </is>
      </c>
    </row>
    <row r="1291">
      <c r="A1291" t="inlineStr">
        <is>
          <t>No</t>
        </is>
      </c>
      <c r="B1291" t="inlineStr">
        <is>
          <t>LB2862 .B77 1991</t>
        </is>
      </c>
      <c r="C1291" t="inlineStr">
        <is>
          <t>0                      LB 2862000B  77          1991</t>
        </is>
      </c>
      <c r="D1291" t="inlineStr">
        <is>
          <t>Decentralization : the administrator's guidebook to school district change / by Daniel J. Brown.</t>
        </is>
      </c>
      <c r="F1291" t="inlineStr">
        <is>
          <t>No</t>
        </is>
      </c>
      <c r="G1291" t="inlineStr">
        <is>
          <t>1</t>
        </is>
      </c>
      <c r="H1291" t="inlineStr">
        <is>
          <t>No</t>
        </is>
      </c>
      <c r="I1291" t="inlineStr">
        <is>
          <t>No</t>
        </is>
      </c>
      <c r="J1291" t="inlineStr">
        <is>
          <t>0</t>
        </is>
      </c>
      <c r="K1291" t="inlineStr">
        <is>
          <t>Brown, Daniel J., 1941-</t>
        </is>
      </c>
      <c r="L1291" t="inlineStr">
        <is>
          <t>Newbury Park, Calif. : Corwin Press, c1991.</t>
        </is>
      </c>
      <c r="M1291" t="inlineStr">
        <is>
          <t>1991</t>
        </is>
      </c>
      <c r="O1291" t="inlineStr">
        <is>
          <t>eng</t>
        </is>
      </c>
      <c r="P1291" t="inlineStr">
        <is>
          <t>cau</t>
        </is>
      </c>
      <c r="R1291" t="inlineStr">
        <is>
          <t xml:space="preserve">LB </t>
        </is>
      </c>
      <c r="S1291" t="n">
        <v>3</v>
      </c>
      <c r="T1291" t="n">
        <v>3</v>
      </c>
      <c r="U1291" t="inlineStr">
        <is>
          <t>2001-11-19</t>
        </is>
      </c>
      <c r="V1291" t="inlineStr">
        <is>
          <t>2001-11-19</t>
        </is>
      </c>
      <c r="W1291" t="inlineStr">
        <is>
          <t>1991-11-26</t>
        </is>
      </c>
      <c r="X1291" t="inlineStr">
        <is>
          <t>1991-11-26</t>
        </is>
      </c>
      <c r="Y1291" t="n">
        <v>244</v>
      </c>
      <c r="Z1291" t="n">
        <v>198</v>
      </c>
      <c r="AA1291" t="n">
        <v>204</v>
      </c>
      <c r="AB1291" t="n">
        <v>2</v>
      </c>
      <c r="AC1291" t="n">
        <v>2</v>
      </c>
      <c r="AD1291" t="n">
        <v>12</v>
      </c>
      <c r="AE1291" t="n">
        <v>12</v>
      </c>
      <c r="AF1291" t="n">
        <v>5</v>
      </c>
      <c r="AG1291" t="n">
        <v>5</v>
      </c>
      <c r="AH1291" t="n">
        <v>2</v>
      </c>
      <c r="AI1291" t="n">
        <v>2</v>
      </c>
      <c r="AJ1291" t="n">
        <v>7</v>
      </c>
      <c r="AK1291" t="n">
        <v>7</v>
      </c>
      <c r="AL1291" t="n">
        <v>1</v>
      </c>
      <c r="AM1291" t="n">
        <v>1</v>
      </c>
      <c r="AN1291" t="n">
        <v>0</v>
      </c>
      <c r="AO1291" t="n">
        <v>0</v>
      </c>
      <c r="AP1291" t="inlineStr">
        <is>
          <t>No</t>
        </is>
      </c>
      <c r="AQ1291" t="inlineStr">
        <is>
          <t>No</t>
        </is>
      </c>
      <c r="AS1291">
        <f>HYPERLINK("https://creighton-primo.hosted.exlibrisgroup.com/primo-explore/search?tab=default_tab&amp;search_scope=EVERYTHING&amp;vid=01CRU&amp;lang=en_US&amp;offset=0&amp;query=any,contains,991001853789702656","Catalog Record")</f>
        <v/>
      </c>
      <c r="AT1291">
        <f>HYPERLINK("http://www.worldcat.org/oclc/23254377","WorldCat Record")</f>
        <v/>
      </c>
      <c r="AU1291" t="inlineStr">
        <is>
          <t>24730615:eng</t>
        </is>
      </c>
      <c r="AV1291" t="inlineStr">
        <is>
          <t>23254377</t>
        </is>
      </c>
      <c r="AW1291" t="inlineStr">
        <is>
          <t>991001853789702656</t>
        </is>
      </c>
      <c r="AX1291" t="inlineStr">
        <is>
          <t>991001853789702656</t>
        </is>
      </c>
      <c r="AY1291" t="inlineStr">
        <is>
          <t>2266530980002656</t>
        </is>
      </c>
      <c r="AZ1291" t="inlineStr">
        <is>
          <t>BOOK</t>
        </is>
      </c>
      <c r="BB1291" t="inlineStr">
        <is>
          <t>9780803960053</t>
        </is>
      </c>
      <c r="BC1291" t="inlineStr">
        <is>
          <t>32285000817675</t>
        </is>
      </c>
      <c r="BD1291" t="inlineStr">
        <is>
          <t>893684701</t>
        </is>
      </c>
    </row>
    <row r="1292">
      <c r="A1292" t="inlineStr">
        <is>
          <t>No</t>
        </is>
      </c>
      <c r="B1292" t="inlineStr">
        <is>
          <t>LB2864.5 .C66 1990</t>
        </is>
      </c>
      <c r="C1292" t="inlineStr">
        <is>
          <t>0                      LB 2864500C  66          1990</t>
        </is>
      </c>
      <c r="D1292" t="inlineStr">
        <is>
          <t>Containing crisis : a guide to managing school emergencies / Robert S. Watson ... [et al.].</t>
        </is>
      </c>
      <c r="F1292" t="inlineStr">
        <is>
          <t>No</t>
        </is>
      </c>
      <c r="G1292" t="inlineStr">
        <is>
          <t>1</t>
        </is>
      </c>
      <c r="H1292" t="inlineStr">
        <is>
          <t>No</t>
        </is>
      </c>
      <c r="I1292" t="inlineStr">
        <is>
          <t>No</t>
        </is>
      </c>
      <c r="J1292" t="inlineStr">
        <is>
          <t>0</t>
        </is>
      </c>
      <c r="L1292" t="inlineStr">
        <is>
          <t>Bloomington, Ind. (P.O. Box 8, Bloomington 47402) : National Educational Service, 1990.</t>
        </is>
      </c>
      <c r="M1292" t="inlineStr">
        <is>
          <t>1990</t>
        </is>
      </c>
      <c r="O1292" t="inlineStr">
        <is>
          <t>eng</t>
        </is>
      </c>
      <c r="P1292" t="inlineStr">
        <is>
          <t>inu</t>
        </is>
      </c>
      <c r="R1292" t="inlineStr">
        <is>
          <t xml:space="preserve">LB </t>
        </is>
      </c>
      <c r="S1292" t="n">
        <v>4</v>
      </c>
      <c r="T1292" t="n">
        <v>4</v>
      </c>
      <c r="U1292" t="inlineStr">
        <is>
          <t>2004-03-25</t>
        </is>
      </c>
      <c r="V1292" t="inlineStr">
        <is>
          <t>2004-03-25</t>
        </is>
      </c>
      <c r="W1292" t="inlineStr">
        <is>
          <t>1996-02-08</t>
        </is>
      </c>
      <c r="X1292" t="inlineStr">
        <is>
          <t>1996-02-08</t>
        </is>
      </c>
      <c r="Y1292" t="n">
        <v>182</v>
      </c>
      <c r="Z1292" t="n">
        <v>169</v>
      </c>
      <c r="AA1292" t="n">
        <v>171</v>
      </c>
      <c r="AB1292" t="n">
        <v>1</v>
      </c>
      <c r="AC1292" t="n">
        <v>1</v>
      </c>
      <c r="AD1292" t="n">
        <v>7</v>
      </c>
      <c r="AE1292" t="n">
        <v>7</v>
      </c>
      <c r="AF1292" t="n">
        <v>3</v>
      </c>
      <c r="AG1292" t="n">
        <v>3</v>
      </c>
      <c r="AH1292" t="n">
        <v>1</v>
      </c>
      <c r="AI1292" t="n">
        <v>1</v>
      </c>
      <c r="AJ1292" t="n">
        <v>5</v>
      </c>
      <c r="AK1292" t="n">
        <v>5</v>
      </c>
      <c r="AL1292" t="n">
        <v>0</v>
      </c>
      <c r="AM1292" t="n">
        <v>0</v>
      </c>
      <c r="AN1292" t="n">
        <v>0</v>
      </c>
      <c r="AO1292" t="n">
        <v>0</v>
      </c>
      <c r="AP1292" t="inlineStr">
        <is>
          <t>No</t>
        </is>
      </c>
      <c r="AQ1292" t="inlineStr">
        <is>
          <t>No</t>
        </is>
      </c>
      <c r="AS1292">
        <f>HYPERLINK("https://creighton-primo.hosted.exlibrisgroup.com/primo-explore/search?tab=default_tab&amp;search_scope=EVERYTHING&amp;vid=01CRU&amp;lang=en_US&amp;offset=0&amp;query=any,contains,991001793129702656","Catalog Record")</f>
        <v/>
      </c>
      <c r="AT1292">
        <f>HYPERLINK("http://www.worldcat.org/oclc/22574720","WorldCat Record")</f>
        <v/>
      </c>
      <c r="AU1292" t="inlineStr">
        <is>
          <t>24243581:eng</t>
        </is>
      </c>
      <c r="AV1292" t="inlineStr">
        <is>
          <t>22574720</t>
        </is>
      </c>
      <c r="AW1292" t="inlineStr">
        <is>
          <t>991001793129702656</t>
        </is>
      </c>
      <c r="AX1292" t="inlineStr">
        <is>
          <t>991001793129702656</t>
        </is>
      </c>
      <c r="AY1292" t="inlineStr">
        <is>
          <t>2261096060002656</t>
        </is>
      </c>
      <c r="AZ1292" t="inlineStr">
        <is>
          <t>BOOK</t>
        </is>
      </c>
      <c r="BC1292" t="inlineStr">
        <is>
          <t>32285002128584</t>
        </is>
      </c>
      <c r="BD1292" t="inlineStr">
        <is>
          <t>893426869</t>
        </is>
      </c>
    </row>
    <row r="1293">
      <c r="A1293" t="inlineStr">
        <is>
          <t>No</t>
        </is>
      </c>
      <c r="B1293" t="inlineStr">
        <is>
          <t>LB2864.5 .M56 1991</t>
        </is>
      </c>
      <c r="C1293" t="inlineStr">
        <is>
          <t>0                      LB 2864500M  56          1991</t>
        </is>
      </c>
      <c r="D1293" t="inlineStr">
        <is>
          <t>Risk management in schools : a guide to minimizing liability / Jacqueline K. Minor, Vern B. Minor.</t>
        </is>
      </c>
      <c r="F1293" t="inlineStr">
        <is>
          <t>No</t>
        </is>
      </c>
      <c r="G1293" t="inlineStr">
        <is>
          <t>1</t>
        </is>
      </c>
      <c r="H1293" t="inlineStr">
        <is>
          <t>No</t>
        </is>
      </c>
      <c r="I1293" t="inlineStr">
        <is>
          <t>No</t>
        </is>
      </c>
      <c r="J1293" t="inlineStr">
        <is>
          <t>0</t>
        </is>
      </c>
      <c r="K1293" t="inlineStr">
        <is>
          <t>Minor, Jacqueline K.</t>
        </is>
      </c>
      <c r="L1293" t="inlineStr">
        <is>
          <t>Newbury Park, Calif. : Corwin Press, c1991.</t>
        </is>
      </c>
      <c r="M1293" t="inlineStr">
        <is>
          <t>1991</t>
        </is>
      </c>
      <c r="O1293" t="inlineStr">
        <is>
          <t>eng</t>
        </is>
      </c>
      <c r="P1293" t="inlineStr">
        <is>
          <t>cau</t>
        </is>
      </c>
      <c r="R1293" t="inlineStr">
        <is>
          <t xml:space="preserve">LB </t>
        </is>
      </c>
      <c r="S1293" t="n">
        <v>4</v>
      </c>
      <c r="T1293" t="n">
        <v>4</v>
      </c>
      <c r="U1293" t="inlineStr">
        <is>
          <t>1999-06-07</t>
        </is>
      </c>
      <c r="V1293" t="inlineStr">
        <is>
          <t>1999-06-07</t>
        </is>
      </c>
      <c r="W1293" t="inlineStr">
        <is>
          <t>1992-04-30</t>
        </is>
      </c>
      <c r="X1293" t="inlineStr">
        <is>
          <t>1992-04-30</t>
        </is>
      </c>
      <c r="Y1293" t="n">
        <v>138</v>
      </c>
      <c r="Z1293" t="n">
        <v>112</v>
      </c>
      <c r="AA1293" t="n">
        <v>114</v>
      </c>
      <c r="AB1293" t="n">
        <v>3</v>
      </c>
      <c r="AC1293" t="n">
        <v>3</v>
      </c>
      <c r="AD1293" t="n">
        <v>4</v>
      </c>
      <c r="AE1293" t="n">
        <v>4</v>
      </c>
      <c r="AF1293" t="n">
        <v>1</v>
      </c>
      <c r="AG1293" t="n">
        <v>1</v>
      </c>
      <c r="AH1293" t="n">
        <v>0</v>
      </c>
      <c r="AI1293" t="n">
        <v>0</v>
      </c>
      <c r="AJ1293" t="n">
        <v>1</v>
      </c>
      <c r="AK1293" t="n">
        <v>1</v>
      </c>
      <c r="AL1293" t="n">
        <v>2</v>
      </c>
      <c r="AM1293" t="n">
        <v>2</v>
      </c>
      <c r="AN1293" t="n">
        <v>0</v>
      </c>
      <c r="AO1293" t="n">
        <v>0</v>
      </c>
      <c r="AP1293" t="inlineStr">
        <is>
          <t>No</t>
        </is>
      </c>
      <c r="AQ1293" t="inlineStr">
        <is>
          <t>Yes</t>
        </is>
      </c>
      <c r="AR1293">
        <f>HYPERLINK("http://catalog.hathitrust.org/Record/101938511","HathiTrust Record")</f>
        <v/>
      </c>
      <c r="AS1293">
        <f>HYPERLINK("https://creighton-primo.hosted.exlibrisgroup.com/primo-explore/search?tab=default_tab&amp;search_scope=EVERYTHING&amp;vid=01CRU&amp;lang=en_US&amp;offset=0&amp;query=any,contains,991001921729702656","Catalog Record")</f>
        <v/>
      </c>
      <c r="AT1293">
        <f>HYPERLINK("http://www.worldcat.org/oclc/24247555","WorldCat Record")</f>
        <v/>
      </c>
      <c r="AU1293" t="inlineStr">
        <is>
          <t>836763876:eng</t>
        </is>
      </c>
      <c r="AV1293" t="inlineStr">
        <is>
          <t>24247555</t>
        </is>
      </c>
      <c r="AW1293" t="inlineStr">
        <is>
          <t>991001921729702656</t>
        </is>
      </c>
      <c r="AX1293" t="inlineStr">
        <is>
          <t>991001921729702656</t>
        </is>
      </c>
      <c r="AY1293" t="inlineStr">
        <is>
          <t>2262058200002656</t>
        </is>
      </c>
      <c r="AZ1293" t="inlineStr">
        <is>
          <t>BOOK</t>
        </is>
      </c>
      <c r="BB1293" t="inlineStr">
        <is>
          <t>9780803960060</t>
        </is>
      </c>
      <c r="BC1293" t="inlineStr">
        <is>
          <t>32285001037703</t>
        </is>
      </c>
      <c r="BD1293" t="inlineStr">
        <is>
          <t>893872891</t>
        </is>
      </c>
    </row>
    <row r="1294">
      <c r="A1294" t="inlineStr">
        <is>
          <t>No</t>
        </is>
      </c>
      <c r="B1294" t="inlineStr">
        <is>
          <t>LB2866 .H39 2001</t>
        </is>
      </c>
      <c r="C1294" t="inlineStr">
        <is>
          <t>0                      LB 2866000H  39          2001</t>
        </is>
      </c>
      <c r="D1294" t="inlineStr">
        <is>
          <t>Essential strategies for school security : a practical guide for teachers and school administrators / by Richard A. Haynes and Catherine L. Henderson.</t>
        </is>
      </c>
      <c r="F1294" t="inlineStr">
        <is>
          <t>No</t>
        </is>
      </c>
      <c r="G1294" t="inlineStr">
        <is>
          <t>1</t>
        </is>
      </c>
      <c r="H1294" t="inlineStr">
        <is>
          <t>No</t>
        </is>
      </c>
      <c r="I1294" t="inlineStr">
        <is>
          <t>No</t>
        </is>
      </c>
      <c r="J1294" t="inlineStr">
        <is>
          <t>0</t>
        </is>
      </c>
      <c r="K1294" t="inlineStr">
        <is>
          <t>Haynes, Richard A.</t>
        </is>
      </c>
      <c r="L1294" t="inlineStr">
        <is>
          <t>Springfield, Ill. : C.C. Thomas, c2001.</t>
        </is>
      </c>
      <c r="M1294" t="inlineStr">
        <is>
          <t>2001</t>
        </is>
      </c>
      <c r="O1294" t="inlineStr">
        <is>
          <t>eng</t>
        </is>
      </c>
      <c r="P1294" t="inlineStr">
        <is>
          <t>ilu</t>
        </is>
      </c>
      <c r="R1294" t="inlineStr">
        <is>
          <t xml:space="preserve">LB </t>
        </is>
      </c>
      <c r="S1294" t="n">
        <v>2</v>
      </c>
      <c r="T1294" t="n">
        <v>2</v>
      </c>
      <c r="U1294" t="inlineStr">
        <is>
          <t>2004-11-23</t>
        </is>
      </c>
      <c r="V1294" t="inlineStr">
        <is>
          <t>2004-11-23</t>
        </is>
      </c>
      <c r="W1294" t="inlineStr">
        <is>
          <t>2001-08-30</t>
        </is>
      </c>
      <c r="X1294" t="inlineStr">
        <is>
          <t>2001-08-30</t>
        </is>
      </c>
      <c r="Y1294" t="n">
        <v>167</v>
      </c>
      <c r="Z1294" t="n">
        <v>155</v>
      </c>
      <c r="AA1294" t="n">
        <v>163</v>
      </c>
      <c r="AB1294" t="n">
        <v>2</v>
      </c>
      <c r="AC1294" t="n">
        <v>2</v>
      </c>
      <c r="AD1294" t="n">
        <v>9</v>
      </c>
      <c r="AE1294" t="n">
        <v>9</v>
      </c>
      <c r="AF1294" t="n">
        <v>2</v>
      </c>
      <c r="AG1294" t="n">
        <v>2</v>
      </c>
      <c r="AH1294" t="n">
        <v>1</v>
      </c>
      <c r="AI1294" t="n">
        <v>1</v>
      </c>
      <c r="AJ1294" t="n">
        <v>7</v>
      </c>
      <c r="AK1294" t="n">
        <v>7</v>
      </c>
      <c r="AL1294" t="n">
        <v>1</v>
      </c>
      <c r="AM1294" t="n">
        <v>1</v>
      </c>
      <c r="AN1294" t="n">
        <v>0</v>
      </c>
      <c r="AO1294" t="n">
        <v>0</v>
      </c>
      <c r="AP1294" t="inlineStr">
        <is>
          <t>No</t>
        </is>
      </c>
      <c r="AQ1294" t="inlineStr">
        <is>
          <t>Yes</t>
        </is>
      </c>
      <c r="AR1294">
        <f>HYPERLINK("http://catalog.hathitrust.org/Record/004180913","HathiTrust Record")</f>
        <v/>
      </c>
      <c r="AS1294">
        <f>HYPERLINK("https://creighton-primo.hosted.exlibrisgroup.com/primo-explore/search?tab=default_tab&amp;search_scope=EVERYTHING&amp;vid=01CRU&amp;lang=en_US&amp;offset=0&amp;query=any,contains,991003612139702656","Catalog Record")</f>
        <v/>
      </c>
      <c r="AT1294">
        <f>HYPERLINK("http://www.worldcat.org/oclc/45636827","WorldCat Record")</f>
        <v/>
      </c>
      <c r="AU1294" t="inlineStr">
        <is>
          <t>35822435:eng</t>
        </is>
      </c>
      <c r="AV1294" t="inlineStr">
        <is>
          <t>45636827</t>
        </is>
      </c>
      <c r="AW1294" t="inlineStr">
        <is>
          <t>991003612139702656</t>
        </is>
      </c>
      <c r="AX1294" t="inlineStr">
        <is>
          <t>991003612139702656</t>
        </is>
      </c>
      <c r="AY1294" t="inlineStr">
        <is>
          <t>2261658340002656</t>
        </is>
      </c>
      <c r="AZ1294" t="inlineStr">
        <is>
          <t>BOOK</t>
        </is>
      </c>
      <c r="BB1294" t="inlineStr">
        <is>
          <t>9780398071776</t>
        </is>
      </c>
      <c r="BC1294" t="inlineStr">
        <is>
          <t>32285004383625</t>
        </is>
      </c>
      <c r="BD1294" t="inlineStr">
        <is>
          <t>893611226</t>
        </is>
      </c>
    </row>
    <row r="1295">
      <c r="A1295" t="inlineStr">
        <is>
          <t>No</t>
        </is>
      </c>
      <c r="B1295" t="inlineStr">
        <is>
          <t>LB2866.5 .J35 2007</t>
        </is>
      </c>
      <c r="C1295" t="inlineStr">
        <is>
          <t>0                      LB 2866500J  35          2007</t>
        </is>
      </c>
      <c r="D1295" t="inlineStr">
        <is>
          <t>Toward successful school crisis intervention : 9 key issues / Charles M. Jaksec III.</t>
        </is>
      </c>
      <c r="F1295" t="inlineStr">
        <is>
          <t>No</t>
        </is>
      </c>
      <c r="G1295" t="inlineStr">
        <is>
          <t>1</t>
        </is>
      </c>
      <c r="H1295" t="inlineStr">
        <is>
          <t>No</t>
        </is>
      </c>
      <c r="I1295" t="inlineStr">
        <is>
          <t>No</t>
        </is>
      </c>
      <c r="J1295" t="inlineStr">
        <is>
          <t>0</t>
        </is>
      </c>
      <c r="K1295" t="inlineStr">
        <is>
          <t>Jaksec, Charles M.</t>
        </is>
      </c>
      <c r="L1295" t="inlineStr">
        <is>
          <t>Thousand Oaks, CA : Corwin Press, c2007.</t>
        </is>
      </c>
      <c r="M1295" t="inlineStr">
        <is>
          <t>2007</t>
        </is>
      </c>
      <c r="O1295" t="inlineStr">
        <is>
          <t>eng</t>
        </is>
      </c>
      <c r="P1295" t="inlineStr">
        <is>
          <t>cau</t>
        </is>
      </c>
      <c r="R1295" t="inlineStr">
        <is>
          <t xml:space="preserve">LB </t>
        </is>
      </c>
      <c r="S1295" t="n">
        <v>2</v>
      </c>
      <c r="T1295" t="n">
        <v>2</v>
      </c>
      <c r="U1295" t="inlineStr">
        <is>
          <t>2007-09-12</t>
        </is>
      </c>
      <c r="V1295" t="inlineStr">
        <is>
          <t>2007-09-12</t>
        </is>
      </c>
      <c r="W1295" t="inlineStr">
        <is>
          <t>2007-07-17</t>
        </is>
      </c>
      <c r="X1295" t="inlineStr">
        <is>
          <t>2007-07-17</t>
        </is>
      </c>
      <c r="Y1295" t="n">
        <v>194</v>
      </c>
      <c r="Z1295" t="n">
        <v>168</v>
      </c>
      <c r="AA1295" t="n">
        <v>185</v>
      </c>
      <c r="AB1295" t="n">
        <v>2</v>
      </c>
      <c r="AC1295" t="n">
        <v>3</v>
      </c>
      <c r="AD1295" t="n">
        <v>10</v>
      </c>
      <c r="AE1295" t="n">
        <v>12</v>
      </c>
      <c r="AF1295" t="n">
        <v>4</v>
      </c>
      <c r="AG1295" t="n">
        <v>5</v>
      </c>
      <c r="AH1295" t="n">
        <v>1</v>
      </c>
      <c r="AI1295" t="n">
        <v>2</v>
      </c>
      <c r="AJ1295" t="n">
        <v>7</v>
      </c>
      <c r="AK1295" t="n">
        <v>7</v>
      </c>
      <c r="AL1295" t="n">
        <v>1</v>
      </c>
      <c r="AM1295" t="n">
        <v>2</v>
      </c>
      <c r="AN1295" t="n">
        <v>0</v>
      </c>
      <c r="AO1295" t="n">
        <v>0</v>
      </c>
      <c r="AP1295" t="inlineStr">
        <is>
          <t>No</t>
        </is>
      </c>
      <c r="AQ1295" t="inlineStr">
        <is>
          <t>No</t>
        </is>
      </c>
      <c r="AS1295">
        <f>HYPERLINK("https://creighton-primo.hosted.exlibrisgroup.com/primo-explore/search?tab=default_tab&amp;search_scope=EVERYTHING&amp;vid=01CRU&amp;lang=en_US&amp;offset=0&amp;query=any,contains,991005100219702656","Catalog Record")</f>
        <v/>
      </c>
      <c r="AT1295">
        <f>HYPERLINK("http://www.worldcat.org/oclc/77271208","WorldCat Record")</f>
        <v/>
      </c>
      <c r="AU1295" t="inlineStr">
        <is>
          <t>449137634:eng</t>
        </is>
      </c>
      <c r="AV1295" t="inlineStr">
        <is>
          <t>77271208</t>
        </is>
      </c>
      <c r="AW1295" t="inlineStr">
        <is>
          <t>991005100219702656</t>
        </is>
      </c>
      <c r="AX1295" t="inlineStr">
        <is>
          <t>991005100219702656</t>
        </is>
      </c>
      <c r="AY1295" t="inlineStr">
        <is>
          <t>2263048530002656</t>
        </is>
      </c>
      <c r="AZ1295" t="inlineStr">
        <is>
          <t>BOOK</t>
        </is>
      </c>
      <c r="BB1295" t="inlineStr">
        <is>
          <t>9781412948876</t>
        </is>
      </c>
      <c r="BC1295" t="inlineStr">
        <is>
          <t>32285005319669</t>
        </is>
      </c>
      <c r="BD1295" t="inlineStr">
        <is>
          <t>893606830</t>
        </is>
      </c>
    </row>
    <row r="1296">
      <c r="A1296" t="inlineStr">
        <is>
          <t>No</t>
        </is>
      </c>
      <c r="B1296" t="inlineStr">
        <is>
          <t>LB2866.5 .S48 2006</t>
        </is>
      </c>
      <c r="C1296" t="inlineStr">
        <is>
          <t>0                      LB 2866500S  48          2006</t>
        </is>
      </c>
      <c r="D1296" t="inlineStr">
        <is>
          <t>When a school crisis occurs : what parents and stakeholders want to know / Helen M. Sharp.</t>
        </is>
      </c>
      <c r="F1296" t="inlineStr">
        <is>
          <t>No</t>
        </is>
      </c>
      <c r="G1296" t="inlineStr">
        <is>
          <t>1</t>
        </is>
      </c>
      <c r="H1296" t="inlineStr">
        <is>
          <t>No</t>
        </is>
      </c>
      <c r="I1296" t="inlineStr">
        <is>
          <t>No</t>
        </is>
      </c>
      <c r="J1296" t="inlineStr">
        <is>
          <t>0</t>
        </is>
      </c>
      <c r="K1296" t="inlineStr">
        <is>
          <t>Sharp, Helen M.</t>
        </is>
      </c>
      <c r="L1296" t="inlineStr">
        <is>
          <t>Lanham, Md. : Rowman &amp; Littlefield Education, c2006.</t>
        </is>
      </c>
      <c r="M1296" t="inlineStr">
        <is>
          <t>2006</t>
        </is>
      </c>
      <c r="O1296" t="inlineStr">
        <is>
          <t>eng</t>
        </is>
      </c>
      <c r="P1296" t="inlineStr">
        <is>
          <t>mdu</t>
        </is>
      </c>
      <c r="R1296" t="inlineStr">
        <is>
          <t xml:space="preserve">LB </t>
        </is>
      </c>
      <c r="S1296" t="n">
        <v>3</v>
      </c>
      <c r="T1296" t="n">
        <v>3</v>
      </c>
      <c r="U1296" t="inlineStr">
        <is>
          <t>2007-06-20</t>
        </is>
      </c>
      <c r="V1296" t="inlineStr">
        <is>
          <t>2007-06-20</t>
        </is>
      </c>
      <c r="W1296" t="inlineStr">
        <is>
          <t>2006-07-25</t>
        </is>
      </c>
      <c r="X1296" t="inlineStr">
        <is>
          <t>2006-07-25</t>
        </is>
      </c>
      <c r="Y1296" t="n">
        <v>150</v>
      </c>
      <c r="Z1296" t="n">
        <v>137</v>
      </c>
      <c r="AA1296" t="n">
        <v>137</v>
      </c>
      <c r="AB1296" t="n">
        <v>1</v>
      </c>
      <c r="AC1296" t="n">
        <v>1</v>
      </c>
      <c r="AD1296" t="n">
        <v>5</v>
      </c>
      <c r="AE1296" t="n">
        <v>5</v>
      </c>
      <c r="AF1296" t="n">
        <v>2</v>
      </c>
      <c r="AG1296" t="n">
        <v>2</v>
      </c>
      <c r="AH1296" t="n">
        <v>1</v>
      </c>
      <c r="AI1296" t="n">
        <v>1</v>
      </c>
      <c r="AJ1296" t="n">
        <v>4</v>
      </c>
      <c r="AK1296" t="n">
        <v>4</v>
      </c>
      <c r="AL1296" t="n">
        <v>0</v>
      </c>
      <c r="AM1296" t="n">
        <v>0</v>
      </c>
      <c r="AN1296" t="n">
        <v>0</v>
      </c>
      <c r="AO1296" t="n">
        <v>0</v>
      </c>
      <c r="AP1296" t="inlineStr">
        <is>
          <t>No</t>
        </is>
      </c>
      <c r="AQ1296" t="inlineStr">
        <is>
          <t>No</t>
        </is>
      </c>
      <c r="AS1296">
        <f>HYPERLINK("https://creighton-primo.hosted.exlibrisgroup.com/primo-explore/search?tab=default_tab&amp;search_scope=EVERYTHING&amp;vid=01CRU&amp;lang=en_US&amp;offset=0&amp;query=any,contains,991004859419702656","Catalog Record")</f>
        <v/>
      </c>
      <c r="AT1296">
        <f>HYPERLINK("http://www.worldcat.org/oclc/62766061","WorldCat Record")</f>
        <v/>
      </c>
      <c r="AU1296" t="inlineStr">
        <is>
          <t>47080973:eng</t>
        </is>
      </c>
      <c r="AV1296" t="inlineStr">
        <is>
          <t>62766061</t>
        </is>
      </c>
      <c r="AW1296" t="inlineStr">
        <is>
          <t>991004859419702656</t>
        </is>
      </c>
      <c r="AX1296" t="inlineStr">
        <is>
          <t>991004859419702656</t>
        </is>
      </c>
      <c r="AY1296" t="inlineStr">
        <is>
          <t>2257592600002656</t>
        </is>
      </c>
      <c r="AZ1296" t="inlineStr">
        <is>
          <t>BOOK</t>
        </is>
      </c>
      <c r="BB1296" t="inlineStr">
        <is>
          <t>9781578864195</t>
        </is>
      </c>
      <c r="BC1296" t="inlineStr">
        <is>
          <t>32285005198048</t>
        </is>
      </c>
      <c r="BD1296" t="inlineStr">
        <is>
          <t>893625176</t>
        </is>
      </c>
    </row>
    <row r="1297">
      <c r="A1297" t="inlineStr">
        <is>
          <t>No</t>
        </is>
      </c>
      <c r="B1297" t="inlineStr">
        <is>
          <t>LB2901 .B24</t>
        </is>
      </c>
      <c r="C1297" t="inlineStr">
        <is>
          <t>0                      LB 2901000B  24</t>
        </is>
      </c>
      <c r="D1297" t="inlineStr">
        <is>
          <t>Public accountability and the schooling system : a sociology of school board democracy / William Bacon.</t>
        </is>
      </c>
      <c r="F1297" t="inlineStr">
        <is>
          <t>No</t>
        </is>
      </c>
      <c r="G1297" t="inlineStr">
        <is>
          <t>1</t>
        </is>
      </c>
      <c r="H1297" t="inlineStr">
        <is>
          <t>No</t>
        </is>
      </c>
      <c r="I1297" t="inlineStr">
        <is>
          <t>No</t>
        </is>
      </c>
      <c r="J1297" t="inlineStr">
        <is>
          <t>0</t>
        </is>
      </c>
      <c r="K1297" t="inlineStr">
        <is>
          <t>Bacon, William.</t>
        </is>
      </c>
      <c r="L1297" t="inlineStr">
        <is>
          <t>London ; New York : Harper &amp; Row, 1978.</t>
        </is>
      </c>
      <c r="M1297" t="inlineStr">
        <is>
          <t>1978</t>
        </is>
      </c>
      <c r="O1297" t="inlineStr">
        <is>
          <t>eng</t>
        </is>
      </c>
      <c r="P1297" t="inlineStr">
        <is>
          <t>enk</t>
        </is>
      </c>
      <c r="R1297" t="inlineStr">
        <is>
          <t xml:space="preserve">LB </t>
        </is>
      </c>
      <c r="S1297" t="n">
        <v>2</v>
      </c>
      <c r="T1297" t="n">
        <v>2</v>
      </c>
      <c r="U1297" t="inlineStr">
        <is>
          <t>1998-09-29</t>
        </is>
      </c>
      <c r="V1297" t="inlineStr">
        <is>
          <t>1998-09-29</t>
        </is>
      </c>
      <c r="W1297" t="inlineStr">
        <is>
          <t>1992-08-18</t>
        </is>
      </c>
      <c r="X1297" t="inlineStr">
        <is>
          <t>1992-08-18</t>
        </is>
      </c>
      <c r="Y1297" t="n">
        <v>219</v>
      </c>
      <c r="Z1297" t="n">
        <v>128</v>
      </c>
      <c r="AA1297" t="n">
        <v>130</v>
      </c>
      <c r="AB1297" t="n">
        <v>1</v>
      </c>
      <c r="AC1297" t="n">
        <v>1</v>
      </c>
      <c r="AD1297" t="n">
        <v>2</v>
      </c>
      <c r="AE1297" t="n">
        <v>2</v>
      </c>
      <c r="AF1297" t="n">
        <v>1</v>
      </c>
      <c r="AG1297" t="n">
        <v>1</v>
      </c>
      <c r="AH1297" t="n">
        <v>0</v>
      </c>
      <c r="AI1297" t="n">
        <v>0</v>
      </c>
      <c r="AJ1297" t="n">
        <v>1</v>
      </c>
      <c r="AK1297" t="n">
        <v>1</v>
      </c>
      <c r="AL1297" t="n">
        <v>0</v>
      </c>
      <c r="AM1297" t="n">
        <v>0</v>
      </c>
      <c r="AN1297" t="n">
        <v>0</v>
      </c>
      <c r="AO1297" t="n">
        <v>0</v>
      </c>
      <c r="AP1297" t="inlineStr">
        <is>
          <t>No</t>
        </is>
      </c>
      <c r="AQ1297" t="inlineStr">
        <is>
          <t>Yes</t>
        </is>
      </c>
      <c r="AR1297">
        <f>HYPERLINK("http://catalog.hathitrust.org/Record/000694659","HathiTrust Record")</f>
        <v/>
      </c>
      <c r="AS1297">
        <f>HYPERLINK("https://creighton-primo.hosted.exlibrisgroup.com/primo-explore/search?tab=default_tab&amp;search_scope=EVERYTHING&amp;vid=01CRU&amp;lang=en_US&amp;offset=0&amp;query=any,contains,991004725679702656","Catalog Record")</f>
        <v/>
      </c>
      <c r="AT1297">
        <f>HYPERLINK("http://www.worldcat.org/oclc/4809370","WorldCat Record")</f>
        <v/>
      </c>
      <c r="AU1297" t="inlineStr">
        <is>
          <t>3770331577:eng</t>
        </is>
      </c>
      <c r="AV1297" t="inlineStr">
        <is>
          <t>4809370</t>
        </is>
      </c>
      <c r="AW1297" t="inlineStr">
        <is>
          <t>991004725679702656</t>
        </is>
      </c>
      <c r="AX1297" t="inlineStr">
        <is>
          <t>991004725679702656</t>
        </is>
      </c>
      <c r="AY1297" t="inlineStr">
        <is>
          <t>2272580110002656</t>
        </is>
      </c>
      <c r="AZ1297" t="inlineStr">
        <is>
          <t>BOOK</t>
        </is>
      </c>
      <c r="BB1297" t="inlineStr">
        <is>
          <t>9780063180826</t>
        </is>
      </c>
      <c r="BC1297" t="inlineStr">
        <is>
          <t>32285001262277</t>
        </is>
      </c>
      <c r="BD1297" t="inlineStr">
        <is>
          <t>893513593</t>
        </is>
      </c>
    </row>
    <row r="1298">
      <c r="A1298" t="inlineStr">
        <is>
          <t>No</t>
        </is>
      </c>
      <c r="B1298" t="inlineStr">
        <is>
          <t>LB2901 .D45 1987</t>
        </is>
      </c>
      <c r="C1298" t="inlineStr">
        <is>
          <t>0                      LB 2901000D  45          1987</t>
        </is>
      </c>
      <c r="D1298" t="inlineStr">
        <is>
          <t>Challenges in educational management : principles into practice / Bill Dennison and Ken Shenton.</t>
        </is>
      </c>
      <c r="F1298" t="inlineStr">
        <is>
          <t>No</t>
        </is>
      </c>
      <c r="G1298" t="inlineStr">
        <is>
          <t>1</t>
        </is>
      </c>
      <c r="H1298" t="inlineStr">
        <is>
          <t>No</t>
        </is>
      </c>
      <c r="I1298" t="inlineStr">
        <is>
          <t>No</t>
        </is>
      </c>
      <c r="J1298" t="inlineStr">
        <is>
          <t>0</t>
        </is>
      </c>
      <c r="K1298" t="inlineStr">
        <is>
          <t>Dennison, W. F.</t>
        </is>
      </c>
      <c r="L1298" t="inlineStr">
        <is>
          <t>London : Croom Helm ; New York : Nichols Pub. Co., 1987.</t>
        </is>
      </c>
      <c r="M1298" t="inlineStr">
        <is>
          <t>1987</t>
        </is>
      </c>
      <c r="O1298" t="inlineStr">
        <is>
          <t>eng</t>
        </is>
      </c>
      <c r="P1298" t="inlineStr">
        <is>
          <t>enk</t>
        </is>
      </c>
      <c r="R1298" t="inlineStr">
        <is>
          <t xml:space="preserve">LB </t>
        </is>
      </c>
      <c r="S1298" t="n">
        <v>3</v>
      </c>
      <c r="T1298" t="n">
        <v>3</v>
      </c>
      <c r="U1298" t="inlineStr">
        <is>
          <t>2006-06-19</t>
        </is>
      </c>
      <c r="V1298" t="inlineStr">
        <is>
          <t>2006-06-19</t>
        </is>
      </c>
      <c r="W1298" t="inlineStr">
        <is>
          <t>1992-08-18</t>
        </is>
      </c>
      <c r="X1298" t="inlineStr">
        <is>
          <t>1992-08-18</t>
        </is>
      </c>
      <c r="Y1298" t="n">
        <v>246</v>
      </c>
      <c r="Z1298" t="n">
        <v>145</v>
      </c>
      <c r="AA1298" t="n">
        <v>179</v>
      </c>
      <c r="AB1298" t="n">
        <v>2</v>
      </c>
      <c r="AC1298" t="n">
        <v>2</v>
      </c>
      <c r="AD1298" t="n">
        <v>4</v>
      </c>
      <c r="AE1298" t="n">
        <v>4</v>
      </c>
      <c r="AF1298" t="n">
        <v>1</v>
      </c>
      <c r="AG1298" t="n">
        <v>1</v>
      </c>
      <c r="AH1298" t="n">
        <v>0</v>
      </c>
      <c r="AI1298" t="n">
        <v>0</v>
      </c>
      <c r="AJ1298" t="n">
        <v>3</v>
      </c>
      <c r="AK1298" t="n">
        <v>3</v>
      </c>
      <c r="AL1298" t="n">
        <v>1</v>
      </c>
      <c r="AM1298" t="n">
        <v>1</v>
      </c>
      <c r="AN1298" t="n">
        <v>0</v>
      </c>
      <c r="AO1298" t="n">
        <v>0</v>
      </c>
      <c r="AP1298" t="inlineStr">
        <is>
          <t>No</t>
        </is>
      </c>
      <c r="AQ1298" t="inlineStr">
        <is>
          <t>Yes</t>
        </is>
      </c>
      <c r="AR1298">
        <f>HYPERLINK("http://catalog.hathitrust.org/Record/000811602","HathiTrust Record")</f>
        <v/>
      </c>
      <c r="AS1298">
        <f>HYPERLINK("https://creighton-primo.hosted.exlibrisgroup.com/primo-explore/search?tab=default_tab&amp;search_scope=EVERYTHING&amp;vid=01CRU&amp;lang=en_US&amp;offset=0&amp;query=any,contains,991000932329702656","Catalog Record")</f>
        <v/>
      </c>
      <c r="AT1298">
        <f>HYPERLINK("http://www.worldcat.org/oclc/14273549","WorldCat Record")</f>
        <v/>
      </c>
      <c r="AU1298" t="inlineStr">
        <is>
          <t>6863542:eng</t>
        </is>
      </c>
      <c r="AV1298" t="inlineStr">
        <is>
          <t>14273549</t>
        </is>
      </c>
      <c r="AW1298" t="inlineStr">
        <is>
          <t>991000932329702656</t>
        </is>
      </c>
      <c r="AX1298" t="inlineStr">
        <is>
          <t>991000932329702656</t>
        </is>
      </c>
      <c r="AY1298" t="inlineStr">
        <is>
          <t>2259892920002656</t>
        </is>
      </c>
      <c r="AZ1298" t="inlineStr">
        <is>
          <t>BOOK</t>
        </is>
      </c>
      <c r="BB1298" t="inlineStr">
        <is>
          <t>9780893972660</t>
        </is>
      </c>
      <c r="BC1298" t="inlineStr">
        <is>
          <t>32285001262285</t>
        </is>
      </c>
      <c r="BD1298" t="inlineStr">
        <is>
          <t>893878470</t>
        </is>
      </c>
    </row>
    <row r="1299">
      <c r="A1299" t="inlineStr">
        <is>
          <t>No</t>
        </is>
      </c>
      <c r="B1299" t="inlineStr">
        <is>
          <t>LB2901 .H69 1986</t>
        </is>
      </c>
      <c r="C1299" t="inlineStr">
        <is>
          <t>0                      LB 2901000H  69          1986</t>
        </is>
      </c>
      <c r="D1299" t="inlineStr">
        <is>
          <t>The politics of school management / Eric Hoyle.</t>
        </is>
      </c>
      <c r="F1299" t="inlineStr">
        <is>
          <t>No</t>
        </is>
      </c>
      <c r="G1299" t="inlineStr">
        <is>
          <t>1</t>
        </is>
      </c>
      <c r="H1299" t="inlineStr">
        <is>
          <t>No</t>
        </is>
      </c>
      <c r="I1299" t="inlineStr">
        <is>
          <t>No</t>
        </is>
      </c>
      <c r="J1299" t="inlineStr">
        <is>
          <t>0</t>
        </is>
      </c>
      <c r="K1299" t="inlineStr">
        <is>
          <t>Hoyle, Eric.</t>
        </is>
      </c>
      <c r="L1299" t="inlineStr">
        <is>
          <t>London : Hodder and Stoughton, 1986.</t>
        </is>
      </c>
      <c r="M1299" t="inlineStr">
        <is>
          <t>1986</t>
        </is>
      </c>
      <c r="O1299" t="inlineStr">
        <is>
          <t>eng</t>
        </is>
      </c>
      <c r="P1299" t="inlineStr">
        <is>
          <t>enk</t>
        </is>
      </c>
      <c r="Q1299" t="inlineStr">
        <is>
          <t>Studies in teaching and learning</t>
        </is>
      </c>
      <c r="R1299" t="inlineStr">
        <is>
          <t xml:space="preserve">LB </t>
        </is>
      </c>
      <c r="S1299" t="n">
        <v>2</v>
      </c>
      <c r="T1299" t="n">
        <v>2</v>
      </c>
      <c r="U1299" t="inlineStr">
        <is>
          <t>2009-11-09</t>
        </is>
      </c>
      <c r="V1299" t="inlineStr">
        <is>
          <t>2009-11-09</t>
        </is>
      </c>
      <c r="W1299" t="inlineStr">
        <is>
          <t>1992-08-18</t>
        </is>
      </c>
      <c r="X1299" t="inlineStr">
        <is>
          <t>1992-08-18</t>
        </is>
      </c>
      <c r="Y1299" t="n">
        <v>92</v>
      </c>
      <c r="Z1299" t="n">
        <v>68</v>
      </c>
      <c r="AA1299" t="n">
        <v>95</v>
      </c>
      <c r="AB1299" t="n">
        <v>1</v>
      </c>
      <c r="AC1299" t="n">
        <v>1</v>
      </c>
      <c r="AD1299" t="n">
        <v>1</v>
      </c>
      <c r="AE1299" t="n">
        <v>2</v>
      </c>
      <c r="AF1299" t="n">
        <v>0</v>
      </c>
      <c r="AG1299" t="n">
        <v>0</v>
      </c>
      <c r="AH1299" t="n">
        <v>0</v>
      </c>
      <c r="AI1299" t="n">
        <v>0</v>
      </c>
      <c r="AJ1299" t="n">
        <v>1</v>
      </c>
      <c r="AK1299" t="n">
        <v>2</v>
      </c>
      <c r="AL1299" t="n">
        <v>0</v>
      </c>
      <c r="AM1299" t="n">
        <v>0</v>
      </c>
      <c r="AN1299" t="n">
        <v>0</v>
      </c>
      <c r="AO1299" t="n">
        <v>0</v>
      </c>
      <c r="AP1299" t="inlineStr">
        <is>
          <t>No</t>
        </is>
      </c>
      <c r="AQ1299" t="inlineStr">
        <is>
          <t>No</t>
        </is>
      </c>
      <c r="AS1299">
        <f>HYPERLINK("https://creighton-primo.hosted.exlibrisgroup.com/primo-explore/search?tab=default_tab&amp;search_scope=EVERYTHING&amp;vid=01CRU&amp;lang=en_US&amp;offset=0&amp;query=any,contains,991000868929702656","Catalog Record")</f>
        <v/>
      </c>
      <c r="AT1299">
        <f>HYPERLINK("http://www.worldcat.org/oclc/59145283","WorldCat Record")</f>
        <v/>
      </c>
      <c r="AU1299" t="inlineStr">
        <is>
          <t>20480752:eng</t>
        </is>
      </c>
      <c r="AV1299" t="inlineStr">
        <is>
          <t>59145283</t>
        </is>
      </c>
      <c r="AW1299" t="inlineStr">
        <is>
          <t>991000868929702656</t>
        </is>
      </c>
      <c r="AX1299" t="inlineStr">
        <is>
          <t>991000868929702656</t>
        </is>
      </c>
      <c r="AY1299" t="inlineStr">
        <is>
          <t>2267839490002656</t>
        </is>
      </c>
      <c r="AZ1299" t="inlineStr">
        <is>
          <t>BOOK</t>
        </is>
      </c>
      <c r="BB1299" t="inlineStr">
        <is>
          <t>9780340389935</t>
        </is>
      </c>
      <c r="BC1299" t="inlineStr">
        <is>
          <t>32285001262293</t>
        </is>
      </c>
      <c r="BD1299" t="inlineStr">
        <is>
          <t>893502891</t>
        </is>
      </c>
    </row>
    <row r="1300">
      <c r="A1300" t="inlineStr">
        <is>
          <t>No</t>
        </is>
      </c>
      <c r="B1300" t="inlineStr">
        <is>
          <t>LB3011 .A88 1994</t>
        </is>
      </c>
      <c r="C1300" t="inlineStr">
        <is>
          <t>0                      LB 3011000A  88          1994</t>
        </is>
      </c>
      <c r="D1300" t="inlineStr">
        <is>
          <t>Assessing learning in the classroom : a report / prepared for the National Education Association Professional Standards and Practice by Jay McTighe and Steven Ferrara.</t>
        </is>
      </c>
      <c r="F1300" t="inlineStr">
        <is>
          <t>No</t>
        </is>
      </c>
      <c r="G1300" t="inlineStr">
        <is>
          <t>1</t>
        </is>
      </c>
      <c r="H1300" t="inlineStr">
        <is>
          <t>No</t>
        </is>
      </c>
      <c r="I1300" t="inlineStr">
        <is>
          <t>No</t>
        </is>
      </c>
      <c r="J1300" t="inlineStr">
        <is>
          <t>0</t>
        </is>
      </c>
      <c r="L1300" t="inlineStr">
        <is>
          <t>Washington, D.C. : National Education Association, c1994.</t>
        </is>
      </c>
      <c r="M1300" t="inlineStr">
        <is>
          <t>1994</t>
        </is>
      </c>
      <c r="O1300" t="inlineStr">
        <is>
          <t>eng</t>
        </is>
      </c>
      <c r="P1300" t="inlineStr">
        <is>
          <t>dcu</t>
        </is>
      </c>
      <c r="R1300" t="inlineStr">
        <is>
          <t xml:space="preserve">LB </t>
        </is>
      </c>
      <c r="S1300" t="n">
        <v>1</v>
      </c>
      <c r="T1300" t="n">
        <v>1</v>
      </c>
      <c r="U1300" t="inlineStr">
        <is>
          <t>2000-11-26</t>
        </is>
      </c>
      <c r="V1300" t="inlineStr">
        <is>
          <t>2000-11-26</t>
        </is>
      </c>
      <c r="W1300" t="inlineStr">
        <is>
          <t>1995-06-06</t>
        </is>
      </c>
      <c r="X1300" t="inlineStr">
        <is>
          <t>1995-06-06</t>
        </is>
      </c>
      <c r="Y1300" t="n">
        <v>85</v>
      </c>
      <c r="Z1300" t="n">
        <v>84</v>
      </c>
      <c r="AA1300" t="n">
        <v>182</v>
      </c>
      <c r="AB1300" t="n">
        <v>3</v>
      </c>
      <c r="AC1300" t="n">
        <v>3</v>
      </c>
      <c r="AD1300" t="n">
        <v>6</v>
      </c>
      <c r="AE1300" t="n">
        <v>10</v>
      </c>
      <c r="AF1300" t="n">
        <v>2</v>
      </c>
      <c r="AG1300" t="n">
        <v>5</v>
      </c>
      <c r="AH1300" t="n">
        <v>2</v>
      </c>
      <c r="AI1300" t="n">
        <v>2</v>
      </c>
      <c r="AJ1300" t="n">
        <v>2</v>
      </c>
      <c r="AK1300" t="n">
        <v>5</v>
      </c>
      <c r="AL1300" t="n">
        <v>2</v>
      </c>
      <c r="AM1300" t="n">
        <v>2</v>
      </c>
      <c r="AN1300" t="n">
        <v>0</v>
      </c>
      <c r="AO1300" t="n">
        <v>0</v>
      </c>
      <c r="AP1300" t="inlineStr">
        <is>
          <t>No</t>
        </is>
      </c>
      <c r="AQ1300" t="inlineStr">
        <is>
          <t>No</t>
        </is>
      </c>
      <c r="AS1300">
        <f>HYPERLINK("https://creighton-primo.hosted.exlibrisgroup.com/primo-explore/search?tab=default_tab&amp;search_scope=EVERYTHING&amp;vid=01CRU&amp;lang=en_US&amp;offset=0&amp;query=any,contains,991002480509702656","Catalog Record")</f>
        <v/>
      </c>
      <c r="AT1300">
        <f>HYPERLINK("http://www.worldcat.org/oclc/32280118","WorldCat Record")</f>
        <v/>
      </c>
      <c r="AU1300" t="inlineStr">
        <is>
          <t>1075946:eng</t>
        </is>
      </c>
      <c r="AV1300" t="inlineStr">
        <is>
          <t>32280118</t>
        </is>
      </c>
      <c r="AW1300" t="inlineStr">
        <is>
          <t>991002480509702656</t>
        </is>
      </c>
      <c r="AX1300" t="inlineStr">
        <is>
          <t>991002480509702656</t>
        </is>
      </c>
      <c r="AY1300" t="inlineStr">
        <is>
          <t>2264905890002656</t>
        </is>
      </c>
      <c r="AZ1300" t="inlineStr">
        <is>
          <t>BOOK</t>
        </is>
      </c>
      <c r="BC1300" t="inlineStr">
        <is>
          <t>32285002057080</t>
        </is>
      </c>
      <c r="BD1300" t="inlineStr">
        <is>
          <t>893710337</t>
        </is>
      </c>
    </row>
    <row r="1301">
      <c r="A1301" t="inlineStr">
        <is>
          <t>No</t>
        </is>
      </c>
      <c r="B1301" t="inlineStr">
        <is>
          <t>LB3011 .C886 2001</t>
        </is>
      </c>
      <c r="C1301" t="inlineStr">
        <is>
          <t>0                      LB 3011000C  886         2001</t>
        </is>
      </c>
      <c r="D1301" t="inlineStr">
        <is>
          <t>How can I fix it? : finding solutions and managing dilemmas : an educator's road map / Larry Cuban.</t>
        </is>
      </c>
      <c r="F1301" t="inlineStr">
        <is>
          <t>No</t>
        </is>
      </c>
      <c r="G1301" t="inlineStr">
        <is>
          <t>1</t>
        </is>
      </c>
      <c r="H1301" t="inlineStr">
        <is>
          <t>No</t>
        </is>
      </c>
      <c r="I1301" t="inlineStr">
        <is>
          <t>No</t>
        </is>
      </c>
      <c r="J1301" t="inlineStr">
        <is>
          <t>0</t>
        </is>
      </c>
      <c r="K1301" t="inlineStr">
        <is>
          <t>Cuban, Larry.</t>
        </is>
      </c>
      <c r="L1301" t="inlineStr">
        <is>
          <t>New York : Teachers College Press, c2001.</t>
        </is>
      </c>
      <c r="M1301" t="inlineStr">
        <is>
          <t>2001</t>
        </is>
      </c>
      <c r="O1301" t="inlineStr">
        <is>
          <t>eng</t>
        </is>
      </c>
      <c r="P1301" t="inlineStr">
        <is>
          <t>nyu</t>
        </is>
      </c>
      <c r="R1301" t="inlineStr">
        <is>
          <t xml:space="preserve">LB </t>
        </is>
      </c>
      <c r="S1301" t="n">
        <v>1</v>
      </c>
      <c r="T1301" t="n">
        <v>1</v>
      </c>
      <c r="U1301" t="inlineStr">
        <is>
          <t>2001-07-10</t>
        </is>
      </c>
      <c r="V1301" t="inlineStr">
        <is>
          <t>2001-07-10</t>
        </is>
      </c>
      <c r="W1301" t="inlineStr">
        <is>
          <t>2001-07-10</t>
        </is>
      </c>
      <c r="X1301" t="inlineStr">
        <is>
          <t>2001-07-10</t>
        </is>
      </c>
      <c r="Y1301" t="n">
        <v>347</v>
      </c>
      <c r="Z1301" t="n">
        <v>305</v>
      </c>
      <c r="AA1301" t="n">
        <v>306</v>
      </c>
      <c r="AB1301" t="n">
        <v>2</v>
      </c>
      <c r="AC1301" t="n">
        <v>2</v>
      </c>
      <c r="AD1301" t="n">
        <v>13</v>
      </c>
      <c r="AE1301" t="n">
        <v>13</v>
      </c>
      <c r="AF1301" t="n">
        <v>4</v>
      </c>
      <c r="AG1301" t="n">
        <v>4</v>
      </c>
      <c r="AH1301" t="n">
        <v>3</v>
      </c>
      <c r="AI1301" t="n">
        <v>3</v>
      </c>
      <c r="AJ1301" t="n">
        <v>8</v>
      </c>
      <c r="AK1301" t="n">
        <v>8</v>
      </c>
      <c r="AL1301" t="n">
        <v>1</v>
      </c>
      <c r="AM1301" t="n">
        <v>1</v>
      </c>
      <c r="AN1301" t="n">
        <v>0</v>
      </c>
      <c r="AO1301" t="n">
        <v>0</v>
      </c>
      <c r="AP1301" t="inlineStr">
        <is>
          <t>No</t>
        </is>
      </c>
      <c r="AQ1301" t="inlineStr">
        <is>
          <t>No</t>
        </is>
      </c>
      <c r="AS1301">
        <f>HYPERLINK("https://creighton-primo.hosted.exlibrisgroup.com/primo-explore/search?tab=default_tab&amp;search_scope=EVERYTHING&amp;vid=01CRU&amp;lang=en_US&amp;offset=0&amp;query=any,contains,991003562839702656","Catalog Record")</f>
        <v/>
      </c>
      <c r="AT1301">
        <f>HYPERLINK("http://www.worldcat.org/oclc/45655090","WorldCat Record")</f>
        <v/>
      </c>
      <c r="AU1301" t="inlineStr">
        <is>
          <t>35115556:eng</t>
        </is>
      </c>
      <c r="AV1301" t="inlineStr">
        <is>
          <t>45655090</t>
        </is>
      </c>
      <c r="AW1301" t="inlineStr">
        <is>
          <t>991003562839702656</t>
        </is>
      </c>
      <c r="AX1301" t="inlineStr">
        <is>
          <t>991003562839702656</t>
        </is>
      </c>
      <c r="AY1301" t="inlineStr">
        <is>
          <t>2265706480002656</t>
        </is>
      </c>
      <c r="AZ1301" t="inlineStr">
        <is>
          <t>BOOK</t>
        </is>
      </c>
      <c r="BB1301" t="inlineStr">
        <is>
          <t>9780807740491</t>
        </is>
      </c>
      <c r="BC1301" t="inlineStr">
        <is>
          <t>32285004331251</t>
        </is>
      </c>
      <c r="BD1301" t="inlineStr">
        <is>
          <t>893805916</t>
        </is>
      </c>
    </row>
    <row r="1302">
      <c r="A1302" t="inlineStr">
        <is>
          <t>No</t>
        </is>
      </c>
      <c r="B1302" t="inlineStr">
        <is>
          <t>LB3011 .J59 1989</t>
        </is>
      </c>
      <c r="C1302" t="inlineStr">
        <is>
          <t>0                      LB 3011000J  59          1989</t>
        </is>
      </c>
      <c r="D1302" t="inlineStr">
        <is>
          <t>School discipline guidebook : theory into practice / Frank A. Johns, Robert H. MacNaughton, Nancy G. Karabinus.</t>
        </is>
      </c>
      <c r="F1302" t="inlineStr">
        <is>
          <t>No</t>
        </is>
      </c>
      <c r="G1302" t="inlineStr">
        <is>
          <t>1</t>
        </is>
      </c>
      <c r="H1302" t="inlineStr">
        <is>
          <t>No</t>
        </is>
      </c>
      <c r="I1302" t="inlineStr">
        <is>
          <t>No</t>
        </is>
      </c>
      <c r="J1302" t="inlineStr">
        <is>
          <t>0</t>
        </is>
      </c>
      <c r="K1302" t="inlineStr">
        <is>
          <t>Johns, Frank A.</t>
        </is>
      </c>
      <c r="L1302" t="inlineStr">
        <is>
          <t>Boston : Allyn and Bacon, c1989.</t>
        </is>
      </c>
      <c r="M1302" t="inlineStr">
        <is>
          <t>1989</t>
        </is>
      </c>
      <c r="O1302" t="inlineStr">
        <is>
          <t>eng</t>
        </is>
      </c>
      <c r="P1302" t="inlineStr">
        <is>
          <t>mau</t>
        </is>
      </c>
      <c r="R1302" t="inlineStr">
        <is>
          <t xml:space="preserve">LB </t>
        </is>
      </c>
      <c r="S1302" t="n">
        <v>12</v>
      </c>
      <c r="T1302" t="n">
        <v>12</v>
      </c>
      <c r="U1302" t="inlineStr">
        <is>
          <t>1999-12-08</t>
        </is>
      </c>
      <c r="V1302" t="inlineStr">
        <is>
          <t>1999-12-08</t>
        </is>
      </c>
      <c r="W1302" t="inlineStr">
        <is>
          <t>1991-12-02</t>
        </is>
      </c>
      <c r="X1302" t="inlineStr">
        <is>
          <t>1991-12-02</t>
        </is>
      </c>
      <c r="Y1302" t="n">
        <v>222</v>
      </c>
      <c r="Z1302" t="n">
        <v>189</v>
      </c>
      <c r="AA1302" t="n">
        <v>194</v>
      </c>
      <c r="AB1302" t="n">
        <v>3</v>
      </c>
      <c r="AC1302" t="n">
        <v>3</v>
      </c>
      <c r="AD1302" t="n">
        <v>11</v>
      </c>
      <c r="AE1302" t="n">
        <v>11</v>
      </c>
      <c r="AF1302" t="n">
        <v>5</v>
      </c>
      <c r="AG1302" t="n">
        <v>5</v>
      </c>
      <c r="AH1302" t="n">
        <v>0</v>
      </c>
      <c r="AI1302" t="n">
        <v>0</v>
      </c>
      <c r="AJ1302" t="n">
        <v>7</v>
      </c>
      <c r="AK1302" t="n">
        <v>7</v>
      </c>
      <c r="AL1302" t="n">
        <v>2</v>
      </c>
      <c r="AM1302" t="n">
        <v>2</v>
      </c>
      <c r="AN1302" t="n">
        <v>0</v>
      </c>
      <c r="AO1302" t="n">
        <v>0</v>
      </c>
      <c r="AP1302" t="inlineStr">
        <is>
          <t>No</t>
        </is>
      </c>
      <c r="AQ1302" t="inlineStr">
        <is>
          <t>No</t>
        </is>
      </c>
      <c r="AS1302">
        <f>HYPERLINK("https://creighton-primo.hosted.exlibrisgroup.com/primo-explore/search?tab=default_tab&amp;search_scope=EVERYTHING&amp;vid=01CRU&amp;lang=en_US&amp;offset=0&amp;query=any,contains,991001328629702656","Catalog Record")</f>
        <v/>
      </c>
      <c r="AT1302">
        <f>HYPERLINK("http://www.worldcat.org/oclc/18292299","WorldCat Record")</f>
        <v/>
      </c>
      <c r="AU1302" t="inlineStr">
        <is>
          <t>836712097:eng</t>
        </is>
      </c>
      <c r="AV1302" t="inlineStr">
        <is>
          <t>18292299</t>
        </is>
      </c>
      <c r="AW1302" t="inlineStr">
        <is>
          <t>991001328629702656</t>
        </is>
      </c>
      <c r="AX1302" t="inlineStr">
        <is>
          <t>991001328629702656</t>
        </is>
      </c>
      <c r="AY1302" t="inlineStr">
        <is>
          <t>2264477890002656</t>
        </is>
      </c>
      <c r="AZ1302" t="inlineStr">
        <is>
          <t>BOOK</t>
        </is>
      </c>
      <c r="BB1302" t="inlineStr">
        <is>
          <t>9780205118281</t>
        </is>
      </c>
      <c r="BC1302" t="inlineStr">
        <is>
          <t>32285000818541</t>
        </is>
      </c>
      <c r="BD1302" t="inlineStr">
        <is>
          <t>893803552</t>
        </is>
      </c>
    </row>
    <row r="1303">
      <c r="A1303" t="inlineStr">
        <is>
          <t>No</t>
        </is>
      </c>
      <c r="B1303" t="inlineStr">
        <is>
          <t>LB3011.5 .S95 2003</t>
        </is>
      </c>
      <c r="C1303" t="inlineStr">
        <is>
          <t>0                      LB 3011500S  95          2003</t>
        </is>
      </c>
      <c r="D1303" t="inlineStr">
        <is>
          <t>A biological brain in a cultural classroom : enhancing cognitive and social development through collaborative classroom management / Robert Sylwester.</t>
        </is>
      </c>
      <c r="F1303" t="inlineStr">
        <is>
          <t>No</t>
        </is>
      </c>
      <c r="G1303" t="inlineStr">
        <is>
          <t>1</t>
        </is>
      </c>
      <c r="H1303" t="inlineStr">
        <is>
          <t>No</t>
        </is>
      </c>
      <c r="I1303" t="inlineStr">
        <is>
          <t>No</t>
        </is>
      </c>
      <c r="J1303" t="inlineStr">
        <is>
          <t>0</t>
        </is>
      </c>
      <c r="K1303" t="inlineStr">
        <is>
          <t>Sylwester, Robert.</t>
        </is>
      </c>
      <c r="L1303" t="inlineStr">
        <is>
          <t>Thousand Oaks, Calif. : Corwin Press, c2003.</t>
        </is>
      </c>
      <c r="M1303" t="inlineStr">
        <is>
          <t>2003</t>
        </is>
      </c>
      <c r="N1303" t="inlineStr">
        <is>
          <t>2nd ed.</t>
        </is>
      </c>
      <c r="O1303" t="inlineStr">
        <is>
          <t>eng</t>
        </is>
      </c>
      <c r="P1303" t="inlineStr">
        <is>
          <t>cau</t>
        </is>
      </c>
      <c r="R1303" t="inlineStr">
        <is>
          <t xml:space="preserve">LB </t>
        </is>
      </c>
      <c r="S1303" t="n">
        <v>1</v>
      </c>
      <c r="T1303" t="n">
        <v>1</v>
      </c>
      <c r="U1303" t="inlineStr">
        <is>
          <t>2003-04-08</t>
        </is>
      </c>
      <c r="V1303" t="inlineStr">
        <is>
          <t>2003-04-08</t>
        </is>
      </c>
      <c r="W1303" t="inlineStr">
        <is>
          <t>2003-04-08</t>
        </is>
      </c>
      <c r="X1303" t="inlineStr">
        <is>
          <t>2003-04-08</t>
        </is>
      </c>
      <c r="Y1303" t="n">
        <v>273</v>
      </c>
      <c r="Z1303" t="n">
        <v>230</v>
      </c>
      <c r="AA1303" t="n">
        <v>236</v>
      </c>
      <c r="AB1303" t="n">
        <v>3</v>
      </c>
      <c r="AC1303" t="n">
        <v>3</v>
      </c>
      <c r="AD1303" t="n">
        <v>14</v>
      </c>
      <c r="AE1303" t="n">
        <v>14</v>
      </c>
      <c r="AF1303" t="n">
        <v>4</v>
      </c>
      <c r="AG1303" t="n">
        <v>4</v>
      </c>
      <c r="AH1303" t="n">
        <v>2</v>
      </c>
      <c r="AI1303" t="n">
        <v>2</v>
      </c>
      <c r="AJ1303" t="n">
        <v>8</v>
      </c>
      <c r="AK1303" t="n">
        <v>8</v>
      </c>
      <c r="AL1303" t="n">
        <v>2</v>
      </c>
      <c r="AM1303" t="n">
        <v>2</v>
      </c>
      <c r="AN1303" t="n">
        <v>0</v>
      </c>
      <c r="AO1303" t="n">
        <v>0</v>
      </c>
      <c r="AP1303" t="inlineStr">
        <is>
          <t>No</t>
        </is>
      </c>
      <c r="AQ1303" t="inlineStr">
        <is>
          <t>Yes</t>
        </is>
      </c>
      <c r="AR1303">
        <f>HYPERLINK("http://catalog.hathitrust.org/Record/008327588","HathiTrust Record")</f>
        <v/>
      </c>
      <c r="AS1303">
        <f>HYPERLINK("https://creighton-primo.hosted.exlibrisgroup.com/primo-explore/search?tab=default_tab&amp;search_scope=EVERYTHING&amp;vid=01CRU&amp;lang=en_US&amp;offset=0&amp;query=any,contains,991004036929702656","Catalog Record")</f>
        <v/>
      </c>
      <c r="AT1303">
        <f>HYPERLINK("http://www.worldcat.org/oclc/51163781","WorldCat Record")</f>
        <v/>
      </c>
      <c r="AU1303" t="inlineStr">
        <is>
          <t>755809:eng</t>
        </is>
      </c>
      <c r="AV1303" t="inlineStr">
        <is>
          <t>51163781</t>
        </is>
      </c>
      <c r="AW1303" t="inlineStr">
        <is>
          <t>991004036929702656</t>
        </is>
      </c>
      <c r="AX1303" t="inlineStr">
        <is>
          <t>991004036929702656</t>
        </is>
      </c>
      <c r="AY1303" t="inlineStr">
        <is>
          <t>2268239120002656</t>
        </is>
      </c>
      <c r="AZ1303" t="inlineStr">
        <is>
          <t>BOOK</t>
        </is>
      </c>
      <c r="BB1303" t="inlineStr">
        <is>
          <t>9780761938101</t>
        </is>
      </c>
      <c r="BC1303" t="inlineStr">
        <is>
          <t>32285004740352</t>
        </is>
      </c>
      <c r="BD1303" t="inlineStr">
        <is>
          <t>893800516</t>
        </is>
      </c>
    </row>
    <row r="1304">
      <c r="A1304" t="inlineStr">
        <is>
          <t>No</t>
        </is>
      </c>
      <c r="B1304" t="inlineStr">
        <is>
          <t>LB3011.5 .T66 1999</t>
        </is>
      </c>
      <c r="C1304" t="inlineStr">
        <is>
          <t>0                      LB 3011500T  66          1999</t>
        </is>
      </c>
      <c r="D1304" t="inlineStr">
        <is>
          <t>Discipline by negotiation : methods for managing student behavior / Daniel R. Tomal.</t>
        </is>
      </c>
      <c r="F1304" t="inlineStr">
        <is>
          <t>No</t>
        </is>
      </c>
      <c r="G1304" t="inlineStr">
        <is>
          <t>1</t>
        </is>
      </c>
      <c r="H1304" t="inlineStr">
        <is>
          <t>No</t>
        </is>
      </c>
      <c r="I1304" t="inlineStr">
        <is>
          <t>No</t>
        </is>
      </c>
      <c r="J1304" t="inlineStr">
        <is>
          <t>0</t>
        </is>
      </c>
      <c r="K1304" t="inlineStr">
        <is>
          <t>Tomal, Daniel R.</t>
        </is>
      </c>
      <c r="L1304" t="inlineStr">
        <is>
          <t>Lancaster, Pa. : Technomic Pub. Co., c1999.</t>
        </is>
      </c>
      <c r="M1304" t="inlineStr">
        <is>
          <t>1999</t>
        </is>
      </c>
      <c r="N1304" t="inlineStr">
        <is>
          <t>1st ed.</t>
        </is>
      </c>
      <c r="O1304" t="inlineStr">
        <is>
          <t>eng</t>
        </is>
      </c>
      <c r="P1304" t="inlineStr">
        <is>
          <t>pau</t>
        </is>
      </c>
      <c r="R1304" t="inlineStr">
        <is>
          <t xml:space="preserve">LB </t>
        </is>
      </c>
      <c r="S1304" t="n">
        <v>1</v>
      </c>
      <c r="T1304" t="n">
        <v>1</v>
      </c>
      <c r="U1304" t="inlineStr">
        <is>
          <t>2010-03-12</t>
        </is>
      </c>
      <c r="V1304" t="inlineStr">
        <is>
          <t>2010-03-12</t>
        </is>
      </c>
      <c r="W1304" t="inlineStr">
        <is>
          <t>2000-03-06</t>
        </is>
      </c>
      <c r="X1304" t="inlineStr">
        <is>
          <t>2000-03-06</t>
        </is>
      </c>
      <c r="Y1304" t="n">
        <v>141</v>
      </c>
      <c r="Z1304" t="n">
        <v>120</v>
      </c>
      <c r="AA1304" t="n">
        <v>127</v>
      </c>
      <c r="AB1304" t="n">
        <v>2</v>
      </c>
      <c r="AC1304" t="n">
        <v>2</v>
      </c>
      <c r="AD1304" t="n">
        <v>7</v>
      </c>
      <c r="AE1304" t="n">
        <v>7</v>
      </c>
      <c r="AF1304" t="n">
        <v>1</v>
      </c>
      <c r="AG1304" t="n">
        <v>1</v>
      </c>
      <c r="AH1304" t="n">
        <v>2</v>
      </c>
      <c r="AI1304" t="n">
        <v>2</v>
      </c>
      <c r="AJ1304" t="n">
        <v>4</v>
      </c>
      <c r="AK1304" t="n">
        <v>4</v>
      </c>
      <c r="AL1304" t="n">
        <v>1</v>
      </c>
      <c r="AM1304" t="n">
        <v>1</v>
      </c>
      <c r="AN1304" t="n">
        <v>0</v>
      </c>
      <c r="AO1304" t="n">
        <v>0</v>
      </c>
      <c r="AP1304" t="inlineStr">
        <is>
          <t>No</t>
        </is>
      </c>
      <c r="AQ1304" t="inlineStr">
        <is>
          <t>Yes</t>
        </is>
      </c>
      <c r="AR1304">
        <f>HYPERLINK("http://catalog.hathitrust.org/Record/102008445","HathiTrust Record")</f>
        <v/>
      </c>
      <c r="AS1304">
        <f>HYPERLINK("https://creighton-primo.hosted.exlibrisgroup.com/primo-explore/search?tab=default_tab&amp;search_scope=EVERYTHING&amp;vid=01CRU&amp;lang=en_US&amp;offset=0&amp;query=any,contains,991002994829702656","Catalog Record")</f>
        <v/>
      </c>
      <c r="AT1304">
        <f>HYPERLINK("http://www.worldcat.org/oclc/40467457","WorldCat Record")</f>
        <v/>
      </c>
      <c r="AU1304" t="inlineStr">
        <is>
          <t>25363501:eng</t>
        </is>
      </c>
      <c r="AV1304" t="inlineStr">
        <is>
          <t>40467457</t>
        </is>
      </c>
      <c r="AW1304" t="inlineStr">
        <is>
          <t>991002994829702656</t>
        </is>
      </c>
      <c r="AX1304" t="inlineStr">
        <is>
          <t>991002994829702656</t>
        </is>
      </c>
      <c r="AY1304" t="inlineStr">
        <is>
          <t>2266973770002656</t>
        </is>
      </c>
      <c r="AZ1304" t="inlineStr">
        <is>
          <t>BOOK</t>
        </is>
      </c>
      <c r="BB1304" t="inlineStr">
        <is>
          <t>9781566766739</t>
        </is>
      </c>
      <c r="BC1304" t="inlineStr">
        <is>
          <t>32285003666913</t>
        </is>
      </c>
      <c r="BD1304" t="inlineStr">
        <is>
          <t>893799260</t>
        </is>
      </c>
    </row>
    <row r="1305">
      <c r="A1305" t="inlineStr">
        <is>
          <t>No</t>
        </is>
      </c>
      <c r="B1305" t="inlineStr">
        <is>
          <t>LB3012 .F87</t>
        </is>
      </c>
      <c r="C1305" t="inlineStr">
        <is>
          <t>0                      LB 3012000F  87</t>
        </is>
      </c>
      <c r="D1305" t="inlineStr">
        <is>
          <t>Improving school discipline : an administrator's guide / Willis J. Furtwengler, William Konnert.</t>
        </is>
      </c>
      <c r="F1305" t="inlineStr">
        <is>
          <t>No</t>
        </is>
      </c>
      <c r="G1305" t="inlineStr">
        <is>
          <t>1</t>
        </is>
      </c>
      <c r="H1305" t="inlineStr">
        <is>
          <t>No</t>
        </is>
      </c>
      <c r="I1305" t="inlineStr">
        <is>
          <t>No</t>
        </is>
      </c>
      <c r="J1305" t="inlineStr">
        <is>
          <t>0</t>
        </is>
      </c>
      <c r="K1305" t="inlineStr">
        <is>
          <t>Furtwengler, Willis J., 1937-</t>
        </is>
      </c>
      <c r="L1305" t="inlineStr">
        <is>
          <t>Boston, Mass. : Allyn and Bacon, 1982.</t>
        </is>
      </c>
      <c r="M1305" t="inlineStr">
        <is>
          <t>1982</t>
        </is>
      </c>
      <c r="O1305" t="inlineStr">
        <is>
          <t>eng</t>
        </is>
      </c>
      <c r="P1305" t="inlineStr">
        <is>
          <t>mau</t>
        </is>
      </c>
      <c r="R1305" t="inlineStr">
        <is>
          <t xml:space="preserve">LB </t>
        </is>
      </c>
      <c r="S1305" t="n">
        <v>2</v>
      </c>
      <c r="T1305" t="n">
        <v>2</v>
      </c>
      <c r="U1305" t="inlineStr">
        <is>
          <t>1999-09-03</t>
        </is>
      </c>
      <c r="V1305" t="inlineStr">
        <is>
          <t>1999-09-03</t>
        </is>
      </c>
      <c r="W1305" t="inlineStr">
        <is>
          <t>1992-08-18</t>
        </is>
      </c>
      <c r="X1305" t="inlineStr">
        <is>
          <t>1992-08-18</t>
        </is>
      </c>
      <c r="Y1305" t="n">
        <v>352</v>
      </c>
      <c r="Z1305" t="n">
        <v>298</v>
      </c>
      <c r="AA1305" t="n">
        <v>301</v>
      </c>
      <c r="AB1305" t="n">
        <v>2</v>
      </c>
      <c r="AC1305" t="n">
        <v>2</v>
      </c>
      <c r="AD1305" t="n">
        <v>17</v>
      </c>
      <c r="AE1305" t="n">
        <v>17</v>
      </c>
      <c r="AF1305" t="n">
        <v>11</v>
      </c>
      <c r="AG1305" t="n">
        <v>11</v>
      </c>
      <c r="AH1305" t="n">
        <v>3</v>
      </c>
      <c r="AI1305" t="n">
        <v>3</v>
      </c>
      <c r="AJ1305" t="n">
        <v>7</v>
      </c>
      <c r="AK1305" t="n">
        <v>7</v>
      </c>
      <c r="AL1305" t="n">
        <v>1</v>
      </c>
      <c r="AM1305" t="n">
        <v>1</v>
      </c>
      <c r="AN1305" t="n">
        <v>0</v>
      </c>
      <c r="AO1305" t="n">
        <v>0</v>
      </c>
      <c r="AP1305" t="inlineStr">
        <is>
          <t>No</t>
        </is>
      </c>
      <c r="AQ1305" t="inlineStr">
        <is>
          <t>Yes</t>
        </is>
      </c>
      <c r="AR1305">
        <f>HYPERLINK("http://catalog.hathitrust.org/Record/000193845","HathiTrust Record")</f>
        <v/>
      </c>
      <c r="AS1305">
        <f>HYPERLINK("https://creighton-primo.hosted.exlibrisgroup.com/primo-explore/search?tab=default_tab&amp;search_scope=EVERYTHING&amp;vid=01CRU&amp;lang=en_US&amp;offset=0&amp;query=any,contains,991005207289702656","Catalog Record")</f>
        <v/>
      </c>
      <c r="AT1305">
        <f>HYPERLINK("http://www.worldcat.org/oclc/8131956","WorldCat Record")</f>
        <v/>
      </c>
      <c r="AU1305" t="inlineStr">
        <is>
          <t>31115448:eng</t>
        </is>
      </c>
      <c r="AV1305" t="inlineStr">
        <is>
          <t>8131956</t>
        </is>
      </c>
      <c r="AW1305" t="inlineStr">
        <is>
          <t>991005207289702656</t>
        </is>
      </c>
      <c r="AX1305" t="inlineStr">
        <is>
          <t>991005207289702656</t>
        </is>
      </c>
      <c r="AY1305" t="inlineStr">
        <is>
          <t>2266434580002656</t>
        </is>
      </c>
      <c r="AZ1305" t="inlineStr">
        <is>
          <t>BOOK</t>
        </is>
      </c>
      <c r="BB1305" t="inlineStr">
        <is>
          <t>9780205077571</t>
        </is>
      </c>
      <c r="BC1305" t="inlineStr">
        <is>
          <t>32285001262442</t>
        </is>
      </c>
      <c r="BD1305" t="inlineStr">
        <is>
          <t>893713635</t>
        </is>
      </c>
    </row>
    <row r="1306">
      <c r="A1306" t="inlineStr">
        <is>
          <t>No</t>
        </is>
      </c>
      <c r="B1306" t="inlineStr">
        <is>
          <t>LB3012 .G7677 1985</t>
        </is>
      </c>
      <c r="C1306" t="inlineStr">
        <is>
          <t>0                      LB 3012000G  7677        1985</t>
        </is>
      </c>
      <c r="D1306" t="inlineStr">
        <is>
          <t>Promoting effective discipline in school and classroom : a practitioner's perspective / Donald R. Grossnickle, Frank P. Sesko.</t>
        </is>
      </c>
      <c r="F1306" t="inlineStr">
        <is>
          <t>No</t>
        </is>
      </c>
      <c r="G1306" t="inlineStr">
        <is>
          <t>1</t>
        </is>
      </c>
      <c r="H1306" t="inlineStr">
        <is>
          <t>No</t>
        </is>
      </c>
      <c r="I1306" t="inlineStr">
        <is>
          <t>No</t>
        </is>
      </c>
      <c r="J1306" t="inlineStr">
        <is>
          <t>0</t>
        </is>
      </c>
      <c r="K1306" t="inlineStr">
        <is>
          <t>Grossnickle, Donald R.</t>
        </is>
      </c>
      <c r="L1306" t="inlineStr">
        <is>
          <t>Reston, Va. : National Association of Secondary School Principals, c1985.</t>
        </is>
      </c>
      <c r="M1306" t="inlineStr">
        <is>
          <t>1985</t>
        </is>
      </c>
      <c r="O1306" t="inlineStr">
        <is>
          <t>eng</t>
        </is>
      </c>
      <c r="P1306" t="inlineStr">
        <is>
          <t>vau</t>
        </is>
      </c>
      <c r="R1306" t="inlineStr">
        <is>
          <t xml:space="preserve">LB </t>
        </is>
      </c>
      <c r="S1306" t="n">
        <v>5</v>
      </c>
      <c r="T1306" t="n">
        <v>5</v>
      </c>
      <c r="U1306" t="inlineStr">
        <is>
          <t>1997-04-09</t>
        </is>
      </c>
      <c r="V1306" t="inlineStr">
        <is>
          <t>1997-04-09</t>
        </is>
      </c>
      <c r="W1306" t="inlineStr">
        <is>
          <t>1992-07-07</t>
        </is>
      </c>
      <c r="X1306" t="inlineStr">
        <is>
          <t>1992-07-07</t>
        </is>
      </c>
      <c r="Y1306" t="n">
        <v>559</v>
      </c>
      <c r="Z1306" t="n">
        <v>511</v>
      </c>
      <c r="AA1306" t="n">
        <v>524</v>
      </c>
      <c r="AB1306" t="n">
        <v>8</v>
      </c>
      <c r="AC1306" t="n">
        <v>8</v>
      </c>
      <c r="AD1306" t="n">
        <v>23</v>
      </c>
      <c r="AE1306" t="n">
        <v>23</v>
      </c>
      <c r="AF1306" t="n">
        <v>9</v>
      </c>
      <c r="AG1306" t="n">
        <v>9</v>
      </c>
      <c r="AH1306" t="n">
        <v>2</v>
      </c>
      <c r="AI1306" t="n">
        <v>2</v>
      </c>
      <c r="AJ1306" t="n">
        <v>13</v>
      </c>
      <c r="AK1306" t="n">
        <v>13</v>
      </c>
      <c r="AL1306" t="n">
        <v>7</v>
      </c>
      <c r="AM1306" t="n">
        <v>7</v>
      </c>
      <c r="AN1306" t="n">
        <v>0</v>
      </c>
      <c r="AO1306" t="n">
        <v>0</v>
      </c>
      <c r="AP1306" t="inlineStr">
        <is>
          <t>No</t>
        </is>
      </c>
      <c r="AQ1306" t="inlineStr">
        <is>
          <t>No</t>
        </is>
      </c>
      <c r="AS1306">
        <f>HYPERLINK("https://creighton-primo.hosted.exlibrisgroup.com/primo-explore/search?tab=default_tab&amp;search_scope=EVERYTHING&amp;vid=01CRU&amp;lang=en_US&amp;offset=0&amp;query=any,contains,991000758029702656","Catalog Record")</f>
        <v/>
      </c>
      <c r="AT1306">
        <f>HYPERLINK("http://www.worldcat.org/oclc/12961029","WorldCat Record")</f>
        <v/>
      </c>
      <c r="AU1306" t="inlineStr">
        <is>
          <t>5472900:eng</t>
        </is>
      </c>
      <c r="AV1306" t="inlineStr">
        <is>
          <t>12961029</t>
        </is>
      </c>
      <c r="AW1306" t="inlineStr">
        <is>
          <t>991000758029702656</t>
        </is>
      </c>
      <c r="AX1306" t="inlineStr">
        <is>
          <t>991000758029702656</t>
        </is>
      </c>
      <c r="AY1306" t="inlineStr">
        <is>
          <t>2261766420002656</t>
        </is>
      </c>
      <c r="AZ1306" t="inlineStr">
        <is>
          <t>BOOK</t>
        </is>
      </c>
      <c r="BB1306" t="inlineStr">
        <is>
          <t>9780882101705</t>
        </is>
      </c>
      <c r="BC1306" t="inlineStr">
        <is>
          <t>32285001149904</t>
        </is>
      </c>
      <c r="BD1306" t="inlineStr">
        <is>
          <t>893321320</t>
        </is>
      </c>
    </row>
    <row r="1307">
      <c r="A1307" t="inlineStr">
        <is>
          <t>No</t>
        </is>
      </c>
      <c r="B1307" t="inlineStr">
        <is>
          <t>LB3012 .M38</t>
        </is>
      </c>
      <c r="C1307" t="inlineStr">
        <is>
          <t>0                      LB 3012000M  38</t>
        </is>
      </c>
      <c r="D1307" t="inlineStr">
        <is>
          <t>Paddles away : a psychological study of physical punishment in schools / by Adah Maurer.</t>
        </is>
      </c>
      <c r="F1307" t="inlineStr">
        <is>
          <t>No</t>
        </is>
      </c>
      <c r="G1307" t="inlineStr">
        <is>
          <t>1</t>
        </is>
      </c>
      <c r="H1307" t="inlineStr">
        <is>
          <t>No</t>
        </is>
      </c>
      <c r="I1307" t="inlineStr">
        <is>
          <t>No</t>
        </is>
      </c>
      <c r="J1307" t="inlineStr">
        <is>
          <t>0</t>
        </is>
      </c>
      <c r="K1307" t="inlineStr">
        <is>
          <t>Maurer, Adah.</t>
        </is>
      </c>
      <c r="L1307" t="inlineStr">
        <is>
          <t>Palo Alto, Calif. : R &amp; E Research Associates, c1981.</t>
        </is>
      </c>
      <c r="M1307" t="inlineStr">
        <is>
          <t>1981</t>
        </is>
      </c>
      <c r="O1307" t="inlineStr">
        <is>
          <t>eng</t>
        </is>
      </c>
      <c r="P1307" t="inlineStr">
        <is>
          <t>cau</t>
        </is>
      </c>
      <c r="R1307" t="inlineStr">
        <is>
          <t xml:space="preserve">LB </t>
        </is>
      </c>
      <c r="S1307" t="n">
        <v>22</v>
      </c>
      <c r="T1307" t="n">
        <v>22</v>
      </c>
      <c r="U1307" t="inlineStr">
        <is>
          <t>2001-04-19</t>
        </is>
      </c>
      <c r="V1307" t="inlineStr">
        <is>
          <t>2001-04-19</t>
        </is>
      </c>
      <c r="W1307" t="inlineStr">
        <is>
          <t>1992-08-18</t>
        </is>
      </c>
      <c r="X1307" t="inlineStr">
        <is>
          <t>1992-08-18</t>
        </is>
      </c>
      <c r="Y1307" t="n">
        <v>211</v>
      </c>
      <c r="Z1307" t="n">
        <v>192</v>
      </c>
      <c r="AA1307" t="n">
        <v>203</v>
      </c>
      <c r="AB1307" t="n">
        <v>3</v>
      </c>
      <c r="AC1307" t="n">
        <v>3</v>
      </c>
      <c r="AD1307" t="n">
        <v>4</v>
      </c>
      <c r="AE1307" t="n">
        <v>5</v>
      </c>
      <c r="AF1307" t="n">
        <v>1</v>
      </c>
      <c r="AG1307" t="n">
        <v>2</v>
      </c>
      <c r="AH1307" t="n">
        <v>0</v>
      </c>
      <c r="AI1307" t="n">
        <v>0</v>
      </c>
      <c r="AJ1307" t="n">
        <v>1</v>
      </c>
      <c r="AK1307" t="n">
        <v>2</v>
      </c>
      <c r="AL1307" t="n">
        <v>2</v>
      </c>
      <c r="AM1307" t="n">
        <v>2</v>
      </c>
      <c r="AN1307" t="n">
        <v>0</v>
      </c>
      <c r="AO1307" t="n">
        <v>0</v>
      </c>
      <c r="AP1307" t="inlineStr">
        <is>
          <t>No</t>
        </is>
      </c>
      <c r="AQ1307" t="inlineStr">
        <is>
          <t>Yes</t>
        </is>
      </c>
      <c r="AR1307">
        <f>HYPERLINK("http://catalog.hathitrust.org/Record/000591621","HathiTrust Record")</f>
        <v/>
      </c>
      <c r="AS1307">
        <f>HYPERLINK("https://creighton-primo.hosted.exlibrisgroup.com/primo-explore/search?tab=default_tab&amp;search_scope=EVERYTHING&amp;vid=01CRU&amp;lang=en_US&amp;offset=0&amp;query=any,contains,991000021229702656","Catalog Record")</f>
        <v/>
      </c>
      <c r="AT1307">
        <f>HYPERLINK("http://www.worldcat.org/oclc/9556052","WorldCat Record")</f>
        <v/>
      </c>
      <c r="AU1307" t="inlineStr">
        <is>
          <t>229772159:eng</t>
        </is>
      </c>
      <c r="AV1307" t="inlineStr">
        <is>
          <t>9556052</t>
        </is>
      </c>
      <c r="AW1307" t="inlineStr">
        <is>
          <t>991000021229702656</t>
        </is>
      </c>
      <c r="AX1307" t="inlineStr">
        <is>
          <t>991000021229702656</t>
        </is>
      </c>
      <c r="AY1307" t="inlineStr">
        <is>
          <t>2266886280002656</t>
        </is>
      </c>
      <c r="AZ1307" t="inlineStr">
        <is>
          <t>BOOK</t>
        </is>
      </c>
      <c r="BB1307" t="inlineStr">
        <is>
          <t>9780882475998</t>
        </is>
      </c>
      <c r="BC1307" t="inlineStr">
        <is>
          <t>32285001262509</t>
        </is>
      </c>
      <c r="BD1307" t="inlineStr">
        <is>
          <t>893425339</t>
        </is>
      </c>
    </row>
    <row r="1308">
      <c r="A1308" t="inlineStr">
        <is>
          <t>No</t>
        </is>
      </c>
      <c r="B1308" t="inlineStr">
        <is>
          <t>LB3012 .R53 1982</t>
        </is>
      </c>
      <c r="C1308" t="inlineStr">
        <is>
          <t>0                      LB 3012000R  53          1982</t>
        </is>
      </c>
      <c r="D1308" t="inlineStr">
        <is>
          <t>Discipline and authority in school and family / John Martin Rich.</t>
        </is>
      </c>
      <c r="F1308" t="inlineStr">
        <is>
          <t>No</t>
        </is>
      </c>
      <c r="G1308" t="inlineStr">
        <is>
          <t>1</t>
        </is>
      </c>
      <c r="H1308" t="inlineStr">
        <is>
          <t>No</t>
        </is>
      </c>
      <c r="I1308" t="inlineStr">
        <is>
          <t>No</t>
        </is>
      </c>
      <c r="J1308" t="inlineStr">
        <is>
          <t>0</t>
        </is>
      </c>
      <c r="K1308" t="inlineStr">
        <is>
          <t>Rich, John Martin.</t>
        </is>
      </c>
      <c r="L1308" t="inlineStr">
        <is>
          <t>Lexington, Mass. : Lexington Books, c1982.</t>
        </is>
      </c>
      <c r="M1308" t="inlineStr">
        <is>
          <t>1982</t>
        </is>
      </c>
      <c r="O1308" t="inlineStr">
        <is>
          <t>eng</t>
        </is>
      </c>
      <c r="P1308" t="inlineStr">
        <is>
          <t>mau</t>
        </is>
      </c>
      <c r="R1308" t="inlineStr">
        <is>
          <t xml:space="preserve">LB </t>
        </is>
      </c>
      <c r="S1308" t="n">
        <v>17</v>
      </c>
      <c r="T1308" t="n">
        <v>17</v>
      </c>
      <c r="U1308" t="inlineStr">
        <is>
          <t>1999-04-12</t>
        </is>
      </c>
      <c r="V1308" t="inlineStr">
        <is>
          <t>1999-04-12</t>
        </is>
      </c>
      <c r="W1308" t="inlineStr">
        <is>
          <t>1992-08-18</t>
        </is>
      </c>
      <c r="X1308" t="inlineStr">
        <is>
          <t>1992-08-18</t>
        </is>
      </c>
      <c r="Y1308" t="n">
        <v>328</v>
      </c>
      <c r="Z1308" t="n">
        <v>256</v>
      </c>
      <c r="AA1308" t="n">
        <v>264</v>
      </c>
      <c r="AB1308" t="n">
        <v>2</v>
      </c>
      <c r="AC1308" t="n">
        <v>2</v>
      </c>
      <c r="AD1308" t="n">
        <v>11</v>
      </c>
      <c r="AE1308" t="n">
        <v>11</v>
      </c>
      <c r="AF1308" t="n">
        <v>4</v>
      </c>
      <c r="AG1308" t="n">
        <v>4</v>
      </c>
      <c r="AH1308" t="n">
        <v>4</v>
      </c>
      <c r="AI1308" t="n">
        <v>4</v>
      </c>
      <c r="AJ1308" t="n">
        <v>7</v>
      </c>
      <c r="AK1308" t="n">
        <v>7</v>
      </c>
      <c r="AL1308" t="n">
        <v>1</v>
      </c>
      <c r="AM1308" t="n">
        <v>1</v>
      </c>
      <c r="AN1308" t="n">
        <v>0</v>
      </c>
      <c r="AO1308" t="n">
        <v>0</v>
      </c>
      <c r="AP1308" t="inlineStr">
        <is>
          <t>No</t>
        </is>
      </c>
      <c r="AQ1308" t="inlineStr">
        <is>
          <t>Yes</t>
        </is>
      </c>
      <c r="AR1308">
        <f>HYPERLINK("http://catalog.hathitrust.org/Record/000149239","HathiTrust Record")</f>
        <v/>
      </c>
      <c r="AS1308">
        <f>HYPERLINK("https://creighton-primo.hosted.exlibrisgroup.com/primo-explore/search?tab=default_tab&amp;search_scope=EVERYTHING&amp;vid=01CRU&amp;lang=en_US&amp;offset=0&amp;query=any,contains,991005232039702656","Catalog Record")</f>
        <v/>
      </c>
      <c r="AT1308">
        <f>HYPERLINK("http://www.worldcat.org/oclc/8344734","WorldCat Record")</f>
        <v/>
      </c>
      <c r="AU1308" t="inlineStr">
        <is>
          <t>32028590:eng</t>
        </is>
      </c>
      <c r="AV1308" t="inlineStr">
        <is>
          <t>8344734</t>
        </is>
      </c>
      <c r="AW1308" t="inlineStr">
        <is>
          <t>991005232039702656</t>
        </is>
      </c>
      <c r="AX1308" t="inlineStr">
        <is>
          <t>991005232039702656</t>
        </is>
      </c>
      <c r="AY1308" t="inlineStr">
        <is>
          <t>2260660740002656</t>
        </is>
      </c>
      <c r="AZ1308" t="inlineStr">
        <is>
          <t>BOOK</t>
        </is>
      </c>
      <c r="BB1308" t="inlineStr">
        <is>
          <t>9780669051681</t>
        </is>
      </c>
      <c r="BC1308" t="inlineStr">
        <is>
          <t>32285001262533</t>
        </is>
      </c>
      <c r="BD1308" t="inlineStr">
        <is>
          <t>893332638</t>
        </is>
      </c>
    </row>
    <row r="1309">
      <c r="A1309" t="inlineStr">
        <is>
          <t>No</t>
        </is>
      </c>
      <c r="B1309" t="inlineStr">
        <is>
          <t>LB3012 .W335 1995</t>
        </is>
      </c>
      <c r="C1309" t="inlineStr">
        <is>
          <t>0                      LB 3012000W  335         1995</t>
        </is>
      </c>
      <c r="D1309" t="inlineStr">
        <is>
          <t>Antisocial behavior in school : strategies and best practices / Hill M. Walker, Geoff Colvin, and Elizabeth Ramsey.</t>
        </is>
      </c>
      <c r="F1309" t="inlineStr">
        <is>
          <t>No</t>
        </is>
      </c>
      <c r="G1309" t="inlineStr">
        <is>
          <t>1</t>
        </is>
      </c>
      <c r="H1309" t="inlineStr">
        <is>
          <t>No</t>
        </is>
      </c>
      <c r="I1309" t="inlineStr">
        <is>
          <t>No</t>
        </is>
      </c>
      <c r="J1309" t="inlineStr">
        <is>
          <t>0</t>
        </is>
      </c>
      <c r="K1309" t="inlineStr">
        <is>
          <t>Walker, Hill M.</t>
        </is>
      </c>
      <c r="L1309" t="inlineStr">
        <is>
          <t>Pacific Grove, Calif. : Brooks/Cole Pub. Co., c1995.</t>
        </is>
      </c>
      <c r="M1309" t="inlineStr">
        <is>
          <t>1995</t>
        </is>
      </c>
      <c r="O1309" t="inlineStr">
        <is>
          <t>eng</t>
        </is>
      </c>
      <c r="P1309" t="inlineStr">
        <is>
          <t>cau</t>
        </is>
      </c>
      <c r="R1309" t="inlineStr">
        <is>
          <t xml:space="preserve">LB </t>
        </is>
      </c>
      <c r="S1309" t="n">
        <v>16</v>
      </c>
      <c r="T1309" t="n">
        <v>16</v>
      </c>
      <c r="U1309" t="inlineStr">
        <is>
          <t>2003-01-17</t>
        </is>
      </c>
      <c r="V1309" t="inlineStr">
        <is>
          <t>2003-01-17</t>
        </is>
      </c>
      <c r="W1309" t="inlineStr">
        <is>
          <t>1995-02-01</t>
        </is>
      </c>
      <c r="X1309" t="inlineStr">
        <is>
          <t>1995-02-01</t>
        </is>
      </c>
      <c r="Y1309" t="n">
        <v>385</v>
      </c>
      <c r="Z1309" t="n">
        <v>296</v>
      </c>
      <c r="AA1309" t="n">
        <v>299</v>
      </c>
      <c r="AB1309" t="n">
        <v>6</v>
      </c>
      <c r="AC1309" t="n">
        <v>6</v>
      </c>
      <c r="AD1309" t="n">
        <v>14</v>
      </c>
      <c r="AE1309" t="n">
        <v>14</v>
      </c>
      <c r="AF1309" t="n">
        <v>6</v>
      </c>
      <c r="AG1309" t="n">
        <v>6</v>
      </c>
      <c r="AH1309" t="n">
        <v>1</v>
      </c>
      <c r="AI1309" t="n">
        <v>1</v>
      </c>
      <c r="AJ1309" t="n">
        <v>6</v>
      </c>
      <c r="AK1309" t="n">
        <v>6</v>
      </c>
      <c r="AL1309" t="n">
        <v>5</v>
      </c>
      <c r="AM1309" t="n">
        <v>5</v>
      </c>
      <c r="AN1309" t="n">
        <v>0</v>
      </c>
      <c r="AO1309" t="n">
        <v>0</v>
      </c>
      <c r="AP1309" t="inlineStr">
        <is>
          <t>No</t>
        </is>
      </c>
      <c r="AQ1309" t="inlineStr">
        <is>
          <t>Yes</t>
        </is>
      </c>
      <c r="AR1309">
        <f>HYPERLINK("http://catalog.hathitrust.org/Record/003830266","HathiTrust Record")</f>
        <v/>
      </c>
      <c r="AS1309">
        <f>HYPERLINK("https://creighton-primo.hosted.exlibrisgroup.com/primo-explore/search?tab=default_tab&amp;search_scope=EVERYTHING&amp;vid=01CRU&amp;lang=en_US&amp;offset=0&amp;query=any,contains,991002397179702656","Catalog Record")</f>
        <v/>
      </c>
      <c r="AT1309">
        <f>HYPERLINK("http://www.worldcat.org/oclc/31134346","WorldCat Record")</f>
        <v/>
      </c>
      <c r="AU1309" t="inlineStr">
        <is>
          <t>33279398:eng</t>
        </is>
      </c>
      <c r="AV1309" t="inlineStr">
        <is>
          <t>31134346</t>
        </is>
      </c>
      <c r="AW1309" t="inlineStr">
        <is>
          <t>991002397179702656</t>
        </is>
      </c>
      <c r="AX1309" t="inlineStr">
        <is>
          <t>991002397179702656</t>
        </is>
      </c>
      <c r="AY1309" t="inlineStr">
        <is>
          <t>2272685450002656</t>
        </is>
      </c>
      <c r="AZ1309" t="inlineStr">
        <is>
          <t>BOOK</t>
        </is>
      </c>
      <c r="BB1309" t="inlineStr">
        <is>
          <t>9780534256449</t>
        </is>
      </c>
      <c r="BC1309" t="inlineStr">
        <is>
          <t>32285001996361</t>
        </is>
      </c>
      <c r="BD1309" t="inlineStr">
        <is>
          <t>893245124</t>
        </is>
      </c>
    </row>
    <row r="1310">
      <c r="A1310" t="inlineStr">
        <is>
          <t>No</t>
        </is>
      </c>
      <c r="B1310" t="inlineStr">
        <is>
          <t>LB3012.2 .H37 1995</t>
        </is>
      </c>
      <c r="C1310" t="inlineStr">
        <is>
          <t>0                      LB 3012200H  37          1995</t>
        </is>
      </c>
      <c r="D1310" t="inlineStr">
        <is>
          <t>Inspiring discipline : a practical guide for today's classrooms / by Merrill Harmin.</t>
        </is>
      </c>
      <c r="F1310" t="inlineStr">
        <is>
          <t>No</t>
        </is>
      </c>
      <c r="G1310" t="inlineStr">
        <is>
          <t>1</t>
        </is>
      </c>
      <c r="H1310" t="inlineStr">
        <is>
          <t>No</t>
        </is>
      </c>
      <c r="I1310" t="inlineStr">
        <is>
          <t>No</t>
        </is>
      </c>
      <c r="J1310" t="inlineStr">
        <is>
          <t>0</t>
        </is>
      </c>
      <c r="K1310" t="inlineStr">
        <is>
          <t>Harmin, Merrill.</t>
        </is>
      </c>
      <c r="L1310" t="inlineStr">
        <is>
          <t>Washington, D.C. : National Education Association, c1995.</t>
        </is>
      </c>
      <c r="M1310" t="inlineStr">
        <is>
          <t>1995</t>
        </is>
      </c>
      <c r="O1310" t="inlineStr">
        <is>
          <t>eng</t>
        </is>
      </c>
      <c r="P1310" t="inlineStr">
        <is>
          <t>dcu</t>
        </is>
      </c>
      <c r="Q1310" t="inlineStr">
        <is>
          <t>The Inspired classroom series</t>
        </is>
      </c>
      <c r="R1310" t="inlineStr">
        <is>
          <t xml:space="preserve">LB </t>
        </is>
      </c>
      <c r="S1310" t="n">
        <v>18</v>
      </c>
      <c r="T1310" t="n">
        <v>18</v>
      </c>
      <c r="U1310" t="inlineStr">
        <is>
          <t>2001-12-01</t>
        </is>
      </c>
      <c r="V1310" t="inlineStr">
        <is>
          <t>2001-12-01</t>
        </is>
      </c>
      <c r="W1310" t="inlineStr">
        <is>
          <t>1995-06-29</t>
        </is>
      </c>
      <c r="X1310" t="inlineStr">
        <is>
          <t>1995-06-29</t>
        </is>
      </c>
      <c r="Y1310" t="n">
        <v>360</v>
      </c>
      <c r="Z1310" t="n">
        <v>347</v>
      </c>
      <c r="AA1310" t="n">
        <v>353</v>
      </c>
      <c r="AB1310" t="n">
        <v>8</v>
      </c>
      <c r="AC1310" t="n">
        <v>8</v>
      </c>
      <c r="AD1310" t="n">
        <v>19</v>
      </c>
      <c r="AE1310" t="n">
        <v>19</v>
      </c>
      <c r="AF1310" t="n">
        <v>9</v>
      </c>
      <c r="AG1310" t="n">
        <v>9</v>
      </c>
      <c r="AH1310" t="n">
        <v>4</v>
      </c>
      <c r="AI1310" t="n">
        <v>4</v>
      </c>
      <c r="AJ1310" t="n">
        <v>5</v>
      </c>
      <c r="AK1310" t="n">
        <v>5</v>
      </c>
      <c r="AL1310" t="n">
        <v>6</v>
      </c>
      <c r="AM1310" t="n">
        <v>6</v>
      </c>
      <c r="AN1310" t="n">
        <v>0</v>
      </c>
      <c r="AO1310" t="n">
        <v>0</v>
      </c>
      <c r="AP1310" t="inlineStr">
        <is>
          <t>No</t>
        </is>
      </c>
      <c r="AQ1310" t="inlineStr">
        <is>
          <t>No</t>
        </is>
      </c>
      <c r="AS1310">
        <f>HYPERLINK("https://creighton-primo.hosted.exlibrisgroup.com/primo-explore/search?tab=default_tab&amp;search_scope=EVERYTHING&amp;vid=01CRU&amp;lang=en_US&amp;offset=0&amp;query=any,contains,991002258229702656","Catalog Record")</f>
        <v/>
      </c>
      <c r="AT1310">
        <f>HYPERLINK("http://www.worldcat.org/oclc/29258219","WorldCat Record")</f>
        <v/>
      </c>
      <c r="AU1310" t="inlineStr">
        <is>
          <t>36651806:eng</t>
        </is>
      </c>
      <c r="AV1310" t="inlineStr">
        <is>
          <t>29258219</t>
        </is>
      </c>
      <c r="AW1310" t="inlineStr">
        <is>
          <t>991002258229702656</t>
        </is>
      </c>
      <c r="AX1310" t="inlineStr">
        <is>
          <t>991002258229702656</t>
        </is>
      </c>
      <c r="AY1310" t="inlineStr">
        <is>
          <t>2265543140002656</t>
        </is>
      </c>
      <c r="AZ1310" t="inlineStr">
        <is>
          <t>BOOK</t>
        </is>
      </c>
      <c r="BB1310" t="inlineStr">
        <is>
          <t>9780810629042</t>
        </is>
      </c>
      <c r="BC1310" t="inlineStr">
        <is>
          <t>32285002057676</t>
        </is>
      </c>
      <c r="BD1310" t="inlineStr">
        <is>
          <t>893226630</t>
        </is>
      </c>
    </row>
    <row r="1311">
      <c r="A1311" t="inlineStr">
        <is>
          <t>No</t>
        </is>
      </c>
      <c r="B1311" t="inlineStr">
        <is>
          <t>LB3012.2 .H96 1990</t>
        </is>
      </c>
      <c r="C1311" t="inlineStr">
        <is>
          <t>0                      LB 3012200H  96          1990</t>
        </is>
      </c>
      <c r="D1311" t="inlineStr">
        <is>
          <t>Reading, writing, and the hickory stick : the appalling story of physical and psychological abuse in American schools / Irwin A. Hyman ; foreword by Phil Donahue.</t>
        </is>
      </c>
      <c r="F1311" t="inlineStr">
        <is>
          <t>No</t>
        </is>
      </c>
      <c r="G1311" t="inlineStr">
        <is>
          <t>1</t>
        </is>
      </c>
      <c r="H1311" t="inlineStr">
        <is>
          <t>No</t>
        </is>
      </c>
      <c r="I1311" t="inlineStr">
        <is>
          <t>No</t>
        </is>
      </c>
      <c r="J1311" t="inlineStr">
        <is>
          <t>0</t>
        </is>
      </c>
      <c r="K1311" t="inlineStr">
        <is>
          <t>Hyman, Irwin A.</t>
        </is>
      </c>
      <c r="L1311" t="inlineStr">
        <is>
          <t>Lexington, Mass. : Lexington Books, c1990.</t>
        </is>
      </c>
      <c r="M1311" t="inlineStr">
        <is>
          <t>1990</t>
        </is>
      </c>
      <c r="O1311" t="inlineStr">
        <is>
          <t>eng</t>
        </is>
      </c>
      <c r="P1311" t="inlineStr">
        <is>
          <t>mau</t>
        </is>
      </c>
      <c r="R1311" t="inlineStr">
        <is>
          <t xml:space="preserve">LB </t>
        </is>
      </c>
      <c r="S1311" t="n">
        <v>30</v>
      </c>
      <c r="T1311" t="n">
        <v>30</v>
      </c>
      <c r="U1311" t="inlineStr">
        <is>
          <t>2010-10-26</t>
        </is>
      </c>
      <c r="V1311" t="inlineStr">
        <is>
          <t>2010-10-26</t>
        </is>
      </c>
      <c r="W1311" t="inlineStr">
        <is>
          <t>1990-06-29</t>
        </is>
      </c>
      <c r="X1311" t="inlineStr">
        <is>
          <t>1990-06-29</t>
        </is>
      </c>
      <c r="Y1311" t="n">
        <v>683</v>
      </c>
      <c r="Z1311" t="n">
        <v>637</v>
      </c>
      <c r="AA1311" t="n">
        <v>639</v>
      </c>
      <c r="AB1311" t="n">
        <v>6</v>
      </c>
      <c r="AC1311" t="n">
        <v>6</v>
      </c>
      <c r="AD1311" t="n">
        <v>22</v>
      </c>
      <c r="AE1311" t="n">
        <v>22</v>
      </c>
      <c r="AF1311" t="n">
        <v>7</v>
      </c>
      <c r="AG1311" t="n">
        <v>7</v>
      </c>
      <c r="AH1311" t="n">
        <v>3</v>
      </c>
      <c r="AI1311" t="n">
        <v>3</v>
      </c>
      <c r="AJ1311" t="n">
        <v>11</v>
      </c>
      <c r="AK1311" t="n">
        <v>11</v>
      </c>
      <c r="AL1311" t="n">
        <v>4</v>
      </c>
      <c r="AM1311" t="n">
        <v>4</v>
      </c>
      <c r="AN1311" t="n">
        <v>1</v>
      </c>
      <c r="AO1311" t="n">
        <v>1</v>
      </c>
      <c r="AP1311" t="inlineStr">
        <is>
          <t>No</t>
        </is>
      </c>
      <c r="AQ1311" t="inlineStr">
        <is>
          <t>Yes</t>
        </is>
      </c>
      <c r="AR1311">
        <f>HYPERLINK("http://catalog.hathitrust.org/Record/001948814","HathiTrust Record")</f>
        <v/>
      </c>
      <c r="AS1311">
        <f>HYPERLINK("https://creighton-primo.hosted.exlibrisgroup.com/primo-explore/search?tab=default_tab&amp;search_scope=EVERYTHING&amp;vid=01CRU&amp;lang=en_US&amp;offset=0&amp;query=any,contains,991001606179702656","Catalog Record")</f>
        <v/>
      </c>
      <c r="AT1311">
        <f>HYPERLINK("http://www.worldcat.org/oclc/20692791","WorldCat Record")</f>
        <v/>
      </c>
      <c r="AU1311" t="inlineStr">
        <is>
          <t>433362211:eng</t>
        </is>
      </c>
      <c r="AV1311" t="inlineStr">
        <is>
          <t>20692791</t>
        </is>
      </c>
      <c r="AW1311" t="inlineStr">
        <is>
          <t>991001606179702656</t>
        </is>
      </c>
      <c r="AX1311" t="inlineStr">
        <is>
          <t>991001606179702656</t>
        </is>
      </c>
      <c r="AY1311" t="inlineStr">
        <is>
          <t>2255037460002656</t>
        </is>
      </c>
      <c r="AZ1311" t="inlineStr">
        <is>
          <t>BOOK</t>
        </is>
      </c>
      <c r="BB1311" t="inlineStr">
        <is>
          <t>9780669219906</t>
        </is>
      </c>
      <c r="BC1311" t="inlineStr">
        <is>
          <t>32285000206903</t>
        </is>
      </c>
      <c r="BD1311" t="inlineStr">
        <is>
          <t>893891670</t>
        </is>
      </c>
    </row>
    <row r="1312">
      <c r="A1312" t="inlineStr">
        <is>
          <t>No</t>
        </is>
      </c>
      <c r="B1312" t="inlineStr">
        <is>
          <t>LB3012.2 .K67 1998</t>
        </is>
      </c>
      <c r="C1312" t="inlineStr">
        <is>
          <t>0                      LB 3012200K  67          1998</t>
        </is>
      </c>
      <c r="D1312" t="inlineStr">
        <is>
          <t>The discipline checklist : advice from 60 successful elementary teachers / by Ken Kosier.</t>
        </is>
      </c>
      <c r="F1312" t="inlineStr">
        <is>
          <t>No</t>
        </is>
      </c>
      <c r="G1312" t="inlineStr">
        <is>
          <t>1</t>
        </is>
      </c>
      <c r="H1312" t="inlineStr">
        <is>
          <t>No</t>
        </is>
      </c>
      <c r="I1312" t="inlineStr">
        <is>
          <t>No</t>
        </is>
      </c>
      <c r="J1312" t="inlineStr">
        <is>
          <t>0</t>
        </is>
      </c>
      <c r="K1312" t="inlineStr">
        <is>
          <t>Kosier, Ken.</t>
        </is>
      </c>
      <c r="L1312" t="inlineStr">
        <is>
          <t>[Washington, D.C.] : National Education Association of the United States ; Annapolis Junction, MD : NEA Professional Library [distributor], c1998.</t>
        </is>
      </c>
      <c r="M1312" t="inlineStr">
        <is>
          <t>1998</t>
        </is>
      </c>
      <c r="O1312" t="inlineStr">
        <is>
          <t>eng</t>
        </is>
      </c>
      <c r="P1312" t="inlineStr">
        <is>
          <t>dcu</t>
        </is>
      </c>
      <c r="Q1312" t="inlineStr">
        <is>
          <t>NEA checklist series</t>
        </is>
      </c>
      <c r="R1312" t="inlineStr">
        <is>
          <t xml:space="preserve">LB </t>
        </is>
      </c>
      <c r="S1312" t="n">
        <v>1</v>
      </c>
      <c r="T1312" t="n">
        <v>1</v>
      </c>
      <c r="U1312" t="inlineStr">
        <is>
          <t>2002-12-03</t>
        </is>
      </c>
      <c r="V1312" t="inlineStr">
        <is>
          <t>2002-12-03</t>
        </is>
      </c>
      <c r="W1312" t="inlineStr">
        <is>
          <t>1998-09-14</t>
        </is>
      </c>
      <c r="X1312" t="inlineStr">
        <is>
          <t>1998-09-14</t>
        </is>
      </c>
      <c r="Y1312" t="n">
        <v>183</v>
      </c>
      <c r="Z1312" t="n">
        <v>178</v>
      </c>
      <c r="AA1312" t="n">
        <v>243</v>
      </c>
      <c r="AB1312" t="n">
        <v>2</v>
      </c>
      <c r="AC1312" t="n">
        <v>4</v>
      </c>
      <c r="AD1312" t="n">
        <v>7</v>
      </c>
      <c r="AE1312" t="n">
        <v>12</v>
      </c>
      <c r="AF1312" t="n">
        <v>3</v>
      </c>
      <c r="AG1312" t="n">
        <v>6</v>
      </c>
      <c r="AH1312" t="n">
        <v>0</v>
      </c>
      <c r="AI1312" t="n">
        <v>0</v>
      </c>
      <c r="AJ1312" t="n">
        <v>4</v>
      </c>
      <c r="AK1312" t="n">
        <v>5</v>
      </c>
      <c r="AL1312" t="n">
        <v>1</v>
      </c>
      <c r="AM1312" t="n">
        <v>3</v>
      </c>
      <c r="AN1312" t="n">
        <v>0</v>
      </c>
      <c r="AO1312" t="n">
        <v>0</v>
      </c>
      <c r="AP1312" t="inlineStr">
        <is>
          <t>No</t>
        </is>
      </c>
      <c r="AQ1312" t="inlineStr">
        <is>
          <t>No</t>
        </is>
      </c>
      <c r="AS1312">
        <f>HYPERLINK("https://creighton-primo.hosted.exlibrisgroup.com/primo-explore/search?tab=default_tab&amp;search_scope=EVERYTHING&amp;vid=01CRU&amp;lang=en_US&amp;offset=0&amp;query=any,contains,991002885999702656","Catalog Record")</f>
        <v/>
      </c>
      <c r="AT1312">
        <f>HYPERLINK("http://www.worldcat.org/oclc/38024292","WorldCat Record")</f>
        <v/>
      </c>
      <c r="AU1312" t="inlineStr">
        <is>
          <t>6227798:eng</t>
        </is>
      </c>
      <c r="AV1312" t="inlineStr">
        <is>
          <t>38024292</t>
        </is>
      </c>
      <c r="AW1312" t="inlineStr">
        <is>
          <t>991002885999702656</t>
        </is>
      </c>
      <c r="AX1312" t="inlineStr">
        <is>
          <t>991002885999702656</t>
        </is>
      </c>
      <c r="AY1312" t="inlineStr">
        <is>
          <t>2264198730002656</t>
        </is>
      </c>
      <c r="AZ1312" t="inlineStr">
        <is>
          <t>BOOK</t>
        </is>
      </c>
      <c r="BB1312" t="inlineStr">
        <is>
          <t>9780810621602</t>
        </is>
      </c>
      <c r="BC1312" t="inlineStr">
        <is>
          <t>32285003467759</t>
        </is>
      </c>
      <c r="BD1312" t="inlineStr">
        <is>
          <t>893793054</t>
        </is>
      </c>
    </row>
    <row r="1313">
      <c r="A1313" t="inlineStr">
        <is>
          <t>No</t>
        </is>
      </c>
      <c r="B1313" t="inlineStr">
        <is>
          <t>LB3012.2 .S363 2008</t>
        </is>
      </c>
      <c r="C1313" t="inlineStr">
        <is>
          <t>0                      LB 3012200S  363         2008</t>
        </is>
      </c>
      <c r="D1313" t="inlineStr">
        <is>
          <t>Schoolwide prevention models : lessons learned in elementary schools / edited by Charles R. Greenwood, Thomas R. Kratochwill, Melissa Clements.</t>
        </is>
      </c>
      <c r="F1313" t="inlineStr">
        <is>
          <t>No</t>
        </is>
      </c>
      <c r="G1313" t="inlineStr">
        <is>
          <t>1</t>
        </is>
      </c>
      <c r="H1313" t="inlineStr">
        <is>
          <t>No</t>
        </is>
      </c>
      <c r="I1313" t="inlineStr">
        <is>
          <t>No</t>
        </is>
      </c>
      <c r="J1313" t="inlineStr">
        <is>
          <t>0</t>
        </is>
      </c>
      <c r="L1313" t="inlineStr">
        <is>
          <t>New York : Guilford Press, c2008.</t>
        </is>
      </c>
      <c r="M1313" t="inlineStr">
        <is>
          <t>2008</t>
        </is>
      </c>
      <c r="O1313" t="inlineStr">
        <is>
          <t>eng</t>
        </is>
      </c>
      <c r="P1313" t="inlineStr">
        <is>
          <t>nyu</t>
        </is>
      </c>
      <c r="R1313" t="inlineStr">
        <is>
          <t xml:space="preserve">LB </t>
        </is>
      </c>
      <c r="S1313" t="n">
        <v>1</v>
      </c>
      <c r="T1313" t="n">
        <v>1</v>
      </c>
      <c r="U1313" t="inlineStr">
        <is>
          <t>2008-09-23</t>
        </is>
      </c>
      <c r="V1313" t="inlineStr">
        <is>
          <t>2008-09-23</t>
        </is>
      </c>
      <c r="W1313" t="inlineStr">
        <is>
          <t>2008-09-23</t>
        </is>
      </c>
      <c r="X1313" t="inlineStr">
        <is>
          <t>2008-09-23</t>
        </is>
      </c>
      <c r="Y1313" t="n">
        <v>303</v>
      </c>
      <c r="Z1313" t="n">
        <v>270</v>
      </c>
      <c r="AA1313" t="n">
        <v>291</v>
      </c>
      <c r="AB1313" t="n">
        <v>3</v>
      </c>
      <c r="AC1313" t="n">
        <v>3</v>
      </c>
      <c r="AD1313" t="n">
        <v>18</v>
      </c>
      <c r="AE1313" t="n">
        <v>18</v>
      </c>
      <c r="AF1313" t="n">
        <v>10</v>
      </c>
      <c r="AG1313" t="n">
        <v>10</v>
      </c>
      <c r="AH1313" t="n">
        <v>3</v>
      </c>
      <c r="AI1313" t="n">
        <v>3</v>
      </c>
      <c r="AJ1313" t="n">
        <v>7</v>
      </c>
      <c r="AK1313" t="n">
        <v>7</v>
      </c>
      <c r="AL1313" t="n">
        <v>2</v>
      </c>
      <c r="AM1313" t="n">
        <v>2</v>
      </c>
      <c r="AN1313" t="n">
        <v>0</v>
      </c>
      <c r="AO1313" t="n">
        <v>0</v>
      </c>
      <c r="AP1313" t="inlineStr">
        <is>
          <t>No</t>
        </is>
      </c>
      <c r="AQ1313" t="inlineStr">
        <is>
          <t>No</t>
        </is>
      </c>
      <c r="AS1313">
        <f>HYPERLINK("https://creighton-primo.hosted.exlibrisgroup.com/primo-explore/search?tab=default_tab&amp;search_scope=EVERYTHING&amp;vid=01CRU&amp;lang=en_US&amp;offset=0&amp;query=any,contains,991005269219702656","Catalog Record")</f>
        <v/>
      </c>
      <c r="AT1313">
        <f>HYPERLINK("http://www.worldcat.org/oclc/213384894","WorldCat Record")</f>
        <v/>
      </c>
      <c r="AU1313" t="inlineStr">
        <is>
          <t>866285541:eng</t>
        </is>
      </c>
      <c r="AV1313" t="inlineStr">
        <is>
          <t>213384894</t>
        </is>
      </c>
      <c r="AW1313" t="inlineStr">
        <is>
          <t>991005269219702656</t>
        </is>
      </c>
      <c r="AX1313" t="inlineStr">
        <is>
          <t>991005269219702656</t>
        </is>
      </c>
      <c r="AY1313" t="inlineStr">
        <is>
          <t>2258173130002656</t>
        </is>
      </c>
      <c r="AZ1313" t="inlineStr">
        <is>
          <t>BOOK</t>
        </is>
      </c>
      <c r="BB1313" t="inlineStr">
        <is>
          <t>9781593858391</t>
        </is>
      </c>
      <c r="BC1313" t="inlineStr">
        <is>
          <t>32285005460000</t>
        </is>
      </c>
      <c r="BD1313" t="inlineStr">
        <is>
          <t>893688868</t>
        </is>
      </c>
    </row>
    <row r="1314">
      <c r="A1314" t="inlineStr">
        <is>
          <t>No</t>
        </is>
      </c>
      <c r="B1314" t="inlineStr">
        <is>
          <t>LB3012.2 .T56 2008</t>
        </is>
      </c>
      <c r="C1314" t="inlineStr">
        <is>
          <t>0                      LB 3012200T  56          2008</t>
        </is>
      </c>
      <c r="D1314" t="inlineStr">
        <is>
          <t>What schools ban and why / R. Murray Thomas.</t>
        </is>
      </c>
      <c r="F1314" t="inlineStr">
        <is>
          <t>No</t>
        </is>
      </c>
      <c r="G1314" t="inlineStr">
        <is>
          <t>1</t>
        </is>
      </c>
      <c r="H1314" t="inlineStr">
        <is>
          <t>No</t>
        </is>
      </c>
      <c r="I1314" t="inlineStr">
        <is>
          <t>No</t>
        </is>
      </c>
      <c r="J1314" t="inlineStr">
        <is>
          <t>0</t>
        </is>
      </c>
      <c r="K1314" t="inlineStr">
        <is>
          <t>Thomas, R. Murray (Robert Murray), 1921-</t>
        </is>
      </c>
      <c r="L1314" t="inlineStr">
        <is>
          <t>Westport, Conn. : Praeger, 2008.</t>
        </is>
      </c>
      <c r="M1314" t="inlineStr">
        <is>
          <t>2008</t>
        </is>
      </c>
      <c r="O1314" t="inlineStr">
        <is>
          <t>eng</t>
        </is>
      </c>
      <c r="P1314" t="inlineStr">
        <is>
          <t>ctu</t>
        </is>
      </c>
      <c r="R1314" t="inlineStr">
        <is>
          <t xml:space="preserve">LB </t>
        </is>
      </c>
      <c r="S1314" t="n">
        <v>2</v>
      </c>
      <c r="T1314" t="n">
        <v>2</v>
      </c>
      <c r="U1314" t="inlineStr">
        <is>
          <t>2009-11-11</t>
        </is>
      </c>
      <c r="V1314" t="inlineStr">
        <is>
          <t>2009-11-11</t>
        </is>
      </c>
      <c r="W1314" t="inlineStr">
        <is>
          <t>2008-08-27</t>
        </is>
      </c>
      <c r="X1314" t="inlineStr">
        <is>
          <t>2008-08-27</t>
        </is>
      </c>
      <c r="Y1314" t="n">
        <v>852</v>
      </c>
      <c r="Z1314" t="n">
        <v>806</v>
      </c>
      <c r="AA1314" t="n">
        <v>841</v>
      </c>
      <c r="AB1314" t="n">
        <v>8</v>
      </c>
      <c r="AC1314" t="n">
        <v>8</v>
      </c>
      <c r="AD1314" t="n">
        <v>36</v>
      </c>
      <c r="AE1314" t="n">
        <v>38</v>
      </c>
      <c r="AF1314" t="n">
        <v>20</v>
      </c>
      <c r="AG1314" t="n">
        <v>22</v>
      </c>
      <c r="AH1314" t="n">
        <v>4</v>
      </c>
      <c r="AI1314" t="n">
        <v>4</v>
      </c>
      <c r="AJ1314" t="n">
        <v>11</v>
      </c>
      <c r="AK1314" t="n">
        <v>11</v>
      </c>
      <c r="AL1314" t="n">
        <v>7</v>
      </c>
      <c r="AM1314" t="n">
        <v>7</v>
      </c>
      <c r="AN1314" t="n">
        <v>1</v>
      </c>
      <c r="AO1314" t="n">
        <v>1</v>
      </c>
      <c r="AP1314" t="inlineStr">
        <is>
          <t>No</t>
        </is>
      </c>
      <c r="AQ1314" t="inlineStr">
        <is>
          <t>Yes</t>
        </is>
      </c>
      <c r="AR1314">
        <f>HYPERLINK("http://catalog.hathitrust.org/Record/005839329","HathiTrust Record")</f>
        <v/>
      </c>
      <c r="AS1314">
        <f>HYPERLINK("https://creighton-primo.hosted.exlibrisgroup.com/primo-explore/search?tab=default_tab&amp;search_scope=EVERYTHING&amp;vid=01CRU&amp;lang=en_US&amp;offset=0&amp;query=any,contains,991005259839702656","Catalog Record")</f>
        <v/>
      </c>
      <c r="AT1314">
        <f>HYPERLINK("http://www.worldcat.org/oclc/214935179","WorldCat Record")</f>
        <v/>
      </c>
      <c r="AU1314" t="inlineStr">
        <is>
          <t>131675139:eng</t>
        </is>
      </c>
      <c r="AV1314" t="inlineStr">
        <is>
          <t>214935179</t>
        </is>
      </c>
      <c r="AW1314" t="inlineStr">
        <is>
          <t>991005259839702656</t>
        </is>
      </c>
      <c r="AX1314" t="inlineStr">
        <is>
          <t>991005259839702656</t>
        </is>
      </c>
      <c r="AY1314" t="inlineStr">
        <is>
          <t>2269646070002656</t>
        </is>
      </c>
      <c r="AZ1314" t="inlineStr">
        <is>
          <t>BOOK</t>
        </is>
      </c>
      <c r="BB1314" t="inlineStr">
        <is>
          <t>9780313352980</t>
        </is>
      </c>
      <c r="BC1314" t="inlineStr">
        <is>
          <t>32285005456024</t>
        </is>
      </c>
      <c r="BD1314" t="inlineStr">
        <is>
          <t>893236554</t>
        </is>
      </c>
    </row>
    <row r="1315">
      <c r="A1315" t="inlineStr">
        <is>
          <t>No</t>
        </is>
      </c>
      <c r="B1315" t="inlineStr">
        <is>
          <t>LB3012.2 .Y68 2008</t>
        </is>
      </c>
      <c r="C1315" t="inlineStr">
        <is>
          <t>0                      LB 3012200Y  68          2008</t>
        </is>
      </c>
      <c r="D1315" t="inlineStr">
        <is>
          <t>Promoting positive behaviors : an elementary principal's guide to structuring the learning environment / Paul G. Young ; foreword by Gail Connelly.</t>
        </is>
      </c>
      <c r="F1315" t="inlineStr">
        <is>
          <t>No</t>
        </is>
      </c>
      <c r="G1315" t="inlineStr">
        <is>
          <t>1</t>
        </is>
      </c>
      <c r="H1315" t="inlineStr">
        <is>
          <t>No</t>
        </is>
      </c>
      <c r="I1315" t="inlineStr">
        <is>
          <t>No</t>
        </is>
      </c>
      <c r="J1315" t="inlineStr">
        <is>
          <t>0</t>
        </is>
      </c>
      <c r="K1315" t="inlineStr">
        <is>
          <t>Young, Paul G., 1950-</t>
        </is>
      </c>
      <c r="L1315" t="inlineStr">
        <is>
          <t>Thousand Oaks, CA : Corwin Press ; [s.l.] : National Association of Elementary School Principals, c2008.</t>
        </is>
      </c>
      <c r="M1315" t="inlineStr">
        <is>
          <t>2008</t>
        </is>
      </c>
      <c r="O1315" t="inlineStr">
        <is>
          <t>eng</t>
        </is>
      </c>
      <c r="P1315" t="inlineStr">
        <is>
          <t>cau</t>
        </is>
      </c>
      <c r="R1315" t="inlineStr">
        <is>
          <t xml:space="preserve">LB </t>
        </is>
      </c>
      <c r="S1315" t="n">
        <v>2</v>
      </c>
      <c r="T1315" t="n">
        <v>2</v>
      </c>
      <c r="U1315" t="inlineStr">
        <is>
          <t>2008-02-04</t>
        </is>
      </c>
      <c r="V1315" t="inlineStr">
        <is>
          <t>2008-02-04</t>
        </is>
      </c>
      <c r="W1315" t="inlineStr">
        <is>
          <t>2008-02-04</t>
        </is>
      </c>
      <c r="X1315" t="inlineStr">
        <is>
          <t>2008-02-04</t>
        </is>
      </c>
      <c r="Y1315" t="n">
        <v>183</v>
      </c>
      <c r="Z1315" t="n">
        <v>148</v>
      </c>
      <c r="AA1315" t="n">
        <v>166</v>
      </c>
      <c r="AB1315" t="n">
        <v>3</v>
      </c>
      <c r="AC1315" t="n">
        <v>4</v>
      </c>
      <c r="AD1315" t="n">
        <v>10</v>
      </c>
      <c r="AE1315" t="n">
        <v>12</v>
      </c>
      <c r="AF1315" t="n">
        <v>2</v>
      </c>
      <c r="AG1315" t="n">
        <v>3</v>
      </c>
      <c r="AH1315" t="n">
        <v>2</v>
      </c>
      <c r="AI1315" t="n">
        <v>3</v>
      </c>
      <c r="AJ1315" t="n">
        <v>7</v>
      </c>
      <c r="AK1315" t="n">
        <v>7</v>
      </c>
      <c r="AL1315" t="n">
        <v>2</v>
      </c>
      <c r="AM1315" t="n">
        <v>3</v>
      </c>
      <c r="AN1315" t="n">
        <v>0</v>
      </c>
      <c r="AO1315" t="n">
        <v>0</v>
      </c>
      <c r="AP1315" t="inlineStr">
        <is>
          <t>No</t>
        </is>
      </c>
      <c r="AQ1315" t="inlineStr">
        <is>
          <t>Yes</t>
        </is>
      </c>
      <c r="AR1315">
        <f>HYPERLINK("http://catalog.hathitrust.org/Record/009930720","HathiTrust Record")</f>
        <v/>
      </c>
      <c r="AS1315">
        <f>HYPERLINK("https://creighton-primo.hosted.exlibrisgroup.com/primo-explore/search?tab=default_tab&amp;search_scope=EVERYTHING&amp;vid=01CRU&amp;lang=en_US&amp;offset=0&amp;query=any,contains,991005178889702656","Catalog Record")</f>
        <v/>
      </c>
      <c r="AT1315">
        <f>HYPERLINK("http://www.worldcat.org/oclc/162507322","WorldCat Record")</f>
        <v/>
      </c>
      <c r="AU1315" t="inlineStr">
        <is>
          <t>919281064:eng</t>
        </is>
      </c>
      <c r="AV1315" t="inlineStr">
        <is>
          <t>162507322</t>
        </is>
      </c>
      <c r="AW1315" t="inlineStr">
        <is>
          <t>991005178889702656</t>
        </is>
      </c>
      <c r="AX1315" t="inlineStr">
        <is>
          <t>991005178889702656</t>
        </is>
      </c>
      <c r="AY1315" t="inlineStr">
        <is>
          <t>2255572740002656</t>
        </is>
      </c>
      <c r="AZ1315" t="inlineStr">
        <is>
          <t>BOOK</t>
        </is>
      </c>
      <c r="BB1315" t="inlineStr">
        <is>
          <t>9781412953030</t>
        </is>
      </c>
      <c r="BC1315" t="inlineStr">
        <is>
          <t>32285005392039</t>
        </is>
      </c>
      <c r="BD1315" t="inlineStr">
        <is>
          <t>893254593</t>
        </is>
      </c>
    </row>
    <row r="1316">
      <c r="A1316" t="inlineStr">
        <is>
          <t>No</t>
        </is>
      </c>
      <c r="B1316" t="inlineStr">
        <is>
          <t>LB3013 .C3259 2000</t>
        </is>
      </c>
      <c r="C1316" t="inlineStr">
        <is>
          <t>0                      LB 3013000C  3259        2000</t>
        </is>
      </c>
      <c r="D1316" t="inlineStr">
        <is>
          <t>Classroom management strategies : gaining and maintaining students' cooperation / James S. Cangelosi.</t>
        </is>
      </c>
      <c r="F1316" t="inlineStr">
        <is>
          <t>No</t>
        </is>
      </c>
      <c r="G1316" t="inlineStr">
        <is>
          <t>1</t>
        </is>
      </c>
      <c r="H1316" t="inlineStr">
        <is>
          <t>No</t>
        </is>
      </c>
      <c r="I1316" t="inlineStr">
        <is>
          <t>No</t>
        </is>
      </c>
      <c r="J1316" t="inlineStr">
        <is>
          <t>0</t>
        </is>
      </c>
      <c r="K1316" t="inlineStr">
        <is>
          <t>Cangelosi, James S.</t>
        </is>
      </c>
      <c r="L1316" t="inlineStr">
        <is>
          <t>New York : J. Wiley, c2000.</t>
        </is>
      </c>
      <c r="M1316" t="inlineStr">
        <is>
          <t>2000</t>
        </is>
      </c>
      <c r="N1316" t="inlineStr">
        <is>
          <t>4th ed.</t>
        </is>
      </c>
      <c r="O1316" t="inlineStr">
        <is>
          <t>eng</t>
        </is>
      </c>
      <c r="P1316" t="inlineStr">
        <is>
          <t>nyu</t>
        </is>
      </c>
      <c r="R1316" t="inlineStr">
        <is>
          <t xml:space="preserve">LB </t>
        </is>
      </c>
      <c r="S1316" t="n">
        <v>6</v>
      </c>
      <c r="T1316" t="n">
        <v>6</v>
      </c>
      <c r="U1316" t="inlineStr">
        <is>
          <t>2008-10-14</t>
        </is>
      </c>
      <c r="V1316" t="inlineStr">
        <is>
          <t>2008-10-14</t>
        </is>
      </c>
      <c r="W1316" t="inlineStr">
        <is>
          <t>2000-01-04</t>
        </is>
      </c>
      <c r="X1316" t="inlineStr">
        <is>
          <t>2000-01-04</t>
        </is>
      </c>
      <c r="Y1316" t="n">
        <v>322</v>
      </c>
      <c r="Z1316" t="n">
        <v>247</v>
      </c>
      <c r="AA1316" t="n">
        <v>815</v>
      </c>
      <c r="AB1316" t="n">
        <v>1</v>
      </c>
      <c r="AC1316" t="n">
        <v>6</v>
      </c>
      <c r="AD1316" t="n">
        <v>10</v>
      </c>
      <c r="AE1316" t="n">
        <v>29</v>
      </c>
      <c r="AF1316" t="n">
        <v>2</v>
      </c>
      <c r="AG1316" t="n">
        <v>10</v>
      </c>
      <c r="AH1316" t="n">
        <v>1</v>
      </c>
      <c r="AI1316" t="n">
        <v>5</v>
      </c>
      <c r="AJ1316" t="n">
        <v>9</v>
      </c>
      <c r="AK1316" t="n">
        <v>17</v>
      </c>
      <c r="AL1316" t="n">
        <v>0</v>
      </c>
      <c r="AM1316" t="n">
        <v>5</v>
      </c>
      <c r="AN1316" t="n">
        <v>0</v>
      </c>
      <c r="AO1316" t="n">
        <v>0</v>
      </c>
      <c r="AP1316" t="inlineStr">
        <is>
          <t>No</t>
        </is>
      </c>
      <c r="AQ1316" t="inlineStr">
        <is>
          <t>No</t>
        </is>
      </c>
      <c r="AS1316">
        <f>HYPERLINK("https://creighton-primo.hosted.exlibrisgroup.com/primo-explore/search?tab=default_tab&amp;search_scope=EVERYTHING&amp;vid=01CRU&amp;lang=en_US&amp;offset=0&amp;query=any,contains,991003010059702656","Catalog Record")</f>
        <v/>
      </c>
      <c r="AT1316">
        <f>HYPERLINK("http://www.worldcat.org/oclc/40848679","WorldCat Record")</f>
        <v/>
      </c>
      <c r="AU1316" t="inlineStr">
        <is>
          <t>45425832:eng</t>
        </is>
      </c>
      <c r="AV1316" t="inlineStr">
        <is>
          <t>40848679</t>
        </is>
      </c>
      <c r="AW1316" t="inlineStr">
        <is>
          <t>991003010059702656</t>
        </is>
      </c>
      <c r="AX1316" t="inlineStr">
        <is>
          <t>991003010059702656</t>
        </is>
      </c>
      <c r="AY1316" t="inlineStr">
        <is>
          <t>2259364710002656</t>
        </is>
      </c>
      <c r="AZ1316" t="inlineStr">
        <is>
          <t>BOOK</t>
        </is>
      </c>
      <c r="BB1316" t="inlineStr">
        <is>
          <t>9780471365396</t>
        </is>
      </c>
      <c r="BC1316" t="inlineStr">
        <is>
          <t>32285003636437</t>
        </is>
      </c>
      <c r="BD1316" t="inlineStr">
        <is>
          <t>893317548</t>
        </is>
      </c>
    </row>
    <row r="1317">
      <c r="A1317" t="inlineStr">
        <is>
          <t>No</t>
        </is>
      </c>
      <c r="B1317" t="inlineStr">
        <is>
          <t>LB3013 .C326 1990</t>
        </is>
      </c>
      <c r="C1317" t="inlineStr">
        <is>
          <t>0                      LB 3013000C  326         1990</t>
        </is>
      </c>
      <c r="D1317" t="inlineStr">
        <is>
          <t>Cooperation in the classroom : students and teachers together / James S. Cangelosi.</t>
        </is>
      </c>
      <c r="F1317" t="inlineStr">
        <is>
          <t>No</t>
        </is>
      </c>
      <c r="G1317" t="inlineStr">
        <is>
          <t>1</t>
        </is>
      </c>
      <c r="H1317" t="inlineStr">
        <is>
          <t>No</t>
        </is>
      </c>
      <c r="I1317" t="inlineStr">
        <is>
          <t>No</t>
        </is>
      </c>
      <c r="J1317" t="inlineStr">
        <is>
          <t>0</t>
        </is>
      </c>
      <c r="K1317" t="inlineStr">
        <is>
          <t>Cangelosi, James S.</t>
        </is>
      </c>
      <c r="L1317" t="inlineStr">
        <is>
          <t>Washington, D.C. : NEA Professional Library, National Education Association, c1990.</t>
        </is>
      </c>
      <c r="M1317" t="inlineStr">
        <is>
          <t>1990</t>
        </is>
      </c>
      <c r="N1317" t="inlineStr">
        <is>
          <t>2nd ed.</t>
        </is>
      </c>
      <c r="O1317" t="inlineStr">
        <is>
          <t>eng</t>
        </is>
      </c>
      <c r="P1317" t="inlineStr">
        <is>
          <t>dcu</t>
        </is>
      </c>
      <c r="Q1317" t="inlineStr">
        <is>
          <t>Analysis and action series</t>
        </is>
      </c>
      <c r="R1317" t="inlineStr">
        <is>
          <t xml:space="preserve">LB </t>
        </is>
      </c>
      <c r="S1317" t="n">
        <v>5</v>
      </c>
      <c r="T1317" t="n">
        <v>5</v>
      </c>
      <c r="U1317" t="inlineStr">
        <is>
          <t>1995-01-13</t>
        </is>
      </c>
      <c r="V1317" t="inlineStr">
        <is>
          <t>1995-01-13</t>
        </is>
      </c>
      <c r="W1317" t="inlineStr">
        <is>
          <t>1990-02-16</t>
        </is>
      </c>
      <c r="X1317" t="inlineStr">
        <is>
          <t>1990-02-16</t>
        </is>
      </c>
      <c r="Y1317" t="n">
        <v>320</v>
      </c>
      <c r="Z1317" t="n">
        <v>303</v>
      </c>
      <c r="AA1317" t="n">
        <v>512</v>
      </c>
      <c r="AB1317" t="n">
        <v>7</v>
      </c>
      <c r="AC1317" t="n">
        <v>9</v>
      </c>
      <c r="AD1317" t="n">
        <v>15</v>
      </c>
      <c r="AE1317" t="n">
        <v>23</v>
      </c>
      <c r="AF1317" t="n">
        <v>6</v>
      </c>
      <c r="AG1317" t="n">
        <v>10</v>
      </c>
      <c r="AH1317" t="n">
        <v>1</v>
      </c>
      <c r="AI1317" t="n">
        <v>3</v>
      </c>
      <c r="AJ1317" t="n">
        <v>5</v>
      </c>
      <c r="AK1317" t="n">
        <v>9</v>
      </c>
      <c r="AL1317" t="n">
        <v>6</v>
      </c>
      <c r="AM1317" t="n">
        <v>8</v>
      </c>
      <c r="AN1317" t="n">
        <v>0</v>
      </c>
      <c r="AO1317" t="n">
        <v>0</v>
      </c>
      <c r="AP1317" t="inlineStr">
        <is>
          <t>No</t>
        </is>
      </c>
      <c r="AQ1317" t="inlineStr">
        <is>
          <t>Yes</t>
        </is>
      </c>
      <c r="AR1317">
        <f>HYPERLINK("http://catalog.hathitrust.org/Record/001950893","HathiTrust Record")</f>
        <v/>
      </c>
      <c r="AS1317">
        <f>HYPERLINK("https://creighton-primo.hosted.exlibrisgroup.com/primo-explore/search?tab=default_tab&amp;search_scope=EVERYTHING&amp;vid=01CRU&amp;lang=en_US&amp;offset=0&amp;query=any,contains,991001566409702656","Catalog Record")</f>
        <v/>
      </c>
      <c r="AT1317">
        <f>HYPERLINK("http://www.worldcat.org/oclc/20353102","WorldCat Record")</f>
        <v/>
      </c>
      <c r="AU1317" t="inlineStr">
        <is>
          <t>1076007:eng</t>
        </is>
      </c>
      <c r="AV1317" t="inlineStr">
        <is>
          <t>20353102</t>
        </is>
      </c>
      <c r="AW1317" t="inlineStr">
        <is>
          <t>991001566409702656</t>
        </is>
      </c>
      <c r="AX1317" t="inlineStr">
        <is>
          <t>991001566409702656</t>
        </is>
      </c>
      <c r="AY1317" t="inlineStr">
        <is>
          <t>2268014310002656</t>
        </is>
      </c>
      <c r="AZ1317" t="inlineStr">
        <is>
          <t>BOOK</t>
        </is>
      </c>
      <c r="BB1317" t="inlineStr">
        <is>
          <t>9780810630727</t>
        </is>
      </c>
      <c r="BC1317" t="inlineStr">
        <is>
          <t>32285000021112</t>
        </is>
      </c>
      <c r="BD1317" t="inlineStr">
        <is>
          <t>893878968</t>
        </is>
      </c>
    </row>
    <row r="1318">
      <c r="A1318" t="inlineStr">
        <is>
          <t>No</t>
        </is>
      </c>
      <c r="B1318" t="inlineStr">
        <is>
          <t>LB3013 .C558 2010</t>
        </is>
      </c>
      <c r="C1318" t="inlineStr">
        <is>
          <t>0                      LB 3013000C  558         2010</t>
        </is>
      </c>
      <c r="D1318" t="inlineStr">
        <is>
          <t>Defusing disruptive behavior in the classroom / Geoff Colvin ; foreword by Robert H. Horner.</t>
        </is>
      </c>
      <c r="F1318" t="inlineStr">
        <is>
          <t>No</t>
        </is>
      </c>
      <c r="G1318" t="inlineStr">
        <is>
          <t>1</t>
        </is>
      </c>
      <c r="H1318" t="inlineStr">
        <is>
          <t>No</t>
        </is>
      </c>
      <c r="I1318" t="inlineStr">
        <is>
          <t>No</t>
        </is>
      </c>
      <c r="J1318" t="inlineStr">
        <is>
          <t>0</t>
        </is>
      </c>
      <c r="K1318" t="inlineStr">
        <is>
          <t>Colvin, Geoffrey, 1941-</t>
        </is>
      </c>
      <c r="L1318" t="inlineStr">
        <is>
          <t>Thousand Oaks, Calif. : Corwin Press, c2010.</t>
        </is>
      </c>
      <c r="M1318" t="inlineStr">
        <is>
          <t>2010</t>
        </is>
      </c>
      <c r="O1318" t="inlineStr">
        <is>
          <t>eng</t>
        </is>
      </c>
      <c r="P1318" t="inlineStr">
        <is>
          <t>cau</t>
        </is>
      </c>
      <c r="R1318" t="inlineStr">
        <is>
          <t xml:space="preserve">LB </t>
        </is>
      </c>
      <c r="S1318" t="n">
        <v>1</v>
      </c>
      <c r="T1318" t="n">
        <v>1</v>
      </c>
      <c r="U1318" t="inlineStr">
        <is>
          <t>2010-08-16</t>
        </is>
      </c>
      <c r="V1318" t="inlineStr">
        <is>
          <t>2010-08-16</t>
        </is>
      </c>
      <c r="W1318" t="inlineStr">
        <is>
          <t>2010-08-16</t>
        </is>
      </c>
      <c r="X1318" t="inlineStr">
        <is>
          <t>2010-08-16</t>
        </is>
      </c>
      <c r="Y1318" t="n">
        <v>186</v>
      </c>
      <c r="Z1318" t="n">
        <v>126</v>
      </c>
      <c r="AA1318" t="n">
        <v>148</v>
      </c>
      <c r="AB1318" t="n">
        <v>2</v>
      </c>
      <c r="AC1318" t="n">
        <v>3</v>
      </c>
      <c r="AD1318" t="n">
        <v>8</v>
      </c>
      <c r="AE1318" t="n">
        <v>10</v>
      </c>
      <c r="AF1318" t="n">
        <v>3</v>
      </c>
      <c r="AG1318" t="n">
        <v>4</v>
      </c>
      <c r="AH1318" t="n">
        <v>1</v>
      </c>
      <c r="AI1318" t="n">
        <v>2</v>
      </c>
      <c r="AJ1318" t="n">
        <v>6</v>
      </c>
      <c r="AK1318" t="n">
        <v>6</v>
      </c>
      <c r="AL1318" t="n">
        <v>1</v>
      </c>
      <c r="AM1318" t="n">
        <v>2</v>
      </c>
      <c r="AN1318" t="n">
        <v>0</v>
      </c>
      <c r="AO1318" t="n">
        <v>0</v>
      </c>
      <c r="AP1318" t="inlineStr">
        <is>
          <t>No</t>
        </is>
      </c>
      <c r="AQ1318" t="inlineStr">
        <is>
          <t>No</t>
        </is>
      </c>
      <c r="AS1318">
        <f>HYPERLINK("https://creighton-primo.hosted.exlibrisgroup.com/primo-explore/search?tab=default_tab&amp;search_scope=EVERYTHING&amp;vid=01CRU&amp;lang=en_US&amp;offset=0&amp;query=any,contains,991000052619702656","Catalog Record")</f>
        <v/>
      </c>
      <c r="AT1318">
        <f>HYPERLINK("http://www.worldcat.org/oclc/500824555","WorldCat Record")</f>
        <v/>
      </c>
      <c r="AU1318" t="inlineStr">
        <is>
          <t>796325868:eng</t>
        </is>
      </c>
      <c r="AV1318" t="inlineStr">
        <is>
          <t>500824555</t>
        </is>
      </c>
      <c r="AW1318" t="inlineStr">
        <is>
          <t>991000052619702656</t>
        </is>
      </c>
      <c r="AX1318" t="inlineStr">
        <is>
          <t>991000052619702656</t>
        </is>
      </c>
      <c r="AY1318" t="inlineStr">
        <is>
          <t>2271323230002656</t>
        </is>
      </c>
      <c r="AZ1318" t="inlineStr">
        <is>
          <t>BOOK</t>
        </is>
      </c>
      <c r="BB1318" t="inlineStr">
        <is>
          <t>9781412980562</t>
        </is>
      </c>
      <c r="BC1318" t="inlineStr">
        <is>
          <t>32285005592844</t>
        </is>
      </c>
      <c r="BD1318" t="inlineStr">
        <is>
          <t>893242935</t>
        </is>
      </c>
    </row>
    <row r="1319">
      <c r="A1319" t="inlineStr">
        <is>
          <t>No</t>
        </is>
      </c>
      <c r="B1319" t="inlineStr">
        <is>
          <t>LB3013 .D42 1984</t>
        </is>
      </c>
      <c r="C1319" t="inlineStr">
        <is>
          <t>0                      LB 3013000D  42          1984</t>
        </is>
      </c>
      <c r="D1319" t="inlineStr">
        <is>
          <t>You can handle them all : a discipline model for handling over one hundred different misbehaviors at school and at home / by Robert L. DeBruyn and Jack L. Larson.</t>
        </is>
      </c>
      <c r="F1319" t="inlineStr">
        <is>
          <t>No</t>
        </is>
      </c>
      <c r="G1319" t="inlineStr">
        <is>
          <t>1</t>
        </is>
      </c>
      <c r="H1319" t="inlineStr">
        <is>
          <t>No</t>
        </is>
      </c>
      <c r="I1319" t="inlineStr">
        <is>
          <t>No</t>
        </is>
      </c>
      <c r="J1319" t="inlineStr">
        <is>
          <t>0</t>
        </is>
      </c>
      <c r="K1319" t="inlineStr">
        <is>
          <t>DeBruyn, Robert L.</t>
        </is>
      </c>
      <c r="L1319" t="inlineStr">
        <is>
          <t>Manhattan, Kan., U.S.A. : Master Teacher, Inc., c1984.</t>
        </is>
      </c>
      <c r="M1319" t="inlineStr">
        <is>
          <t>1984</t>
        </is>
      </c>
      <c r="O1319" t="inlineStr">
        <is>
          <t>eng</t>
        </is>
      </c>
      <c r="P1319" t="inlineStr">
        <is>
          <t>ksu</t>
        </is>
      </c>
      <c r="R1319" t="inlineStr">
        <is>
          <t xml:space="preserve">LB </t>
        </is>
      </c>
      <c r="S1319" t="n">
        <v>13</v>
      </c>
      <c r="T1319" t="n">
        <v>13</v>
      </c>
      <c r="U1319" t="inlineStr">
        <is>
          <t>2008-06-23</t>
        </is>
      </c>
      <c r="V1319" t="inlineStr">
        <is>
          <t>2008-06-23</t>
        </is>
      </c>
      <c r="W1319" t="inlineStr">
        <is>
          <t>1990-05-07</t>
        </is>
      </c>
      <c r="X1319" t="inlineStr">
        <is>
          <t>1990-05-07</t>
        </is>
      </c>
      <c r="Y1319" t="n">
        <v>177</v>
      </c>
      <c r="Z1319" t="n">
        <v>159</v>
      </c>
      <c r="AA1319" t="n">
        <v>170</v>
      </c>
      <c r="AB1319" t="n">
        <v>3</v>
      </c>
      <c r="AC1319" t="n">
        <v>3</v>
      </c>
      <c r="AD1319" t="n">
        <v>4</v>
      </c>
      <c r="AE1319" t="n">
        <v>4</v>
      </c>
      <c r="AF1319" t="n">
        <v>2</v>
      </c>
      <c r="AG1319" t="n">
        <v>2</v>
      </c>
      <c r="AH1319" t="n">
        <v>1</v>
      </c>
      <c r="AI1319" t="n">
        <v>1</v>
      </c>
      <c r="AJ1319" t="n">
        <v>1</v>
      </c>
      <c r="AK1319" t="n">
        <v>1</v>
      </c>
      <c r="AL1319" t="n">
        <v>1</v>
      </c>
      <c r="AM1319" t="n">
        <v>1</v>
      </c>
      <c r="AN1319" t="n">
        <v>0</v>
      </c>
      <c r="AO1319" t="n">
        <v>0</v>
      </c>
      <c r="AP1319" t="inlineStr">
        <is>
          <t>No</t>
        </is>
      </c>
      <c r="AQ1319" t="inlineStr">
        <is>
          <t>Yes</t>
        </is>
      </c>
      <c r="AR1319">
        <f>HYPERLINK("http://catalog.hathitrust.org/Record/007059459","HathiTrust Record")</f>
        <v/>
      </c>
      <c r="AS1319">
        <f>HYPERLINK("https://creighton-primo.hosted.exlibrisgroup.com/primo-explore/search?tab=default_tab&amp;search_scope=EVERYTHING&amp;vid=01CRU&amp;lang=en_US&amp;offset=0&amp;query=any,contains,991000577659702656","Catalog Record")</f>
        <v/>
      </c>
      <c r="AT1319">
        <f>HYPERLINK("http://www.worldcat.org/oclc/11706376","WorldCat Record")</f>
        <v/>
      </c>
      <c r="AU1319" t="inlineStr">
        <is>
          <t>905885224:eng</t>
        </is>
      </c>
      <c r="AV1319" t="inlineStr">
        <is>
          <t>11706376</t>
        </is>
      </c>
      <c r="AW1319" t="inlineStr">
        <is>
          <t>991000577659702656</t>
        </is>
      </c>
      <c r="AX1319" t="inlineStr">
        <is>
          <t>991000577659702656</t>
        </is>
      </c>
      <c r="AY1319" t="inlineStr">
        <is>
          <t>2268348460002656</t>
        </is>
      </c>
      <c r="AZ1319" t="inlineStr">
        <is>
          <t>BOOK</t>
        </is>
      </c>
      <c r="BB1319" t="inlineStr">
        <is>
          <t>9780914607045</t>
        </is>
      </c>
      <c r="BC1319" t="inlineStr">
        <is>
          <t>32285000150002</t>
        </is>
      </c>
      <c r="BD1319" t="inlineStr">
        <is>
          <t>893771760</t>
        </is>
      </c>
    </row>
    <row r="1320">
      <c r="A1320" t="inlineStr">
        <is>
          <t>No</t>
        </is>
      </c>
      <c r="B1320" t="inlineStr">
        <is>
          <t>LB3013 .F75 1985</t>
        </is>
      </c>
      <c r="C1320" t="inlineStr">
        <is>
          <t>0                      LB 3013000F  75          1985</t>
        </is>
      </c>
      <c r="D1320" t="inlineStr">
        <is>
          <t>The successful classroom : management strategies for regular and special education teachers / Doris Pronin Fromberg, Maryanne Driscoll.</t>
        </is>
      </c>
      <c r="F1320" t="inlineStr">
        <is>
          <t>No</t>
        </is>
      </c>
      <c r="G1320" t="inlineStr">
        <is>
          <t>1</t>
        </is>
      </c>
      <c r="H1320" t="inlineStr">
        <is>
          <t>No</t>
        </is>
      </c>
      <c r="I1320" t="inlineStr">
        <is>
          <t>No</t>
        </is>
      </c>
      <c r="J1320" t="inlineStr">
        <is>
          <t>0</t>
        </is>
      </c>
      <c r="K1320" t="inlineStr">
        <is>
          <t>Fromberg, Doris Pronin, 1937-</t>
        </is>
      </c>
      <c r="L1320" t="inlineStr">
        <is>
          <t>New York : Teachers College, Columbia University, c1985.</t>
        </is>
      </c>
      <c r="M1320" t="inlineStr">
        <is>
          <t>1985</t>
        </is>
      </c>
      <c r="O1320" t="inlineStr">
        <is>
          <t>eng</t>
        </is>
      </c>
      <c r="P1320" t="inlineStr">
        <is>
          <t>nyu</t>
        </is>
      </c>
      <c r="R1320" t="inlineStr">
        <is>
          <t xml:space="preserve">LB </t>
        </is>
      </c>
      <c r="S1320" t="n">
        <v>3</v>
      </c>
      <c r="T1320" t="n">
        <v>3</v>
      </c>
      <c r="U1320" t="inlineStr">
        <is>
          <t>2008-07-11</t>
        </is>
      </c>
      <c r="V1320" t="inlineStr">
        <is>
          <t>2008-07-11</t>
        </is>
      </c>
      <c r="W1320" t="inlineStr">
        <is>
          <t>1990-03-19</t>
        </is>
      </c>
      <c r="X1320" t="inlineStr">
        <is>
          <t>1990-03-19</t>
        </is>
      </c>
      <c r="Y1320" t="n">
        <v>567</v>
      </c>
      <c r="Z1320" t="n">
        <v>523</v>
      </c>
      <c r="AA1320" t="n">
        <v>528</v>
      </c>
      <c r="AB1320" t="n">
        <v>7</v>
      </c>
      <c r="AC1320" t="n">
        <v>7</v>
      </c>
      <c r="AD1320" t="n">
        <v>26</v>
      </c>
      <c r="AE1320" t="n">
        <v>26</v>
      </c>
      <c r="AF1320" t="n">
        <v>10</v>
      </c>
      <c r="AG1320" t="n">
        <v>10</v>
      </c>
      <c r="AH1320" t="n">
        <v>3</v>
      </c>
      <c r="AI1320" t="n">
        <v>3</v>
      </c>
      <c r="AJ1320" t="n">
        <v>11</v>
      </c>
      <c r="AK1320" t="n">
        <v>11</v>
      </c>
      <c r="AL1320" t="n">
        <v>6</v>
      </c>
      <c r="AM1320" t="n">
        <v>6</v>
      </c>
      <c r="AN1320" t="n">
        <v>0</v>
      </c>
      <c r="AO1320" t="n">
        <v>0</v>
      </c>
      <c r="AP1320" t="inlineStr">
        <is>
          <t>No</t>
        </is>
      </c>
      <c r="AQ1320" t="inlineStr">
        <is>
          <t>No</t>
        </is>
      </c>
      <c r="AS1320">
        <f>HYPERLINK("https://creighton-primo.hosted.exlibrisgroup.com/primo-explore/search?tab=default_tab&amp;search_scope=EVERYTHING&amp;vid=01CRU&amp;lang=en_US&amp;offset=0&amp;query=any,contains,991000574089702656","Catalog Record")</f>
        <v/>
      </c>
      <c r="AT1320">
        <f>HYPERLINK("http://www.worldcat.org/oclc/11676340","WorldCat Record")</f>
        <v/>
      </c>
      <c r="AU1320" t="inlineStr">
        <is>
          <t>4504779:eng</t>
        </is>
      </c>
      <c r="AV1320" t="inlineStr">
        <is>
          <t>11676340</t>
        </is>
      </c>
      <c r="AW1320" t="inlineStr">
        <is>
          <t>991000574089702656</t>
        </is>
      </c>
      <c r="AX1320" t="inlineStr">
        <is>
          <t>991000574089702656</t>
        </is>
      </c>
      <c r="AY1320" t="inlineStr">
        <is>
          <t>2256501760002656</t>
        </is>
      </c>
      <c r="AZ1320" t="inlineStr">
        <is>
          <t>BOOK</t>
        </is>
      </c>
      <c r="BB1320" t="inlineStr">
        <is>
          <t>9780807727713</t>
        </is>
      </c>
      <c r="BC1320" t="inlineStr">
        <is>
          <t>32285000086503</t>
        </is>
      </c>
      <c r="BD1320" t="inlineStr">
        <is>
          <t>893508909</t>
        </is>
      </c>
    </row>
    <row r="1321">
      <c r="A1321" t="inlineStr">
        <is>
          <t>No</t>
        </is>
      </c>
      <c r="B1321" t="inlineStr">
        <is>
          <t>LB3013 .G56 1986</t>
        </is>
      </c>
      <c r="C1321" t="inlineStr">
        <is>
          <t>0                      LB 3013000G  56          1986</t>
        </is>
      </c>
      <c r="D1321" t="inlineStr">
        <is>
          <t>Control theory in the classroom / William Glasser.</t>
        </is>
      </c>
      <c r="F1321" t="inlineStr">
        <is>
          <t>No</t>
        </is>
      </c>
      <c r="G1321" t="inlineStr">
        <is>
          <t>1</t>
        </is>
      </c>
      <c r="H1321" t="inlineStr">
        <is>
          <t>No</t>
        </is>
      </c>
      <c r="I1321" t="inlineStr">
        <is>
          <t>No</t>
        </is>
      </c>
      <c r="J1321" t="inlineStr">
        <is>
          <t>0</t>
        </is>
      </c>
      <c r="K1321" t="inlineStr">
        <is>
          <t>Glasser, William, 1925-2013.</t>
        </is>
      </c>
      <c r="L1321" t="inlineStr">
        <is>
          <t>New York : Perennial Library, c1986.</t>
        </is>
      </c>
      <c r="M1321" t="inlineStr">
        <is>
          <t>1986</t>
        </is>
      </c>
      <c r="N1321" t="inlineStr">
        <is>
          <t>1st ed.</t>
        </is>
      </c>
      <c r="O1321" t="inlineStr">
        <is>
          <t>eng</t>
        </is>
      </c>
      <c r="P1321" t="inlineStr">
        <is>
          <t>nyu</t>
        </is>
      </c>
      <c r="R1321" t="inlineStr">
        <is>
          <t xml:space="preserve">LB </t>
        </is>
      </c>
      <c r="S1321" t="n">
        <v>14</v>
      </c>
      <c r="T1321" t="n">
        <v>14</v>
      </c>
      <c r="U1321" t="inlineStr">
        <is>
          <t>2007-12-03</t>
        </is>
      </c>
      <c r="V1321" t="inlineStr">
        <is>
          <t>2007-12-03</t>
        </is>
      </c>
      <c r="W1321" t="inlineStr">
        <is>
          <t>1990-06-20</t>
        </is>
      </c>
      <c r="X1321" t="inlineStr">
        <is>
          <t>1990-06-20</t>
        </is>
      </c>
      <c r="Y1321" t="n">
        <v>1023</v>
      </c>
      <c r="Z1321" t="n">
        <v>932</v>
      </c>
      <c r="AA1321" t="n">
        <v>982</v>
      </c>
      <c r="AB1321" t="n">
        <v>7</v>
      </c>
      <c r="AC1321" t="n">
        <v>9</v>
      </c>
      <c r="AD1321" t="n">
        <v>36</v>
      </c>
      <c r="AE1321" t="n">
        <v>38</v>
      </c>
      <c r="AF1321" t="n">
        <v>17</v>
      </c>
      <c r="AG1321" t="n">
        <v>17</v>
      </c>
      <c r="AH1321" t="n">
        <v>6</v>
      </c>
      <c r="AI1321" t="n">
        <v>6</v>
      </c>
      <c r="AJ1321" t="n">
        <v>17</v>
      </c>
      <c r="AK1321" t="n">
        <v>17</v>
      </c>
      <c r="AL1321" t="n">
        <v>5</v>
      </c>
      <c r="AM1321" t="n">
        <v>7</v>
      </c>
      <c r="AN1321" t="n">
        <v>0</v>
      </c>
      <c r="AO1321" t="n">
        <v>0</v>
      </c>
      <c r="AP1321" t="inlineStr">
        <is>
          <t>No</t>
        </is>
      </c>
      <c r="AQ1321" t="inlineStr">
        <is>
          <t>No</t>
        </is>
      </c>
      <c r="AS1321">
        <f>HYPERLINK("https://creighton-primo.hosted.exlibrisgroup.com/primo-explore/search?tab=default_tab&amp;search_scope=EVERYTHING&amp;vid=01CRU&amp;lang=en_US&amp;offset=0&amp;query=any,contains,991000857949702656","Catalog Record")</f>
        <v/>
      </c>
      <c r="AT1321">
        <f>HYPERLINK("http://www.worldcat.org/oclc/13667145","WorldCat Record")</f>
        <v/>
      </c>
      <c r="AU1321" t="inlineStr">
        <is>
          <t>7121458:eng</t>
        </is>
      </c>
      <c r="AV1321" t="inlineStr">
        <is>
          <t>13667145</t>
        </is>
      </c>
      <c r="AW1321" t="inlineStr">
        <is>
          <t>991000857949702656</t>
        </is>
      </c>
      <c r="AX1321" t="inlineStr">
        <is>
          <t>991000857949702656</t>
        </is>
      </c>
      <c r="AY1321" t="inlineStr">
        <is>
          <t>2272023490002656</t>
        </is>
      </c>
      <c r="AZ1321" t="inlineStr">
        <is>
          <t>BOOK</t>
        </is>
      </c>
      <c r="BB1321" t="inlineStr">
        <is>
          <t>9780060960858</t>
        </is>
      </c>
      <c r="BC1321" t="inlineStr">
        <is>
          <t>32285000210509</t>
        </is>
      </c>
      <c r="BD1321" t="inlineStr">
        <is>
          <t>893339958</t>
        </is>
      </c>
    </row>
    <row r="1322">
      <c r="A1322" t="inlineStr">
        <is>
          <t>No</t>
        </is>
      </c>
      <c r="B1322" t="inlineStr">
        <is>
          <t>LB3013 .G583</t>
        </is>
      </c>
      <c r="C1322" t="inlineStr">
        <is>
          <t>0                      LB 3013000G  583</t>
        </is>
      </c>
      <c r="D1322" t="inlineStr">
        <is>
          <t>Motivating classroom discipline / William J. Gnagey.</t>
        </is>
      </c>
      <c r="F1322" t="inlineStr">
        <is>
          <t>No</t>
        </is>
      </c>
      <c r="G1322" t="inlineStr">
        <is>
          <t>1</t>
        </is>
      </c>
      <c r="H1322" t="inlineStr">
        <is>
          <t>No</t>
        </is>
      </c>
      <c r="I1322" t="inlineStr">
        <is>
          <t>No</t>
        </is>
      </c>
      <c r="J1322" t="inlineStr">
        <is>
          <t>0</t>
        </is>
      </c>
      <c r="K1322" t="inlineStr">
        <is>
          <t>Gnagey, William J., 1927-</t>
        </is>
      </c>
      <c r="L1322" t="inlineStr">
        <is>
          <t>New York : Macmillan Pub. Co. ; London : Collier Macmillan Publishers, c1981.</t>
        </is>
      </c>
      <c r="M1322" t="inlineStr">
        <is>
          <t>1981</t>
        </is>
      </c>
      <c r="O1322" t="inlineStr">
        <is>
          <t>eng</t>
        </is>
      </c>
      <c r="P1322" t="inlineStr">
        <is>
          <t>nyu</t>
        </is>
      </c>
      <c r="R1322" t="inlineStr">
        <is>
          <t xml:space="preserve">LB </t>
        </is>
      </c>
      <c r="S1322" t="n">
        <v>7</v>
      </c>
      <c r="T1322" t="n">
        <v>7</v>
      </c>
      <c r="U1322" t="inlineStr">
        <is>
          <t>2001-04-19</t>
        </is>
      </c>
      <c r="V1322" t="inlineStr">
        <is>
          <t>2001-04-19</t>
        </is>
      </c>
      <c r="W1322" t="inlineStr">
        <is>
          <t>1992-04-15</t>
        </is>
      </c>
      <c r="X1322" t="inlineStr">
        <is>
          <t>1992-04-15</t>
        </is>
      </c>
      <c r="Y1322" t="n">
        <v>332</v>
      </c>
      <c r="Z1322" t="n">
        <v>246</v>
      </c>
      <c r="AA1322" t="n">
        <v>303</v>
      </c>
      <c r="AB1322" t="n">
        <v>3</v>
      </c>
      <c r="AC1322" t="n">
        <v>3</v>
      </c>
      <c r="AD1322" t="n">
        <v>7</v>
      </c>
      <c r="AE1322" t="n">
        <v>13</v>
      </c>
      <c r="AF1322" t="n">
        <v>3</v>
      </c>
      <c r="AG1322" t="n">
        <v>8</v>
      </c>
      <c r="AH1322" t="n">
        <v>1</v>
      </c>
      <c r="AI1322" t="n">
        <v>2</v>
      </c>
      <c r="AJ1322" t="n">
        <v>3</v>
      </c>
      <c r="AK1322" t="n">
        <v>5</v>
      </c>
      <c r="AL1322" t="n">
        <v>2</v>
      </c>
      <c r="AM1322" t="n">
        <v>2</v>
      </c>
      <c r="AN1322" t="n">
        <v>0</v>
      </c>
      <c r="AO1322" t="n">
        <v>0</v>
      </c>
      <c r="AP1322" t="inlineStr">
        <is>
          <t>No</t>
        </is>
      </c>
      <c r="AQ1322" t="inlineStr">
        <is>
          <t>No</t>
        </is>
      </c>
      <c r="AS1322">
        <f>HYPERLINK("https://creighton-primo.hosted.exlibrisgroup.com/primo-explore/search?tab=default_tab&amp;search_scope=EVERYTHING&amp;vid=01CRU&amp;lang=en_US&amp;offset=0&amp;query=any,contains,991004975369702656","Catalog Record")</f>
        <v/>
      </c>
      <c r="AT1322">
        <f>HYPERLINK("http://www.worldcat.org/oclc/6379509","WorldCat Record")</f>
        <v/>
      </c>
      <c r="AU1322" t="inlineStr">
        <is>
          <t>22334549:eng</t>
        </is>
      </c>
      <c r="AV1322" t="inlineStr">
        <is>
          <t>6379509</t>
        </is>
      </c>
      <c r="AW1322" t="inlineStr">
        <is>
          <t>991004975369702656</t>
        </is>
      </c>
      <c r="AX1322" t="inlineStr">
        <is>
          <t>991004975369702656</t>
        </is>
      </c>
      <c r="AY1322" t="inlineStr">
        <is>
          <t>2270741310002656</t>
        </is>
      </c>
      <c r="AZ1322" t="inlineStr">
        <is>
          <t>BOOK</t>
        </is>
      </c>
      <c r="BB1322" t="inlineStr">
        <is>
          <t>9780023441400</t>
        </is>
      </c>
      <c r="BC1322" t="inlineStr">
        <is>
          <t>32285001062933</t>
        </is>
      </c>
      <c r="BD1322" t="inlineStr">
        <is>
          <t>893260385</t>
        </is>
      </c>
    </row>
    <row r="1323">
      <c r="A1323" t="inlineStr">
        <is>
          <t>No</t>
        </is>
      </c>
      <c r="B1323" t="inlineStr">
        <is>
          <t>LB3013 .H32 2000</t>
        </is>
      </c>
      <c r="C1323" t="inlineStr">
        <is>
          <t>0                      LB 3013000H  32          2000</t>
        </is>
      </c>
      <c r="D1323" t="inlineStr">
        <is>
          <t>Belonging : creating community in the classroom / Mona Hajjar Halaby.</t>
        </is>
      </c>
      <c r="F1323" t="inlineStr">
        <is>
          <t>No</t>
        </is>
      </c>
      <c r="G1323" t="inlineStr">
        <is>
          <t>1</t>
        </is>
      </c>
      <c r="H1323" t="inlineStr">
        <is>
          <t>No</t>
        </is>
      </c>
      <c r="I1323" t="inlineStr">
        <is>
          <t>No</t>
        </is>
      </c>
      <c r="J1323" t="inlineStr">
        <is>
          <t>0</t>
        </is>
      </c>
      <c r="K1323" t="inlineStr">
        <is>
          <t>Halaby, Mona.</t>
        </is>
      </c>
      <c r="L1323" t="inlineStr">
        <is>
          <t>Cambridge, MA : Brookline Books, c2000.</t>
        </is>
      </c>
      <c r="M1323" t="inlineStr">
        <is>
          <t>2000</t>
        </is>
      </c>
      <c r="O1323" t="inlineStr">
        <is>
          <t>eng</t>
        </is>
      </c>
      <c r="P1323" t="inlineStr">
        <is>
          <t>mau</t>
        </is>
      </c>
      <c r="R1323" t="inlineStr">
        <is>
          <t xml:space="preserve">LB </t>
        </is>
      </c>
      <c r="S1323" t="n">
        <v>4</v>
      </c>
      <c r="T1323" t="n">
        <v>4</v>
      </c>
      <c r="U1323" t="inlineStr">
        <is>
          <t>2001-04-04</t>
        </is>
      </c>
      <c r="V1323" t="inlineStr">
        <is>
          <t>2001-04-04</t>
        </is>
      </c>
      <c r="W1323" t="inlineStr">
        <is>
          <t>2001-03-26</t>
        </is>
      </c>
      <c r="X1323" t="inlineStr">
        <is>
          <t>2001-03-26</t>
        </is>
      </c>
      <c r="Y1323" t="n">
        <v>210</v>
      </c>
      <c r="Z1323" t="n">
        <v>187</v>
      </c>
      <c r="AA1323" t="n">
        <v>189</v>
      </c>
      <c r="AB1323" t="n">
        <v>3</v>
      </c>
      <c r="AC1323" t="n">
        <v>3</v>
      </c>
      <c r="AD1323" t="n">
        <v>11</v>
      </c>
      <c r="AE1323" t="n">
        <v>11</v>
      </c>
      <c r="AF1323" t="n">
        <v>1</v>
      </c>
      <c r="AG1323" t="n">
        <v>1</v>
      </c>
      <c r="AH1323" t="n">
        <v>2</v>
      </c>
      <c r="AI1323" t="n">
        <v>2</v>
      </c>
      <c r="AJ1323" t="n">
        <v>7</v>
      </c>
      <c r="AK1323" t="n">
        <v>7</v>
      </c>
      <c r="AL1323" t="n">
        <v>2</v>
      </c>
      <c r="AM1323" t="n">
        <v>2</v>
      </c>
      <c r="AN1323" t="n">
        <v>0</v>
      </c>
      <c r="AO1323" t="n">
        <v>0</v>
      </c>
      <c r="AP1323" t="inlineStr">
        <is>
          <t>No</t>
        </is>
      </c>
      <c r="AQ1323" t="inlineStr">
        <is>
          <t>Yes</t>
        </is>
      </c>
      <c r="AR1323">
        <f>HYPERLINK("http://catalog.hathitrust.org/Record/004135265","HathiTrust Record")</f>
        <v/>
      </c>
      <c r="AS1323">
        <f>HYPERLINK("https://creighton-primo.hosted.exlibrisgroup.com/primo-explore/search?tab=default_tab&amp;search_scope=EVERYTHING&amp;vid=01CRU&amp;lang=en_US&amp;offset=0&amp;query=any,contains,991003488589702656","Catalog Record")</f>
        <v/>
      </c>
      <c r="AT1323">
        <f>HYPERLINK("http://www.worldcat.org/oclc/44701764","WorldCat Record")</f>
        <v/>
      </c>
      <c r="AU1323" t="inlineStr">
        <is>
          <t>902236686:eng</t>
        </is>
      </c>
      <c r="AV1323" t="inlineStr">
        <is>
          <t>44701764</t>
        </is>
      </c>
      <c r="AW1323" t="inlineStr">
        <is>
          <t>991003488589702656</t>
        </is>
      </c>
      <c r="AX1323" t="inlineStr">
        <is>
          <t>991003488589702656</t>
        </is>
      </c>
      <c r="AY1323" t="inlineStr">
        <is>
          <t>2258545330002656</t>
        </is>
      </c>
      <c r="AZ1323" t="inlineStr">
        <is>
          <t>BOOK</t>
        </is>
      </c>
      <c r="BB1323" t="inlineStr">
        <is>
          <t>9781571290847</t>
        </is>
      </c>
      <c r="BC1323" t="inlineStr">
        <is>
          <t>32285004306782</t>
        </is>
      </c>
      <c r="BD1323" t="inlineStr">
        <is>
          <t>893623533</t>
        </is>
      </c>
    </row>
    <row r="1324">
      <c r="A1324" t="inlineStr">
        <is>
          <t>No</t>
        </is>
      </c>
      <c r="B1324" t="inlineStr">
        <is>
          <t>LB3013 .J66</t>
        </is>
      </c>
      <c r="C1324" t="inlineStr">
        <is>
          <t>0                      LB 3013000J  66</t>
        </is>
      </c>
      <c r="D1324" t="inlineStr">
        <is>
          <t>Responsible classroom discipline : creating positive learning environments and solving problems / Vernon F. Jones, Louise S. Jones.</t>
        </is>
      </c>
      <c r="F1324" t="inlineStr">
        <is>
          <t>No</t>
        </is>
      </c>
      <c r="G1324" t="inlineStr">
        <is>
          <t>1</t>
        </is>
      </c>
      <c r="H1324" t="inlineStr">
        <is>
          <t>No</t>
        </is>
      </c>
      <c r="I1324" t="inlineStr">
        <is>
          <t>No</t>
        </is>
      </c>
      <c r="J1324" t="inlineStr">
        <is>
          <t>0</t>
        </is>
      </c>
      <c r="K1324" t="inlineStr">
        <is>
          <t>Jones, Vernon F., 1945-</t>
        </is>
      </c>
      <c r="L1324" t="inlineStr">
        <is>
          <t>Boston : Allyn and Bacon, 1981.</t>
        </is>
      </c>
      <c r="M1324" t="inlineStr">
        <is>
          <t>1981</t>
        </is>
      </c>
      <c r="O1324" t="inlineStr">
        <is>
          <t>eng</t>
        </is>
      </c>
      <c r="P1324" t="inlineStr">
        <is>
          <t>mau</t>
        </is>
      </c>
      <c r="R1324" t="inlineStr">
        <is>
          <t xml:space="preserve">LB </t>
        </is>
      </c>
      <c r="S1324" t="n">
        <v>2</v>
      </c>
      <c r="T1324" t="n">
        <v>2</v>
      </c>
      <c r="U1324" t="inlineStr">
        <is>
          <t>2005-06-13</t>
        </is>
      </c>
      <c r="V1324" t="inlineStr">
        <is>
          <t>2005-06-13</t>
        </is>
      </c>
      <c r="W1324" t="inlineStr">
        <is>
          <t>1992-08-18</t>
        </is>
      </c>
      <c r="X1324" t="inlineStr">
        <is>
          <t>1992-08-18</t>
        </is>
      </c>
      <c r="Y1324" t="n">
        <v>563</v>
      </c>
      <c r="Z1324" t="n">
        <v>489</v>
      </c>
      <c r="AA1324" t="n">
        <v>491</v>
      </c>
      <c r="AB1324" t="n">
        <v>6</v>
      </c>
      <c r="AC1324" t="n">
        <v>6</v>
      </c>
      <c r="AD1324" t="n">
        <v>23</v>
      </c>
      <c r="AE1324" t="n">
        <v>23</v>
      </c>
      <c r="AF1324" t="n">
        <v>9</v>
      </c>
      <c r="AG1324" t="n">
        <v>9</v>
      </c>
      <c r="AH1324" t="n">
        <v>2</v>
      </c>
      <c r="AI1324" t="n">
        <v>2</v>
      </c>
      <c r="AJ1324" t="n">
        <v>11</v>
      </c>
      <c r="AK1324" t="n">
        <v>11</v>
      </c>
      <c r="AL1324" t="n">
        <v>4</v>
      </c>
      <c r="AM1324" t="n">
        <v>4</v>
      </c>
      <c r="AN1324" t="n">
        <v>0</v>
      </c>
      <c r="AO1324" t="n">
        <v>0</v>
      </c>
      <c r="AP1324" t="inlineStr">
        <is>
          <t>No</t>
        </is>
      </c>
      <c r="AQ1324" t="inlineStr">
        <is>
          <t>No</t>
        </is>
      </c>
      <c r="AS1324">
        <f>HYPERLINK("https://creighton-primo.hosted.exlibrisgroup.com/primo-explore/search?tab=default_tab&amp;search_scope=EVERYTHING&amp;vid=01CRU&amp;lang=en_US&amp;offset=0&amp;query=any,contains,991005050739702656","Catalog Record")</f>
        <v/>
      </c>
      <c r="AT1324">
        <f>HYPERLINK("http://www.worldcat.org/oclc/6864439","WorldCat Record")</f>
        <v/>
      </c>
      <c r="AU1324" t="inlineStr">
        <is>
          <t>2864693650:eng</t>
        </is>
      </c>
      <c r="AV1324" t="inlineStr">
        <is>
          <t>6864439</t>
        </is>
      </c>
      <c r="AW1324" t="inlineStr">
        <is>
          <t>991005050739702656</t>
        </is>
      </c>
      <c r="AX1324" t="inlineStr">
        <is>
          <t>991005050739702656</t>
        </is>
      </c>
      <c r="AY1324" t="inlineStr">
        <is>
          <t>2269602770002656</t>
        </is>
      </c>
      <c r="AZ1324" t="inlineStr">
        <is>
          <t>BOOK</t>
        </is>
      </c>
      <c r="BB1324" t="inlineStr">
        <is>
          <t>9780205072705</t>
        </is>
      </c>
      <c r="BC1324" t="inlineStr">
        <is>
          <t>32285001262756</t>
        </is>
      </c>
      <c r="BD1324" t="inlineStr">
        <is>
          <t>893326088</t>
        </is>
      </c>
    </row>
    <row r="1325">
      <c r="A1325" t="inlineStr">
        <is>
          <t>No</t>
        </is>
      </c>
      <c r="B1325" t="inlineStr">
        <is>
          <t>LB3013 .K67</t>
        </is>
      </c>
      <c r="C1325" t="inlineStr">
        <is>
          <t>0                      LB 3013000K  67</t>
        </is>
      </c>
      <c r="D1325" t="inlineStr">
        <is>
          <t>Improving behavior / Nick Kostiuk, Eli Barkan, John Rocco ; [ill. by Richard Stalzer].</t>
        </is>
      </c>
      <c r="F1325" t="inlineStr">
        <is>
          <t>No</t>
        </is>
      </c>
      <c r="G1325" t="inlineStr">
        <is>
          <t>1</t>
        </is>
      </c>
      <c r="H1325" t="inlineStr">
        <is>
          <t>No</t>
        </is>
      </c>
      <c r="I1325" t="inlineStr">
        <is>
          <t>No</t>
        </is>
      </c>
      <c r="J1325" t="inlineStr">
        <is>
          <t>0</t>
        </is>
      </c>
      <c r="K1325" t="inlineStr">
        <is>
          <t>Kostiuk, Nick.</t>
        </is>
      </c>
      <c r="L1325" t="inlineStr">
        <is>
          <t>Morristown, N.J. : Silver Burdett Co., c1979.</t>
        </is>
      </c>
      <c r="M1325" t="inlineStr">
        <is>
          <t>1979</t>
        </is>
      </c>
      <c r="O1325" t="inlineStr">
        <is>
          <t>eng</t>
        </is>
      </c>
      <c r="P1325" t="inlineStr">
        <is>
          <t>nju</t>
        </is>
      </c>
      <c r="Q1325" t="inlineStr">
        <is>
          <t>Silver Burdett professional publications</t>
        </is>
      </c>
      <c r="R1325" t="inlineStr">
        <is>
          <t xml:space="preserve">LB </t>
        </is>
      </c>
      <c r="S1325" t="n">
        <v>3</v>
      </c>
      <c r="T1325" t="n">
        <v>3</v>
      </c>
      <c r="U1325" t="inlineStr">
        <is>
          <t>1993-07-07</t>
        </is>
      </c>
      <c r="V1325" t="inlineStr">
        <is>
          <t>1993-07-07</t>
        </is>
      </c>
      <c r="W1325" t="inlineStr">
        <is>
          <t>1992-05-05</t>
        </is>
      </c>
      <c r="X1325" t="inlineStr">
        <is>
          <t>1992-05-05</t>
        </is>
      </c>
      <c r="Y1325" t="n">
        <v>50</v>
      </c>
      <c r="Z1325" t="n">
        <v>45</v>
      </c>
      <c r="AA1325" t="n">
        <v>45</v>
      </c>
      <c r="AB1325" t="n">
        <v>1</v>
      </c>
      <c r="AC1325" t="n">
        <v>1</v>
      </c>
      <c r="AD1325" t="n">
        <v>0</v>
      </c>
      <c r="AE1325" t="n">
        <v>0</v>
      </c>
      <c r="AF1325" t="n">
        <v>0</v>
      </c>
      <c r="AG1325" t="n">
        <v>0</v>
      </c>
      <c r="AH1325" t="n">
        <v>0</v>
      </c>
      <c r="AI1325" t="n">
        <v>0</v>
      </c>
      <c r="AJ1325" t="n">
        <v>0</v>
      </c>
      <c r="AK1325" t="n">
        <v>0</v>
      </c>
      <c r="AL1325" t="n">
        <v>0</v>
      </c>
      <c r="AM1325" t="n">
        <v>0</v>
      </c>
      <c r="AN1325" t="n">
        <v>0</v>
      </c>
      <c r="AO1325" t="n">
        <v>0</v>
      </c>
      <c r="AP1325" t="inlineStr">
        <is>
          <t>No</t>
        </is>
      </c>
      <c r="AQ1325" t="inlineStr">
        <is>
          <t>No</t>
        </is>
      </c>
      <c r="AS1325">
        <f>HYPERLINK("https://creighton-primo.hosted.exlibrisgroup.com/primo-explore/search?tab=default_tab&amp;search_scope=EVERYTHING&amp;vid=01CRU&amp;lang=en_US&amp;offset=0&amp;query=any,contains,991004751099702656","Catalog Record")</f>
        <v/>
      </c>
      <c r="AT1325">
        <f>HYPERLINK("http://www.worldcat.org/oclc/4933679","WorldCat Record")</f>
        <v/>
      </c>
      <c r="AU1325" t="inlineStr">
        <is>
          <t>15213160:eng</t>
        </is>
      </c>
      <c r="AV1325" t="inlineStr">
        <is>
          <t>4933679</t>
        </is>
      </c>
      <c r="AW1325" t="inlineStr">
        <is>
          <t>991004751099702656</t>
        </is>
      </c>
      <c r="AX1325" t="inlineStr">
        <is>
          <t>991004751099702656</t>
        </is>
      </c>
      <c r="AY1325" t="inlineStr">
        <is>
          <t>2269006800002656</t>
        </is>
      </c>
      <c r="AZ1325" t="inlineStr">
        <is>
          <t>BOOK</t>
        </is>
      </c>
      <c r="BB1325" t="inlineStr">
        <is>
          <t>9780382026096</t>
        </is>
      </c>
      <c r="BC1325" t="inlineStr">
        <is>
          <t>32285001093714</t>
        </is>
      </c>
      <c r="BD1325" t="inlineStr">
        <is>
          <t>893606430</t>
        </is>
      </c>
    </row>
    <row r="1326">
      <c r="A1326" t="inlineStr">
        <is>
          <t>No</t>
        </is>
      </c>
      <c r="B1326" t="inlineStr">
        <is>
          <t>LB3013 .N27 2009</t>
        </is>
      </c>
      <c r="C1326" t="inlineStr">
        <is>
          <t>0                      LB 3013000N  27          2009</t>
        </is>
      </c>
      <c r="D1326" t="inlineStr">
        <is>
          <t>The active teacher : practical strategies for maximizing teacher effectiveness / Ron Nash.</t>
        </is>
      </c>
      <c r="F1326" t="inlineStr">
        <is>
          <t>No</t>
        </is>
      </c>
      <c r="G1326" t="inlineStr">
        <is>
          <t>1</t>
        </is>
      </c>
      <c r="H1326" t="inlineStr">
        <is>
          <t>No</t>
        </is>
      </c>
      <c r="I1326" t="inlineStr">
        <is>
          <t>No</t>
        </is>
      </c>
      <c r="J1326" t="inlineStr">
        <is>
          <t>0</t>
        </is>
      </c>
      <c r="K1326" t="inlineStr">
        <is>
          <t>Nash, Ron, 1949-</t>
        </is>
      </c>
      <c r="L1326" t="inlineStr">
        <is>
          <t>Thousand Oaks, Calif. : Corwin, c2009.</t>
        </is>
      </c>
      <c r="M1326" t="inlineStr">
        <is>
          <t>2009</t>
        </is>
      </c>
      <c r="O1326" t="inlineStr">
        <is>
          <t>eng</t>
        </is>
      </c>
      <c r="P1326" t="inlineStr">
        <is>
          <t>cau</t>
        </is>
      </c>
      <c r="R1326" t="inlineStr">
        <is>
          <t xml:space="preserve">LB </t>
        </is>
      </c>
      <c r="S1326" t="n">
        <v>1</v>
      </c>
      <c r="T1326" t="n">
        <v>1</v>
      </c>
      <c r="U1326" t="inlineStr">
        <is>
          <t>2010-10-07</t>
        </is>
      </c>
      <c r="V1326" t="inlineStr">
        <is>
          <t>2010-10-07</t>
        </is>
      </c>
      <c r="W1326" t="inlineStr">
        <is>
          <t>2009-08-06</t>
        </is>
      </c>
      <c r="X1326" t="inlineStr">
        <is>
          <t>2009-08-06</t>
        </is>
      </c>
      <c r="Y1326" t="n">
        <v>167</v>
      </c>
      <c r="Z1326" t="n">
        <v>129</v>
      </c>
      <c r="AA1326" t="n">
        <v>158</v>
      </c>
      <c r="AB1326" t="n">
        <v>2</v>
      </c>
      <c r="AC1326" t="n">
        <v>3</v>
      </c>
      <c r="AD1326" t="n">
        <v>7</v>
      </c>
      <c r="AE1326" t="n">
        <v>9</v>
      </c>
      <c r="AF1326" t="n">
        <v>3</v>
      </c>
      <c r="AG1326" t="n">
        <v>4</v>
      </c>
      <c r="AH1326" t="n">
        <v>1</v>
      </c>
      <c r="AI1326" t="n">
        <v>2</v>
      </c>
      <c r="AJ1326" t="n">
        <v>5</v>
      </c>
      <c r="AK1326" t="n">
        <v>5</v>
      </c>
      <c r="AL1326" t="n">
        <v>1</v>
      </c>
      <c r="AM1326" t="n">
        <v>2</v>
      </c>
      <c r="AN1326" t="n">
        <v>0</v>
      </c>
      <c r="AO1326" t="n">
        <v>0</v>
      </c>
      <c r="AP1326" t="inlineStr">
        <is>
          <t>No</t>
        </is>
      </c>
      <c r="AQ1326" t="inlineStr">
        <is>
          <t>No</t>
        </is>
      </c>
      <c r="AS1326">
        <f>HYPERLINK("https://creighton-primo.hosted.exlibrisgroup.com/primo-explore/search?tab=default_tab&amp;search_scope=EVERYTHING&amp;vid=01CRU&amp;lang=en_US&amp;offset=0&amp;query=any,contains,991005329729702656","Catalog Record")</f>
        <v/>
      </c>
      <c r="AT1326">
        <f>HYPERLINK("http://www.worldcat.org/oclc/299709926","WorldCat Record")</f>
        <v/>
      </c>
      <c r="AU1326" t="inlineStr">
        <is>
          <t>180344750:eng</t>
        </is>
      </c>
      <c r="AV1326" t="inlineStr">
        <is>
          <t>299709926</t>
        </is>
      </c>
      <c r="AW1326" t="inlineStr">
        <is>
          <t>991005329729702656</t>
        </is>
      </c>
      <c r="AX1326" t="inlineStr">
        <is>
          <t>991005329729702656</t>
        </is>
      </c>
      <c r="AY1326" t="inlineStr">
        <is>
          <t>2255048150002656</t>
        </is>
      </c>
      <c r="AZ1326" t="inlineStr">
        <is>
          <t>BOOK</t>
        </is>
      </c>
      <c r="BB1326" t="inlineStr">
        <is>
          <t>9781412973878</t>
        </is>
      </c>
      <c r="BC1326" t="inlineStr">
        <is>
          <t>32285005540942</t>
        </is>
      </c>
      <c r="BD1326" t="inlineStr">
        <is>
          <t>893418750</t>
        </is>
      </c>
    </row>
    <row r="1327">
      <c r="A1327" t="inlineStr">
        <is>
          <t>No</t>
        </is>
      </c>
      <c r="B1327" t="inlineStr">
        <is>
          <t>LB3013 .P68 1976</t>
        </is>
      </c>
      <c r="C1327" t="inlineStr">
        <is>
          <t>0                      LB 3013000P  68          1976</t>
        </is>
      </c>
      <c r="D1327" t="inlineStr">
        <is>
          <t>Behavior modification / by Robert J. Presbie, Paul L. Brown.</t>
        </is>
      </c>
      <c r="F1327" t="inlineStr">
        <is>
          <t>No</t>
        </is>
      </c>
      <c r="G1327" t="inlineStr">
        <is>
          <t>1</t>
        </is>
      </c>
      <c r="H1327" t="inlineStr">
        <is>
          <t>No</t>
        </is>
      </c>
      <c r="I1327" t="inlineStr">
        <is>
          <t>No</t>
        </is>
      </c>
      <c r="J1327" t="inlineStr">
        <is>
          <t>0</t>
        </is>
      </c>
      <c r="K1327" t="inlineStr">
        <is>
          <t>Presbie, Robert J.</t>
        </is>
      </c>
      <c r="L1327" t="inlineStr">
        <is>
          <t>Washington : National Education Association, c1976.</t>
        </is>
      </c>
      <c r="M1327" t="inlineStr">
        <is>
          <t>1976</t>
        </is>
      </c>
      <c r="O1327" t="inlineStr">
        <is>
          <t>eng</t>
        </is>
      </c>
      <c r="P1327" t="inlineStr">
        <is>
          <t>dcu</t>
        </is>
      </c>
      <c r="Q1327" t="inlineStr">
        <is>
          <t>What research says to the teacher</t>
        </is>
      </c>
      <c r="R1327" t="inlineStr">
        <is>
          <t xml:space="preserve">LB </t>
        </is>
      </c>
      <c r="S1327" t="n">
        <v>2</v>
      </c>
      <c r="T1327" t="n">
        <v>2</v>
      </c>
      <c r="U1327" t="inlineStr">
        <is>
          <t>1992-04-16</t>
        </is>
      </c>
      <c r="V1327" t="inlineStr">
        <is>
          <t>1992-04-16</t>
        </is>
      </c>
      <c r="W1327" t="inlineStr">
        <is>
          <t>1992-03-30</t>
        </is>
      </c>
      <c r="X1327" t="inlineStr">
        <is>
          <t>1992-03-30</t>
        </is>
      </c>
      <c r="Y1327" t="n">
        <v>199</v>
      </c>
      <c r="Z1327" t="n">
        <v>193</v>
      </c>
      <c r="AA1327" t="n">
        <v>405</v>
      </c>
      <c r="AB1327" t="n">
        <v>5</v>
      </c>
      <c r="AC1327" t="n">
        <v>6</v>
      </c>
      <c r="AD1327" t="n">
        <v>10</v>
      </c>
      <c r="AE1327" t="n">
        <v>21</v>
      </c>
      <c r="AF1327" t="n">
        <v>3</v>
      </c>
      <c r="AG1327" t="n">
        <v>10</v>
      </c>
      <c r="AH1327" t="n">
        <v>2</v>
      </c>
      <c r="AI1327" t="n">
        <v>3</v>
      </c>
      <c r="AJ1327" t="n">
        <v>3</v>
      </c>
      <c r="AK1327" t="n">
        <v>9</v>
      </c>
      <c r="AL1327" t="n">
        <v>4</v>
      </c>
      <c r="AM1327" t="n">
        <v>5</v>
      </c>
      <c r="AN1327" t="n">
        <v>0</v>
      </c>
      <c r="AO1327" t="n">
        <v>0</v>
      </c>
      <c r="AP1327" t="inlineStr">
        <is>
          <t>No</t>
        </is>
      </c>
      <c r="AQ1327" t="inlineStr">
        <is>
          <t>Yes</t>
        </is>
      </c>
      <c r="AR1327">
        <f>HYPERLINK("http://catalog.hathitrust.org/Record/000020409","HathiTrust Record")</f>
        <v/>
      </c>
      <c r="AS1327">
        <f>HYPERLINK("https://creighton-primo.hosted.exlibrisgroup.com/primo-explore/search?tab=default_tab&amp;search_scope=EVERYTHING&amp;vid=01CRU&amp;lang=en_US&amp;offset=0&amp;query=any,contains,991003808169702656","Catalog Record")</f>
        <v/>
      </c>
      <c r="AT1327">
        <f>HYPERLINK("http://www.worldcat.org/oclc/1531902","WorldCat Record")</f>
        <v/>
      </c>
      <c r="AU1327" t="inlineStr">
        <is>
          <t>3901066669:eng</t>
        </is>
      </c>
      <c r="AV1327" t="inlineStr">
        <is>
          <t>1531902</t>
        </is>
      </c>
      <c r="AW1327" t="inlineStr">
        <is>
          <t>991003808169702656</t>
        </is>
      </c>
      <c r="AX1327" t="inlineStr">
        <is>
          <t>991003808169702656</t>
        </is>
      </c>
      <c r="AY1327" t="inlineStr">
        <is>
          <t>2271857480002656</t>
        </is>
      </c>
      <c r="AZ1327" t="inlineStr">
        <is>
          <t>BOOK</t>
        </is>
      </c>
      <c r="BB1327" t="inlineStr">
        <is>
          <t>9780810610354</t>
        </is>
      </c>
      <c r="BC1327" t="inlineStr">
        <is>
          <t>32285001030302</t>
        </is>
      </c>
      <c r="BD1327" t="inlineStr">
        <is>
          <t>893718098</t>
        </is>
      </c>
    </row>
    <row r="1328">
      <c r="A1328" t="inlineStr">
        <is>
          <t>No</t>
        </is>
      </c>
      <c r="B1328" t="inlineStr">
        <is>
          <t>LB3013 .P874 2006</t>
        </is>
      </c>
      <c r="C1328" t="inlineStr">
        <is>
          <t>0                      LB 3013000P  874         2006</t>
        </is>
      </c>
      <c r="D1328" t="inlineStr">
        <is>
          <t>Teaching class clowns (and what they can teach us) / William Watson Purkey ; foreword by Sally Butzin.</t>
        </is>
      </c>
      <c r="F1328" t="inlineStr">
        <is>
          <t>No</t>
        </is>
      </c>
      <c r="G1328" t="inlineStr">
        <is>
          <t>1</t>
        </is>
      </c>
      <c r="H1328" t="inlineStr">
        <is>
          <t>No</t>
        </is>
      </c>
      <c r="I1328" t="inlineStr">
        <is>
          <t>No</t>
        </is>
      </c>
      <c r="J1328" t="inlineStr">
        <is>
          <t>0</t>
        </is>
      </c>
      <c r="K1328" t="inlineStr">
        <is>
          <t>Purkey, William Watson.</t>
        </is>
      </c>
      <c r="L1328" t="inlineStr">
        <is>
          <t>Thousand Oaks, Calif. : Corwin Press, c2006.</t>
        </is>
      </c>
      <c r="M1328" t="inlineStr">
        <is>
          <t>2006</t>
        </is>
      </c>
      <c r="O1328" t="inlineStr">
        <is>
          <t>eng</t>
        </is>
      </c>
      <c r="P1328" t="inlineStr">
        <is>
          <t>cau</t>
        </is>
      </c>
      <c r="R1328" t="inlineStr">
        <is>
          <t xml:space="preserve">LB </t>
        </is>
      </c>
      <c r="S1328" t="n">
        <v>1</v>
      </c>
      <c r="T1328" t="n">
        <v>1</v>
      </c>
      <c r="U1328" t="inlineStr">
        <is>
          <t>2006-05-30</t>
        </is>
      </c>
      <c r="V1328" t="inlineStr">
        <is>
          <t>2006-05-30</t>
        </is>
      </c>
      <c r="W1328" t="inlineStr">
        <is>
          <t>2006-05-30</t>
        </is>
      </c>
      <c r="X1328" t="inlineStr">
        <is>
          <t>2006-05-30</t>
        </is>
      </c>
      <c r="Y1328" t="n">
        <v>227</v>
      </c>
      <c r="Z1328" t="n">
        <v>185</v>
      </c>
      <c r="AA1328" t="n">
        <v>186</v>
      </c>
      <c r="AB1328" t="n">
        <v>3</v>
      </c>
      <c r="AC1328" t="n">
        <v>3</v>
      </c>
      <c r="AD1328" t="n">
        <v>8</v>
      </c>
      <c r="AE1328" t="n">
        <v>8</v>
      </c>
      <c r="AF1328" t="n">
        <v>2</v>
      </c>
      <c r="AG1328" t="n">
        <v>2</v>
      </c>
      <c r="AH1328" t="n">
        <v>1</v>
      </c>
      <c r="AI1328" t="n">
        <v>1</v>
      </c>
      <c r="AJ1328" t="n">
        <v>5</v>
      </c>
      <c r="AK1328" t="n">
        <v>5</v>
      </c>
      <c r="AL1328" t="n">
        <v>2</v>
      </c>
      <c r="AM1328" t="n">
        <v>2</v>
      </c>
      <c r="AN1328" t="n">
        <v>0</v>
      </c>
      <c r="AO1328" t="n">
        <v>0</v>
      </c>
      <c r="AP1328" t="inlineStr">
        <is>
          <t>No</t>
        </is>
      </c>
      <c r="AQ1328" t="inlineStr">
        <is>
          <t>Yes</t>
        </is>
      </c>
      <c r="AR1328">
        <f>HYPERLINK("http://catalog.hathitrust.org/Record/102043812","HathiTrust Record")</f>
        <v/>
      </c>
      <c r="AS1328">
        <f>HYPERLINK("https://creighton-primo.hosted.exlibrisgroup.com/primo-explore/search?tab=default_tab&amp;search_scope=EVERYTHING&amp;vid=01CRU&amp;lang=en_US&amp;offset=0&amp;query=any,contains,991004822649702656","Catalog Record")</f>
        <v/>
      </c>
      <c r="AT1328">
        <f>HYPERLINK("http://www.worldcat.org/oclc/62342005","WorldCat Record")</f>
        <v/>
      </c>
      <c r="AU1328" t="inlineStr">
        <is>
          <t>46715456:eng</t>
        </is>
      </c>
      <c r="AV1328" t="inlineStr">
        <is>
          <t>62342005</t>
        </is>
      </c>
      <c r="AW1328" t="inlineStr">
        <is>
          <t>991004822649702656</t>
        </is>
      </c>
      <c r="AX1328" t="inlineStr">
        <is>
          <t>991004822649702656</t>
        </is>
      </c>
      <c r="AY1328" t="inlineStr">
        <is>
          <t>2260270420002656</t>
        </is>
      </c>
      <c r="AZ1328" t="inlineStr">
        <is>
          <t>BOOK</t>
        </is>
      </c>
      <c r="BB1328" t="inlineStr">
        <is>
          <t>9781412937245</t>
        </is>
      </c>
      <c r="BC1328" t="inlineStr">
        <is>
          <t>32285005189690</t>
        </is>
      </c>
      <c r="BD1328" t="inlineStr">
        <is>
          <t>893344302</t>
        </is>
      </c>
    </row>
    <row r="1329">
      <c r="A1329" t="inlineStr">
        <is>
          <t>No</t>
        </is>
      </c>
      <c r="B1329" t="inlineStr">
        <is>
          <t>LB3013 .P88 1992</t>
        </is>
      </c>
      <c r="C1329" t="inlineStr">
        <is>
          <t>0                      LB 3013000P  88          1992</t>
        </is>
      </c>
      <c r="D1329" t="inlineStr">
        <is>
          <t>Organizing and managing classroom learning communities / Joyce Putnam, J. Bruce Burke.</t>
        </is>
      </c>
      <c r="F1329" t="inlineStr">
        <is>
          <t>No</t>
        </is>
      </c>
      <c r="G1329" t="inlineStr">
        <is>
          <t>1</t>
        </is>
      </c>
      <c r="H1329" t="inlineStr">
        <is>
          <t>No</t>
        </is>
      </c>
      <c r="I1329" t="inlineStr">
        <is>
          <t>No</t>
        </is>
      </c>
      <c r="J1329" t="inlineStr">
        <is>
          <t>0</t>
        </is>
      </c>
      <c r="K1329" t="inlineStr">
        <is>
          <t>Putnam, Joyce G.</t>
        </is>
      </c>
      <c r="L1329" t="inlineStr">
        <is>
          <t>New York : McGraw-Hill, c1992.</t>
        </is>
      </c>
      <c r="M1329" t="inlineStr">
        <is>
          <t>1992</t>
        </is>
      </c>
      <c r="O1329" t="inlineStr">
        <is>
          <t>eng</t>
        </is>
      </c>
      <c r="P1329" t="inlineStr">
        <is>
          <t>nyu</t>
        </is>
      </c>
      <c r="R1329" t="inlineStr">
        <is>
          <t xml:space="preserve">LB </t>
        </is>
      </c>
      <c r="S1329" t="n">
        <v>4</v>
      </c>
      <c r="T1329" t="n">
        <v>4</v>
      </c>
      <c r="U1329" t="inlineStr">
        <is>
          <t>2001-04-22</t>
        </is>
      </c>
      <c r="V1329" t="inlineStr">
        <is>
          <t>2001-04-22</t>
        </is>
      </c>
      <c r="W1329" t="inlineStr">
        <is>
          <t>1992-05-15</t>
        </is>
      </c>
      <c r="X1329" t="inlineStr">
        <is>
          <t>1992-05-15</t>
        </is>
      </c>
      <c r="Y1329" t="n">
        <v>160</v>
      </c>
      <c r="Z1329" t="n">
        <v>115</v>
      </c>
      <c r="AA1329" t="n">
        <v>117</v>
      </c>
      <c r="AB1329" t="n">
        <v>2</v>
      </c>
      <c r="AC1329" t="n">
        <v>2</v>
      </c>
      <c r="AD1329" t="n">
        <v>7</v>
      </c>
      <c r="AE1329" t="n">
        <v>7</v>
      </c>
      <c r="AF1329" t="n">
        <v>2</v>
      </c>
      <c r="AG1329" t="n">
        <v>2</v>
      </c>
      <c r="AH1329" t="n">
        <v>1</v>
      </c>
      <c r="AI1329" t="n">
        <v>1</v>
      </c>
      <c r="AJ1329" t="n">
        <v>5</v>
      </c>
      <c r="AK1329" t="n">
        <v>5</v>
      </c>
      <c r="AL1329" t="n">
        <v>1</v>
      </c>
      <c r="AM1329" t="n">
        <v>1</v>
      </c>
      <c r="AN1329" t="n">
        <v>0</v>
      </c>
      <c r="AO1329" t="n">
        <v>0</v>
      </c>
      <c r="AP1329" t="inlineStr">
        <is>
          <t>No</t>
        </is>
      </c>
      <c r="AQ1329" t="inlineStr">
        <is>
          <t>No</t>
        </is>
      </c>
      <c r="AS1329">
        <f>HYPERLINK("https://creighton-primo.hosted.exlibrisgroup.com/primo-explore/search?tab=default_tab&amp;search_scope=EVERYTHING&amp;vid=01CRU&amp;lang=en_US&amp;offset=0&amp;query=any,contains,991001928679702656","Catalog Record")</f>
        <v/>
      </c>
      <c r="AT1329">
        <f>HYPERLINK("http://www.worldcat.org/oclc/24373622","WorldCat Record")</f>
        <v/>
      </c>
      <c r="AU1329" t="inlineStr">
        <is>
          <t>26609734:eng</t>
        </is>
      </c>
      <c r="AV1329" t="inlineStr">
        <is>
          <t>24373622</t>
        </is>
      </c>
      <c r="AW1329" t="inlineStr">
        <is>
          <t>991001928679702656</t>
        </is>
      </c>
      <c r="AX1329" t="inlineStr">
        <is>
          <t>991001928679702656</t>
        </is>
      </c>
      <c r="AY1329" t="inlineStr">
        <is>
          <t>2268690060002656</t>
        </is>
      </c>
      <c r="AZ1329" t="inlineStr">
        <is>
          <t>BOOK</t>
        </is>
      </c>
      <c r="BB1329" t="inlineStr">
        <is>
          <t>9780070510418</t>
        </is>
      </c>
      <c r="BC1329" t="inlineStr">
        <is>
          <t>32285001116226</t>
        </is>
      </c>
      <c r="BD1329" t="inlineStr">
        <is>
          <t>893797947</t>
        </is>
      </c>
    </row>
    <row r="1330">
      <c r="A1330" t="inlineStr">
        <is>
          <t>No</t>
        </is>
      </c>
      <c r="B1330" t="inlineStr">
        <is>
          <t>LB3013 .R59 2004</t>
        </is>
      </c>
      <c r="C1330" t="inlineStr">
        <is>
          <t>0                      LB 3013000R  59          2004</t>
        </is>
      </c>
      <c r="D1330" t="inlineStr">
        <is>
          <t>Why can't you behave? : the teacher's guide to creative classroom management, K-3 / Paula Rogovin.</t>
        </is>
      </c>
      <c r="F1330" t="inlineStr">
        <is>
          <t>No</t>
        </is>
      </c>
      <c r="G1330" t="inlineStr">
        <is>
          <t>1</t>
        </is>
      </c>
      <c r="H1330" t="inlineStr">
        <is>
          <t>No</t>
        </is>
      </c>
      <c r="I1330" t="inlineStr">
        <is>
          <t>No</t>
        </is>
      </c>
      <c r="J1330" t="inlineStr">
        <is>
          <t>0</t>
        </is>
      </c>
      <c r="K1330" t="inlineStr">
        <is>
          <t>Rogovin, Paula.</t>
        </is>
      </c>
      <c r="L1330" t="inlineStr">
        <is>
          <t>Portsmouth, NH : Heinemann, c2004.</t>
        </is>
      </c>
      <c r="M1330" t="inlineStr">
        <is>
          <t>2004</t>
        </is>
      </c>
      <c r="O1330" t="inlineStr">
        <is>
          <t>eng</t>
        </is>
      </c>
      <c r="P1330" t="inlineStr">
        <is>
          <t>nhu</t>
        </is>
      </c>
      <c r="R1330" t="inlineStr">
        <is>
          <t xml:space="preserve">LB </t>
        </is>
      </c>
      <c r="S1330" t="n">
        <v>2</v>
      </c>
      <c r="T1330" t="n">
        <v>2</v>
      </c>
      <c r="U1330" t="inlineStr">
        <is>
          <t>2004-11-30</t>
        </is>
      </c>
      <c r="V1330" t="inlineStr">
        <is>
          <t>2004-11-30</t>
        </is>
      </c>
      <c r="W1330" t="inlineStr">
        <is>
          <t>2004-09-14</t>
        </is>
      </c>
      <c r="X1330" t="inlineStr">
        <is>
          <t>2004-09-14</t>
        </is>
      </c>
      <c r="Y1330" t="n">
        <v>282</v>
      </c>
      <c r="Z1330" t="n">
        <v>246</v>
      </c>
      <c r="AA1330" t="n">
        <v>247</v>
      </c>
      <c r="AB1330" t="n">
        <v>2</v>
      </c>
      <c r="AC1330" t="n">
        <v>2</v>
      </c>
      <c r="AD1330" t="n">
        <v>12</v>
      </c>
      <c r="AE1330" t="n">
        <v>12</v>
      </c>
      <c r="AF1330" t="n">
        <v>5</v>
      </c>
      <c r="AG1330" t="n">
        <v>5</v>
      </c>
      <c r="AH1330" t="n">
        <v>4</v>
      </c>
      <c r="AI1330" t="n">
        <v>4</v>
      </c>
      <c r="AJ1330" t="n">
        <v>6</v>
      </c>
      <c r="AK1330" t="n">
        <v>6</v>
      </c>
      <c r="AL1330" t="n">
        <v>1</v>
      </c>
      <c r="AM1330" t="n">
        <v>1</v>
      </c>
      <c r="AN1330" t="n">
        <v>0</v>
      </c>
      <c r="AO1330" t="n">
        <v>0</v>
      </c>
      <c r="AP1330" t="inlineStr">
        <is>
          <t>No</t>
        </is>
      </c>
      <c r="AQ1330" t="inlineStr">
        <is>
          <t>Yes</t>
        </is>
      </c>
      <c r="AR1330">
        <f>HYPERLINK("http://catalog.hathitrust.org/Record/102033997","HathiTrust Record")</f>
        <v/>
      </c>
      <c r="AS1330">
        <f>HYPERLINK("https://creighton-primo.hosted.exlibrisgroup.com/primo-explore/search?tab=default_tab&amp;search_scope=EVERYTHING&amp;vid=01CRU&amp;lang=en_US&amp;offset=0&amp;query=any,contains,991004370009702656","Catalog Record")</f>
        <v/>
      </c>
      <c r="AT1330">
        <f>HYPERLINK("http://www.worldcat.org/oclc/54500315","WorldCat Record")</f>
        <v/>
      </c>
      <c r="AU1330" t="inlineStr">
        <is>
          <t>4235581822:eng</t>
        </is>
      </c>
      <c r="AV1330" t="inlineStr">
        <is>
          <t>54500315</t>
        </is>
      </c>
      <c r="AW1330" t="inlineStr">
        <is>
          <t>991004370009702656</t>
        </is>
      </c>
      <c r="AX1330" t="inlineStr">
        <is>
          <t>991004370009702656</t>
        </is>
      </c>
      <c r="AY1330" t="inlineStr">
        <is>
          <t>2266278610002656</t>
        </is>
      </c>
      <c r="AZ1330" t="inlineStr">
        <is>
          <t>BOOK</t>
        </is>
      </c>
      <c r="BB1330" t="inlineStr">
        <is>
          <t>9780325006512</t>
        </is>
      </c>
      <c r="BC1330" t="inlineStr">
        <is>
          <t>32285004986997</t>
        </is>
      </c>
      <c r="BD1330" t="inlineStr">
        <is>
          <t>893618579</t>
        </is>
      </c>
    </row>
    <row r="1331">
      <c r="A1331" t="inlineStr">
        <is>
          <t>No</t>
        </is>
      </c>
      <c r="B1331" t="inlineStr">
        <is>
          <t>LB3013 .S26 2010</t>
        </is>
      </c>
      <c r="C1331" t="inlineStr">
        <is>
          <t>0                      LB 3013000S  26          2010</t>
        </is>
      </c>
      <c r="D1331" t="inlineStr">
        <is>
          <t>Because we can change the world : a practical guide to building cooperative, inclusive classroom communities / Mara Sapon-Shevin.</t>
        </is>
      </c>
      <c r="F1331" t="inlineStr">
        <is>
          <t>No</t>
        </is>
      </c>
      <c r="G1331" t="inlineStr">
        <is>
          <t>1</t>
        </is>
      </c>
      <c r="H1331" t="inlineStr">
        <is>
          <t>No</t>
        </is>
      </c>
      <c r="I1331" t="inlineStr">
        <is>
          <t>No</t>
        </is>
      </c>
      <c r="J1331" t="inlineStr">
        <is>
          <t>0</t>
        </is>
      </c>
      <c r="K1331" t="inlineStr">
        <is>
          <t>Sapon-Shevin, Mara.</t>
        </is>
      </c>
      <c r="L1331" t="inlineStr">
        <is>
          <t>Thousand Oaks, Calif. : Corwin Press, c2010.</t>
        </is>
      </c>
      <c r="M1331" t="inlineStr">
        <is>
          <t>2010</t>
        </is>
      </c>
      <c r="N1331" t="inlineStr">
        <is>
          <t>2nd ed.</t>
        </is>
      </c>
      <c r="O1331" t="inlineStr">
        <is>
          <t>eng</t>
        </is>
      </c>
      <c r="P1331" t="inlineStr">
        <is>
          <t>cau</t>
        </is>
      </c>
      <c r="R1331" t="inlineStr">
        <is>
          <t xml:space="preserve">LB </t>
        </is>
      </c>
      <c r="S1331" t="n">
        <v>1</v>
      </c>
      <c r="T1331" t="n">
        <v>1</v>
      </c>
      <c r="U1331" t="inlineStr">
        <is>
          <t>2010-08-31</t>
        </is>
      </c>
      <c r="V1331" t="inlineStr">
        <is>
          <t>2010-08-31</t>
        </is>
      </c>
      <c r="W1331" t="inlineStr">
        <is>
          <t>2010-08-31</t>
        </is>
      </c>
      <c r="X1331" t="inlineStr">
        <is>
          <t>2010-08-31</t>
        </is>
      </c>
      <c r="Y1331" t="n">
        <v>157</v>
      </c>
      <c r="Z1331" t="n">
        <v>105</v>
      </c>
      <c r="AA1331" t="n">
        <v>471</v>
      </c>
      <c r="AB1331" t="n">
        <v>1</v>
      </c>
      <c r="AC1331" t="n">
        <v>4</v>
      </c>
      <c r="AD1331" t="n">
        <v>6</v>
      </c>
      <c r="AE1331" t="n">
        <v>25</v>
      </c>
      <c r="AF1331" t="n">
        <v>4</v>
      </c>
      <c r="AG1331" t="n">
        <v>11</v>
      </c>
      <c r="AH1331" t="n">
        <v>1</v>
      </c>
      <c r="AI1331" t="n">
        <v>4</v>
      </c>
      <c r="AJ1331" t="n">
        <v>3</v>
      </c>
      <c r="AK1331" t="n">
        <v>14</v>
      </c>
      <c r="AL1331" t="n">
        <v>0</v>
      </c>
      <c r="AM1331" t="n">
        <v>3</v>
      </c>
      <c r="AN1331" t="n">
        <v>0</v>
      </c>
      <c r="AO1331" t="n">
        <v>0</v>
      </c>
      <c r="AP1331" t="inlineStr">
        <is>
          <t>No</t>
        </is>
      </c>
      <c r="AQ1331" t="inlineStr">
        <is>
          <t>No</t>
        </is>
      </c>
      <c r="AS1331">
        <f>HYPERLINK("https://creighton-primo.hosted.exlibrisgroup.com/primo-explore/search?tab=default_tab&amp;search_scope=EVERYTHING&amp;vid=01CRU&amp;lang=en_US&amp;offset=0&amp;query=any,contains,991000081279702656","Catalog Record")</f>
        <v/>
      </c>
      <c r="AT1331">
        <f>HYPERLINK("http://www.worldcat.org/oclc/515612551","WorldCat Record")</f>
        <v/>
      </c>
      <c r="AU1331" t="inlineStr">
        <is>
          <t>340772405:eng</t>
        </is>
      </c>
      <c r="AV1331" t="inlineStr">
        <is>
          <t>515612551</t>
        </is>
      </c>
      <c r="AW1331" t="inlineStr">
        <is>
          <t>991000081279702656</t>
        </is>
      </c>
      <c r="AX1331" t="inlineStr">
        <is>
          <t>991000081279702656</t>
        </is>
      </c>
      <c r="AY1331" t="inlineStr">
        <is>
          <t>2260121250002656</t>
        </is>
      </c>
      <c r="AZ1331" t="inlineStr">
        <is>
          <t>BOOK</t>
        </is>
      </c>
      <c r="BB1331" t="inlineStr">
        <is>
          <t>9781412978385</t>
        </is>
      </c>
      <c r="BC1331" t="inlineStr">
        <is>
          <t>32285005593578</t>
        </is>
      </c>
      <c r="BD1331" t="inlineStr">
        <is>
          <t>893495892</t>
        </is>
      </c>
    </row>
    <row r="1332">
      <c r="A1332" t="inlineStr">
        <is>
          <t>No</t>
        </is>
      </c>
      <c r="B1332" t="inlineStr">
        <is>
          <t>LB3013 .S38 2009</t>
        </is>
      </c>
      <c r="C1332" t="inlineStr">
        <is>
          <t>0                      LB 3013000S  38          2009</t>
        </is>
      </c>
      <c r="D1332" t="inlineStr">
        <is>
          <t>Rethinking classroom participation : listening to silent voices / Katherine Schultz ; foreword by Ray McDermott.</t>
        </is>
      </c>
      <c r="F1332" t="inlineStr">
        <is>
          <t>No</t>
        </is>
      </c>
      <c r="G1332" t="inlineStr">
        <is>
          <t>1</t>
        </is>
      </c>
      <c r="H1332" t="inlineStr">
        <is>
          <t>No</t>
        </is>
      </c>
      <c r="I1332" t="inlineStr">
        <is>
          <t>No</t>
        </is>
      </c>
      <c r="J1332" t="inlineStr">
        <is>
          <t>0</t>
        </is>
      </c>
      <c r="K1332" t="inlineStr">
        <is>
          <t>Schultz, Katherine.</t>
        </is>
      </c>
      <c r="L1332" t="inlineStr">
        <is>
          <t>New York : Teachers College Press, c2009.</t>
        </is>
      </c>
      <c r="M1332" t="inlineStr">
        <is>
          <t>2009</t>
        </is>
      </c>
      <c r="O1332" t="inlineStr">
        <is>
          <t>eng</t>
        </is>
      </c>
      <c r="P1332" t="inlineStr">
        <is>
          <t>nyu</t>
        </is>
      </c>
      <c r="R1332" t="inlineStr">
        <is>
          <t xml:space="preserve">LB </t>
        </is>
      </c>
      <c r="S1332" t="n">
        <v>1</v>
      </c>
      <c r="T1332" t="n">
        <v>1</v>
      </c>
      <c r="U1332" t="inlineStr">
        <is>
          <t>2009-12-01</t>
        </is>
      </c>
      <c r="V1332" t="inlineStr">
        <is>
          <t>2009-12-01</t>
        </is>
      </c>
      <c r="W1332" t="inlineStr">
        <is>
          <t>2009-12-01</t>
        </is>
      </c>
      <c r="X1332" t="inlineStr">
        <is>
          <t>2009-12-01</t>
        </is>
      </c>
      <c r="Y1332" t="n">
        <v>511</v>
      </c>
      <c r="Z1332" t="n">
        <v>434</v>
      </c>
      <c r="AA1332" t="n">
        <v>444</v>
      </c>
      <c r="AB1332" t="n">
        <v>4</v>
      </c>
      <c r="AC1332" t="n">
        <v>4</v>
      </c>
      <c r="AD1332" t="n">
        <v>19</v>
      </c>
      <c r="AE1332" t="n">
        <v>19</v>
      </c>
      <c r="AF1332" t="n">
        <v>9</v>
      </c>
      <c r="AG1332" t="n">
        <v>9</v>
      </c>
      <c r="AH1332" t="n">
        <v>4</v>
      </c>
      <c r="AI1332" t="n">
        <v>4</v>
      </c>
      <c r="AJ1332" t="n">
        <v>9</v>
      </c>
      <c r="AK1332" t="n">
        <v>9</v>
      </c>
      <c r="AL1332" t="n">
        <v>3</v>
      </c>
      <c r="AM1332" t="n">
        <v>3</v>
      </c>
      <c r="AN1332" t="n">
        <v>0</v>
      </c>
      <c r="AO1332" t="n">
        <v>0</v>
      </c>
      <c r="AP1332" t="inlineStr">
        <is>
          <t>No</t>
        </is>
      </c>
      <c r="AQ1332" t="inlineStr">
        <is>
          <t>Yes</t>
        </is>
      </c>
      <c r="AR1332">
        <f>HYPERLINK("http://catalog.hathitrust.org/Record/007183936","HathiTrust Record")</f>
        <v/>
      </c>
      <c r="AS1332">
        <f>HYPERLINK("https://creighton-primo.hosted.exlibrisgroup.com/primo-explore/search?tab=default_tab&amp;search_scope=EVERYTHING&amp;vid=01CRU&amp;lang=en_US&amp;offset=0&amp;query=any,contains,991005343229702656","Catalog Record")</f>
        <v/>
      </c>
      <c r="AT1332">
        <f>HYPERLINK("http://www.worldcat.org/oclc/416140082","WorldCat Record")</f>
        <v/>
      </c>
      <c r="AU1332" t="inlineStr">
        <is>
          <t>911993443:eng</t>
        </is>
      </c>
      <c r="AV1332" t="inlineStr">
        <is>
          <t>416140082</t>
        </is>
      </c>
      <c r="AW1332" t="inlineStr">
        <is>
          <t>991005343229702656</t>
        </is>
      </c>
      <c r="AX1332" t="inlineStr">
        <is>
          <t>991005343229702656</t>
        </is>
      </c>
      <c r="AY1332" t="inlineStr">
        <is>
          <t>2260512860002656</t>
        </is>
      </c>
      <c r="AZ1332" t="inlineStr">
        <is>
          <t>BOOK</t>
        </is>
      </c>
      <c r="BB1332" t="inlineStr">
        <is>
          <t>9780807750179</t>
        </is>
      </c>
      <c r="BC1332" t="inlineStr">
        <is>
          <t>32285005552822</t>
        </is>
      </c>
      <c r="BD1332" t="inlineStr">
        <is>
          <t>893789829</t>
        </is>
      </c>
    </row>
    <row r="1333">
      <c r="A1333" t="inlineStr">
        <is>
          <t>No</t>
        </is>
      </c>
      <c r="B1333" t="inlineStr">
        <is>
          <t>LB3013 .S56 2006</t>
        </is>
      </c>
      <c r="C1333" t="inlineStr">
        <is>
          <t>0                      LB 3013000S  56          2006</t>
        </is>
      </c>
      <c r="D1333" t="inlineStr">
        <is>
          <t>Ready to learn : how to overcome social and behavioral issues in the primary classroom / Jeanne Shub, Amy DeWeerd.</t>
        </is>
      </c>
      <c r="F1333" t="inlineStr">
        <is>
          <t>No</t>
        </is>
      </c>
      <c r="G1333" t="inlineStr">
        <is>
          <t>1</t>
        </is>
      </c>
      <c r="H1333" t="inlineStr">
        <is>
          <t>No</t>
        </is>
      </c>
      <c r="I1333" t="inlineStr">
        <is>
          <t>No</t>
        </is>
      </c>
      <c r="J1333" t="inlineStr">
        <is>
          <t>0</t>
        </is>
      </c>
      <c r="K1333" t="inlineStr">
        <is>
          <t>Shub, Jeanne.</t>
        </is>
      </c>
      <c r="L1333" t="inlineStr">
        <is>
          <t>Portsmouth, NH : Heinemann, c2006.</t>
        </is>
      </c>
      <c r="M1333" t="inlineStr">
        <is>
          <t>2006</t>
        </is>
      </c>
      <c r="O1333" t="inlineStr">
        <is>
          <t>eng</t>
        </is>
      </c>
      <c r="P1333" t="inlineStr">
        <is>
          <t>nhu</t>
        </is>
      </c>
      <c r="R1333" t="inlineStr">
        <is>
          <t xml:space="preserve">LB </t>
        </is>
      </c>
      <c r="S1333" t="n">
        <v>1</v>
      </c>
      <c r="T1333" t="n">
        <v>1</v>
      </c>
      <c r="U1333" t="inlineStr">
        <is>
          <t>2006-10-10</t>
        </is>
      </c>
      <c r="V1333" t="inlineStr">
        <is>
          <t>2006-10-10</t>
        </is>
      </c>
      <c r="W1333" t="inlineStr">
        <is>
          <t>2006-10-10</t>
        </is>
      </c>
      <c r="X1333" t="inlineStr">
        <is>
          <t>2006-10-10</t>
        </is>
      </c>
      <c r="Y1333" t="n">
        <v>228</v>
      </c>
      <c r="Z1333" t="n">
        <v>201</v>
      </c>
      <c r="AA1333" t="n">
        <v>205</v>
      </c>
      <c r="AB1333" t="n">
        <v>2</v>
      </c>
      <c r="AC1333" t="n">
        <v>2</v>
      </c>
      <c r="AD1333" t="n">
        <v>7</v>
      </c>
      <c r="AE1333" t="n">
        <v>7</v>
      </c>
      <c r="AF1333" t="n">
        <v>2</v>
      </c>
      <c r="AG1333" t="n">
        <v>2</v>
      </c>
      <c r="AH1333" t="n">
        <v>1</v>
      </c>
      <c r="AI1333" t="n">
        <v>1</v>
      </c>
      <c r="AJ1333" t="n">
        <v>5</v>
      </c>
      <c r="AK1333" t="n">
        <v>5</v>
      </c>
      <c r="AL1333" t="n">
        <v>1</v>
      </c>
      <c r="AM1333" t="n">
        <v>1</v>
      </c>
      <c r="AN1333" t="n">
        <v>0</v>
      </c>
      <c r="AO1333" t="n">
        <v>0</v>
      </c>
      <c r="AP1333" t="inlineStr">
        <is>
          <t>No</t>
        </is>
      </c>
      <c r="AQ1333" t="inlineStr">
        <is>
          <t>No</t>
        </is>
      </c>
      <c r="AS1333">
        <f>HYPERLINK("https://creighton-primo.hosted.exlibrisgroup.com/primo-explore/search?tab=default_tab&amp;search_scope=EVERYTHING&amp;vid=01CRU&amp;lang=en_US&amp;offset=0&amp;query=any,contains,991004946729702656","Catalog Record")</f>
        <v/>
      </c>
      <c r="AT1333">
        <f>HYPERLINK("http://www.worldcat.org/oclc/64084623","WorldCat Record")</f>
        <v/>
      </c>
      <c r="AU1333" t="inlineStr">
        <is>
          <t>438942615:eng</t>
        </is>
      </c>
      <c r="AV1333" t="inlineStr">
        <is>
          <t>64084623</t>
        </is>
      </c>
      <c r="AW1333" t="inlineStr">
        <is>
          <t>991004946729702656</t>
        </is>
      </c>
      <c r="AX1333" t="inlineStr">
        <is>
          <t>991004946729702656</t>
        </is>
      </c>
      <c r="AY1333" t="inlineStr">
        <is>
          <t>2271359040002656</t>
        </is>
      </c>
      <c r="AZ1333" t="inlineStr">
        <is>
          <t>BOOK</t>
        </is>
      </c>
      <c r="BB1333" t="inlineStr">
        <is>
          <t>9780325008752</t>
        </is>
      </c>
      <c r="BC1333" t="inlineStr">
        <is>
          <t>32285005228209</t>
        </is>
      </c>
      <c r="BD1333" t="inlineStr">
        <is>
          <t>893612951</t>
        </is>
      </c>
    </row>
    <row r="1334">
      <c r="A1334" t="inlineStr">
        <is>
          <t>No</t>
        </is>
      </c>
      <c r="B1334" t="inlineStr">
        <is>
          <t>LB3013 .S65 1983</t>
        </is>
      </c>
      <c r="C1334" t="inlineStr">
        <is>
          <t>0                      LB 3013000S  65          1983</t>
        </is>
      </c>
      <c r="D1334" t="inlineStr">
        <is>
          <t>Gender and schooling : a study of sexual divisions in the classroom / by Michelle Stanworth.</t>
        </is>
      </c>
      <c r="F1334" t="inlineStr">
        <is>
          <t>No</t>
        </is>
      </c>
      <c r="G1334" t="inlineStr">
        <is>
          <t>1</t>
        </is>
      </c>
      <c r="H1334" t="inlineStr">
        <is>
          <t>No</t>
        </is>
      </c>
      <c r="I1334" t="inlineStr">
        <is>
          <t>No</t>
        </is>
      </c>
      <c r="J1334" t="inlineStr">
        <is>
          <t>0</t>
        </is>
      </c>
      <c r="K1334" t="inlineStr">
        <is>
          <t>Stanworth, Michelle.</t>
        </is>
      </c>
      <c r="L1334" t="inlineStr">
        <is>
          <t>London : Hutchinson, 1983.</t>
        </is>
      </c>
      <c r="M1334" t="inlineStr">
        <is>
          <t>1983</t>
        </is>
      </c>
      <c r="O1334" t="inlineStr">
        <is>
          <t>eng</t>
        </is>
      </c>
      <c r="P1334" t="inlineStr">
        <is>
          <t>enk</t>
        </is>
      </c>
      <c r="Q1334" t="inlineStr">
        <is>
          <t>Explorations in feminism ; no. 8</t>
        </is>
      </c>
      <c r="R1334" t="inlineStr">
        <is>
          <t xml:space="preserve">LB </t>
        </is>
      </c>
      <c r="S1334" t="n">
        <v>6</v>
      </c>
      <c r="T1334" t="n">
        <v>6</v>
      </c>
      <c r="U1334" t="inlineStr">
        <is>
          <t>1998-10-29</t>
        </is>
      </c>
      <c r="V1334" t="inlineStr">
        <is>
          <t>1998-10-29</t>
        </is>
      </c>
      <c r="W1334" t="inlineStr">
        <is>
          <t>1992-08-18</t>
        </is>
      </c>
      <c r="X1334" t="inlineStr">
        <is>
          <t>1992-08-18</t>
        </is>
      </c>
      <c r="Y1334" t="n">
        <v>60</v>
      </c>
      <c r="Z1334" t="n">
        <v>46</v>
      </c>
      <c r="AA1334" t="n">
        <v>139</v>
      </c>
      <c r="AB1334" t="n">
        <v>1</v>
      </c>
      <c r="AC1334" t="n">
        <v>1</v>
      </c>
      <c r="AD1334" t="n">
        <v>1</v>
      </c>
      <c r="AE1334" t="n">
        <v>6</v>
      </c>
      <c r="AF1334" t="n">
        <v>0</v>
      </c>
      <c r="AG1334" t="n">
        <v>2</v>
      </c>
      <c r="AH1334" t="n">
        <v>0</v>
      </c>
      <c r="AI1334" t="n">
        <v>3</v>
      </c>
      <c r="AJ1334" t="n">
        <v>1</v>
      </c>
      <c r="AK1334" t="n">
        <v>3</v>
      </c>
      <c r="AL1334" t="n">
        <v>0</v>
      </c>
      <c r="AM1334" t="n">
        <v>0</v>
      </c>
      <c r="AN1334" t="n">
        <v>0</v>
      </c>
      <c r="AO1334" t="n">
        <v>0</v>
      </c>
      <c r="AP1334" t="inlineStr">
        <is>
          <t>No</t>
        </is>
      </c>
      <c r="AQ1334" t="inlineStr">
        <is>
          <t>No</t>
        </is>
      </c>
      <c r="AS1334">
        <f>HYPERLINK("https://creighton-primo.hosted.exlibrisgroup.com/primo-explore/search?tab=default_tab&amp;search_scope=EVERYTHING&amp;vid=01CRU&amp;lang=en_US&amp;offset=0&amp;query=any,contains,991000175509702656","Catalog Record")</f>
        <v/>
      </c>
      <c r="AT1334">
        <f>HYPERLINK("http://www.worldcat.org/oclc/9345489","WorldCat Record")</f>
        <v/>
      </c>
      <c r="AU1334" t="inlineStr">
        <is>
          <t>5025420:eng</t>
        </is>
      </c>
      <c r="AV1334" t="inlineStr">
        <is>
          <t>9345489</t>
        </is>
      </c>
      <c r="AW1334" t="inlineStr">
        <is>
          <t>991000175509702656</t>
        </is>
      </c>
      <c r="AX1334" t="inlineStr">
        <is>
          <t>991000175509702656</t>
        </is>
      </c>
      <c r="AY1334" t="inlineStr">
        <is>
          <t>2258509430002656</t>
        </is>
      </c>
      <c r="AZ1334" t="inlineStr">
        <is>
          <t>BOOK</t>
        </is>
      </c>
      <c r="BB1334" t="inlineStr">
        <is>
          <t>9780091511616</t>
        </is>
      </c>
      <c r="BC1334" t="inlineStr">
        <is>
          <t>32285001262889</t>
        </is>
      </c>
      <c r="BD1334" t="inlineStr">
        <is>
          <t>893351454</t>
        </is>
      </c>
    </row>
    <row r="1335">
      <c r="A1335" t="inlineStr">
        <is>
          <t>No</t>
        </is>
      </c>
      <c r="B1335" t="inlineStr">
        <is>
          <t>LB3013 .S84 1983</t>
        </is>
      </c>
      <c r="C1335" t="inlineStr">
        <is>
          <t>0                      LB 3013000S  84          1983</t>
        </is>
      </c>
      <c r="D1335" t="inlineStr">
        <is>
          <t>Structuring your classroom for academic success / Stan C. Paine ... [et al.].</t>
        </is>
      </c>
      <c r="F1335" t="inlineStr">
        <is>
          <t>No</t>
        </is>
      </c>
      <c r="G1335" t="inlineStr">
        <is>
          <t>1</t>
        </is>
      </c>
      <c r="H1335" t="inlineStr">
        <is>
          <t>No</t>
        </is>
      </c>
      <c r="I1335" t="inlineStr">
        <is>
          <t>No</t>
        </is>
      </c>
      <c r="J1335" t="inlineStr">
        <is>
          <t>0</t>
        </is>
      </c>
      <c r="L1335" t="inlineStr">
        <is>
          <t>Champaign, Ill. : Research Press Co., c1983.</t>
        </is>
      </c>
      <c r="M1335" t="inlineStr">
        <is>
          <t>1983</t>
        </is>
      </c>
      <c r="O1335" t="inlineStr">
        <is>
          <t>eng</t>
        </is>
      </c>
      <c r="P1335" t="inlineStr">
        <is>
          <t>ilu</t>
        </is>
      </c>
      <c r="R1335" t="inlineStr">
        <is>
          <t xml:space="preserve">LB </t>
        </is>
      </c>
      <c r="S1335" t="n">
        <v>7</v>
      </c>
      <c r="T1335" t="n">
        <v>7</v>
      </c>
      <c r="U1335" t="inlineStr">
        <is>
          <t>2004-02-12</t>
        </is>
      </c>
      <c r="V1335" t="inlineStr">
        <is>
          <t>2004-02-12</t>
        </is>
      </c>
      <c r="W1335" t="inlineStr">
        <is>
          <t>1992-04-27</t>
        </is>
      </c>
      <c r="X1335" t="inlineStr">
        <is>
          <t>1992-04-27</t>
        </is>
      </c>
      <c r="Y1335" t="n">
        <v>489</v>
      </c>
      <c r="Z1335" t="n">
        <v>431</v>
      </c>
      <c r="AA1335" t="n">
        <v>436</v>
      </c>
      <c r="AB1335" t="n">
        <v>5</v>
      </c>
      <c r="AC1335" t="n">
        <v>5</v>
      </c>
      <c r="AD1335" t="n">
        <v>13</v>
      </c>
      <c r="AE1335" t="n">
        <v>13</v>
      </c>
      <c r="AF1335" t="n">
        <v>6</v>
      </c>
      <c r="AG1335" t="n">
        <v>6</v>
      </c>
      <c r="AH1335" t="n">
        <v>0</v>
      </c>
      <c r="AI1335" t="n">
        <v>0</v>
      </c>
      <c r="AJ1335" t="n">
        <v>6</v>
      </c>
      <c r="AK1335" t="n">
        <v>6</v>
      </c>
      <c r="AL1335" t="n">
        <v>4</v>
      </c>
      <c r="AM1335" t="n">
        <v>4</v>
      </c>
      <c r="AN1335" t="n">
        <v>0</v>
      </c>
      <c r="AO1335" t="n">
        <v>0</v>
      </c>
      <c r="AP1335" t="inlineStr">
        <is>
          <t>No</t>
        </is>
      </c>
      <c r="AQ1335" t="inlineStr">
        <is>
          <t>No</t>
        </is>
      </c>
      <c r="AS1335">
        <f>HYPERLINK("https://creighton-primo.hosted.exlibrisgroup.com/primo-explore/search?tab=default_tab&amp;search_scope=EVERYTHING&amp;vid=01CRU&amp;lang=en_US&amp;offset=0&amp;query=any,contains,991000404329702656","Catalog Record")</f>
        <v/>
      </c>
      <c r="AT1335">
        <f>HYPERLINK("http://www.worldcat.org/oclc/10660440","WorldCat Record")</f>
        <v/>
      </c>
      <c r="AU1335" t="inlineStr">
        <is>
          <t>2948717:eng</t>
        </is>
      </c>
      <c r="AV1335" t="inlineStr">
        <is>
          <t>10660440</t>
        </is>
      </c>
      <c r="AW1335" t="inlineStr">
        <is>
          <t>991000404329702656</t>
        </is>
      </c>
      <c r="AX1335" t="inlineStr">
        <is>
          <t>991000404329702656</t>
        </is>
      </c>
      <c r="AY1335" t="inlineStr">
        <is>
          <t>2272516100002656</t>
        </is>
      </c>
      <c r="AZ1335" t="inlineStr">
        <is>
          <t>BOOK</t>
        </is>
      </c>
      <c r="BB1335" t="inlineStr">
        <is>
          <t>9780878222285</t>
        </is>
      </c>
      <c r="BC1335" t="inlineStr">
        <is>
          <t>32285001089027</t>
        </is>
      </c>
      <c r="BD1335" t="inlineStr">
        <is>
          <t>893345618</t>
        </is>
      </c>
    </row>
    <row r="1336">
      <c r="A1336" t="inlineStr">
        <is>
          <t>No</t>
        </is>
      </c>
      <c r="B1336" t="inlineStr">
        <is>
          <t>LB3013 .Z78 2009</t>
        </is>
      </c>
      <c r="C1336" t="inlineStr">
        <is>
          <t>0                      LB 3013000Z  78          2009</t>
        </is>
      </c>
      <c r="D1336" t="inlineStr">
        <is>
          <t>From lesson plans to power struggles, grades 6-12 : classroom management strategies for new teachers / June Trop Zuckerman.</t>
        </is>
      </c>
      <c r="F1336" t="inlineStr">
        <is>
          <t>No</t>
        </is>
      </c>
      <c r="G1336" t="inlineStr">
        <is>
          <t>1</t>
        </is>
      </c>
      <c r="H1336" t="inlineStr">
        <is>
          <t>No</t>
        </is>
      </c>
      <c r="I1336" t="inlineStr">
        <is>
          <t>No</t>
        </is>
      </c>
      <c r="J1336" t="inlineStr">
        <is>
          <t>0</t>
        </is>
      </c>
      <c r="K1336" t="inlineStr">
        <is>
          <t>Zuckerman, June Trop.</t>
        </is>
      </c>
      <c r="L1336" t="inlineStr">
        <is>
          <t>Thousand Oaks, Calif. : Corwin, c2009.</t>
        </is>
      </c>
      <c r="M1336" t="inlineStr">
        <is>
          <t>2009</t>
        </is>
      </c>
      <c r="O1336" t="inlineStr">
        <is>
          <t>eng</t>
        </is>
      </c>
      <c r="P1336" t="inlineStr">
        <is>
          <t>cau</t>
        </is>
      </c>
      <c r="R1336" t="inlineStr">
        <is>
          <t xml:space="preserve">LB </t>
        </is>
      </c>
      <c r="S1336" t="n">
        <v>1</v>
      </c>
      <c r="T1336" t="n">
        <v>1</v>
      </c>
      <c r="U1336" t="inlineStr">
        <is>
          <t>2009-11-04</t>
        </is>
      </c>
      <c r="V1336" t="inlineStr">
        <is>
          <t>2009-11-04</t>
        </is>
      </c>
      <c r="W1336" t="inlineStr">
        <is>
          <t>2009-11-04</t>
        </is>
      </c>
      <c r="X1336" t="inlineStr">
        <is>
          <t>2009-11-04</t>
        </is>
      </c>
      <c r="Y1336" t="n">
        <v>171</v>
      </c>
      <c r="Z1336" t="n">
        <v>137</v>
      </c>
      <c r="AA1336" t="n">
        <v>199</v>
      </c>
      <c r="AB1336" t="n">
        <v>2</v>
      </c>
      <c r="AC1336" t="n">
        <v>4</v>
      </c>
      <c r="AD1336" t="n">
        <v>7</v>
      </c>
      <c r="AE1336" t="n">
        <v>13</v>
      </c>
      <c r="AF1336" t="n">
        <v>4</v>
      </c>
      <c r="AG1336" t="n">
        <v>6</v>
      </c>
      <c r="AH1336" t="n">
        <v>2</v>
      </c>
      <c r="AI1336" t="n">
        <v>4</v>
      </c>
      <c r="AJ1336" t="n">
        <v>4</v>
      </c>
      <c r="AK1336" t="n">
        <v>6</v>
      </c>
      <c r="AL1336" t="n">
        <v>1</v>
      </c>
      <c r="AM1336" t="n">
        <v>3</v>
      </c>
      <c r="AN1336" t="n">
        <v>0</v>
      </c>
      <c r="AO1336" t="n">
        <v>0</v>
      </c>
      <c r="AP1336" t="inlineStr">
        <is>
          <t>No</t>
        </is>
      </c>
      <c r="AQ1336" t="inlineStr">
        <is>
          <t>No</t>
        </is>
      </c>
      <c r="AS1336">
        <f>HYPERLINK("https://creighton-primo.hosted.exlibrisgroup.com/primo-explore/search?tab=default_tab&amp;search_scope=EVERYTHING&amp;vid=01CRU&amp;lang=en_US&amp;offset=0&amp;query=any,contains,991005340329702656","Catalog Record")</f>
        <v/>
      </c>
      <c r="AT1336">
        <f>HYPERLINK("http://www.worldcat.org/oclc/228362892","WorldCat Record")</f>
        <v/>
      </c>
      <c r="AU1336" t="inlineStr">
        <is>
          <t>137814921:eng</t>
        </is>
      </c>
      <c r="AV1336" t="inlineStr">
        <is>
          <t>228362892</t>
        </is>
      </c>
      <c r="AW1336" t="inlineStr">
        <is>
          <t>991005340329702656</t>
        </is>
      </c>
      <c r="AX1336" t="inlineStr">
        <is>
          <t>991005340329702656</t>
        </is>
      </c>
      <c r="AY1336" t="inlineStr">
        <is>
          <t>2256935740002656</t>
        </is>
      </c>
      <c r="AZ1336" t="inlineStr">
        <is>
          <t>BOOK</t>
        </is>
      </c>
      <c r="BB1336" t="inlineStr">
        <is>
          <t>9781412968775</t>
        </is>
      </c>
      <c r="BC1336" t="inlineStr">
        <is>
          <t>32285005549893</t>
        </is>
      </c>
      <c r="BD1336" t="inlineStr">
        <is>
          <t>893254838</t>
        </is>
      </c>
    </row>
    <row r="1337">
      <c r="A1337" t="inlineStr">
        <is>
          <t>No</t>
        </is>
      </c>
      <c r="B1337" t="inlineStr">
        <is>
          <t>LB3013.25 .S94 1987</t>
        </is>
      </c>
      <c r="C1337" t="inlineStr">
        <is>
          <t>0                      LB 3013250S  94          1987</t>
        </is>
      </c>
      <c r="D1337" t="inlineStr">
        <is>
          <t>Student stress : a classroom management system / Kevin J. Swick.</t>
        </is>
      </c>
      <c r="F1337" t="inlineStr">
        <is>
          <t>No</t>
        </is>
      </c>
      <c r="G1337" t="inlineStr">
        <is>
          <t>1</t>
        </is>
      </c>
      <c r="H1337" t="inlineStr">
        <is>
          <t>No</t>
        </is>
      </c>
      <c r="I1337" t="inlineStr">
        <is>
          <t>No</t>
        </is>
      </c>
      <c r="J1337" t="inlineStr">
        <is>
          <t>0</t>
        </is>
      </c>
      <c r="K1337" t="inlineStr">
        <is>
          <t>Swick, Kevin J.</t>
        </is>
      </c>
      <c r="L1337" t="inlineStr">
        <is>
          <t>Washington, D.C. : NEA Professional Library, National Education Association, c1987.</t>
        </is>
      </c>
      <c r="M1337" t="inlineStr">
        <is>
          <t>1987</t>
        </is>
      </c>
      <c r="O1337" t="inlineStr">
        <is>
          <t>eng</t>
        </is>
      </c>
      <c r="P1337" t="inlineStr">
        <is>
          <t>dcu</t>
        </is>
      </c>
      <c r="Q1337" t="inlineStr">
        <is>
          <t>Analysis and action series</t>
        </is>
      </c>
      <c r="R1337" t="inlineStr">
        <is>
          <t xml:space="preserve">LB </t>
        </is>
      </c>
      <c r="S1337" t="n">
        <v>11</v>
      </c>
      <c r="T1337" t="n">
        <v>11</v>
      </c>
      <c r="U1337" t="inlineStr">
        <is>
          <t>2007-04-16</t>
        </is>
      </c>
      <c r="V1337" t="inlineStr">
        <is>
          <t>2007-04-16</t>
        </is>
      </c>
      <c r="W1337" t="inlineStr">
        <is>
          <t>1992-08-18</t>
        </is>
      </c>
      <c r="X1337" t="inlineStr">
        <is>
          <t>1992-08-18</t>
        </is>
      </c>
      <c r="Y1337" t="n">
        <v>422</v>
      </c>
      <c r="Z1337" t="n">
        <v>410</v>
      </c>
      <c r="AA1337" t="n">
        <v>415</v>
      </c>
      <c r="AB1337" t="n">
        <v>4</v>
      </c>
      <c r="AC1337" t="n">
        <v>4</v>
      </c>
      <c r="AD1337" t="n">
        <v>13</v>
      </c>
      <c r="AE1337" t="n">
        <v>13</v>
      </c>
      <c r="AF1337" t="n">
        <v>5</v>
      </c>
      <c r="AG1337" t="n">
        <v>5</v>
      </c>
      <c r="AH1337" t="n">
        <v>2</v>
      </c>
      <c r="AI1337" t="n">
        <v>2</v>
      </c>
      <c r="AJ1337" t="n">
        <v>8</v>
      </c>
      <c r="AK1337" t="n">
        <v>8</v>
      </c>
      <c r="AL1337" t="n">
        <v>3</v>
      </c>
      <c r="AM1337" t="n">
        <v>3</v>
      </c>
      <c r="AN1337" t="n">
        <v>0</v>
      </c>
      <c r="AO1337" t="n">
        <v>0</v>
      </c>
      <c r="AP1337" t="inlineStr">
        <is>
          <t>No</t>
        </is>
      </c>
      <c r="AQ1337" t="inlineStr">
        <is>
          <t>Yes</t>
        </is>
      </c>
      <c r="AR1337">
        <f>HYPERLINK("http://catalog.hathitrust.org/Record/000875505","HathiTrust Record")</f>
        <v/>
      </c>
      <c r="AS1337">
        <f>HYPERLINK("https://creighton-primo.hosted.exlibrisgroup.com/primo-explore/search?tab=default_tab&amp;search_scope=EVERYTHING&amp;vid=01CRU&amp;lang=en_US&amp;offset=0&amp;query=any,contains,991001082559702656","Catalog Record")</f>
        <v/>
      </c>
      <c r="AT1337">
        <f>HYPERLINK("http://www.worldcat.org/oclc/16090688","WorldCat Record")</f>
        <v/>
      </c>
      <c r="AU1337" t="inlineStr">
        <is>
          <t>308930553:eng</t>
        </is>
      </c>
      <c r="AV1337" t="inlineStr">
        <is>
          <t>16090688</t>
        </is>
      </c>
      <c r="AW1337" t="inlineStr">
        <is>
          <t>991001082559702656</t>
        </is>
      </c>
      <c r="AX1337" t="inlineStr">
        <is>
          <t>991001082559702656</t>
        </is>
      </c>
      <c r="AY1337" t="inlineStr">
        <is>
          <t>2262463820002656</t>
        </is>
      </c>
      <c r="AZ1337" t="inlineStr">
        <is>
          <t>BOOK</t>
        </is>
      </c>
      <c r="BB1337" t="inlineStr">
        <is>
          <t>9780810616967</t>
        </is>
      </c>
      <c r="BC1337" t="inlineStr">
        <is>
          <t>32285001263028</t>
        </is>
      </c>
      <c r="BD1337" t="inlineStr">
        <is>
          <t>893891284</t>
        </is>
      </c>
    </row>
    <row r="1338">
      <c r="A1338" t="inlineStr">
        <is>
          <t>No</t>
        </is>
      </c>
      <c r="B1338" t="inlineStr">
        <is>
          <t>LB3013.3 .D55 1998</t>
        </is>
      </c>
      <c r="C1338" t="inlineStr">
        <is>
          <t>0                      LB 3013300D  55          1998</t>
        </is>
      </c>
      <c r="D1338" t="inlineStr">
        <is>
          <t>A peaceable school / Vicky Schreiber Dill.</t>
        </is>
      </c>
      <c r="F1338" t="inlineStr">
        <is>
          <t>No</t>
        </is>
      </c>
      <c r="G1338" t="inlineStr">
        <is>
          <t>1</t>
        </is>
      </c>
      <c r="H1338" t="inlineStr">
        <is>
          <t>No</t>
        </is>
      </c>
      <c r="I1338" t="inlineStr">
        <is>
          <t>No</t>
        </is>
      </c>
      <c r="J1338" t="inlineStr">
        <is>
          <t>0</t>
        </is>
      </c>
      <c r="K1338" t="inlineStr">
        <is>
          <t>Dill, Vicky Schreiber.</t>
        </is>
      </c>
      <c r="L1338" t="inlineStr">
        <is>
          <t>Bloomington, Ind. : Phi Delta Kappa Educational Foundation, c1998.</t>
        </is>
      </c>
      <c r="M1338" t="inlineStr">
        <is>
          <t>1998</t>
        </is>
      </c>
      <c r="O1338" t="inlineStr">
        <is>
          <t>eng</t>
        </is>
      </c>
      <c r="P1338" t="inlineStr">
        <is>
          <t>inu</t>
        </is>
      </c>
      <c r="R1338" t="inlineStr">
        <is>
          <t xml:space="preserve">LB </t>
        </is>
      </c>
      <c r="S1338" t="n">
        <v>4</v>
      </c>
      <c r="T1338" t="n">
        <v>4</v>
      </c>
      <c r="U1338" t="inlineStr">
        <is>
          <t>2005-10-14</t>
        </is>
      </c>
      <c r="V1338" t="inlineStr">
        <is>
          <t>2005-10-14</t>
        </is>
      </c>
      <c r="W1338" t="inlineStr">
        <is>
          <t>1999-12-15</t>
        </is>
      </c>
      <c r="X1338" t="inlineStr">
        <is>
          <t>1999-12-15</t>
        </is>
      </c>
      <c r="Y1338" t="n">
        <v>560</v>
      </c>
      <c r="Z1338" t="n">
        <v>534</v>
      </c>
      <c r="AA1338" t="n">
        <v>537</v>
      </c>
      <c r="AB1338" t="n">
        <v>3</v>
      </c>
      <c r="AC1338" t="n">
        <v>3</v>
      </c>
      <c r="AD1338" t="n">
        <v>22</v>
      </c>
      <c r="AE1338" t="n">
        <v>22</v>
      </c>
      <c r="AF1338" t="n">
        <v>11</v>
      </c>
      <c r="AG1338" t="n">
        <v>11</v>
      </c>
      <c r="AH1338" t="n">
        <v>6</v>
      </c>
      <c r="AI1338" t="n">
        <v>6</v>
      </c>
      <c r="AJ1338" t="n">
        <v>11</v>
      </c>
      <c r="AK1338" t="n">
        <v>11</v>
      </c>
      <c r="AL1338" t="n">
        <v>2</v>
      </c>
      <c r="AM1338" t="n">
        <v>2</v>
      </c>
      <c r="AN1338" t="n">
        <v>0</v>
      </c>
      <c r="AO1338" t="n">
        <v>0</v>
      </c>
      <c r="AP1338" t="inlineStr">
        <is>
          <t>No</t>
        </is>
      </c>
      <c r="AQ1338" t="inlineStr">
        <is>
          <t>Yes</t>
        </is>
      </c>
      <c r="AR1338">
        <f>HYPERLINK("http://catalog.hathitrust.org/Record/003478418","HathiTrust Record")</f>
        <v/>
      </c>
      <c r="AS1338">
        <f>HYPERLINK("https://creighton-primo.hosted.exlibrisgroup.com/primo-explore/search?tab=default_tab&amp;search_scope=EVERYTHING&amp;vid=01CRU&amp;lang=en_US&amp;offset=0&amp;query=any,contains,991003032949702656","Catalog Record")</f>
        <v/>
      </c>
      <c r="AT1338">
        <f>HYPERLINK("http://www.worldcat.org/oclc/41578051","WorldCat Record")</f>
        <v/>
      </c>
      <c r="AU1338" t="inlineStr">
        <is>
          <t>27247119:eng</t>
        </is>
      </c>
      <c r="AV1338" t="inlineStr">
        <is>
          <t>41578051</t>
        </is>
      </c>
      <c r="AW1338" t="inlineStr">
        <is>
          <t>991003032949702656</t>
        </is>
      </c>
      <c r="AX1338" t="inlineStr">
        <is>
          <t>991003032949702656</t>
        </is>
      </c>
      <c r="AY1338" t="inlineStr">
        <is>
          <t>2255393260002656</t>
        </is>
      </c>
      <c r="AZ1338" t="inlineStr">
        <is>
          <t>BOOK</t>
        </is>
      </c>
      <c r="BB1338" t="inlineStr">
        <is>
          <t>9780873678100</t>
        </is>
      </c>
      <c r="BC1338" t="inlineStr">
        <is>
          <t>32285003633350</t>
        </is>
      </c>
      <c r="BD1338" t="inlineStr">
        <is>
          <t>893336062</t>
        </is>
      </c>
    </row>
    <row r="1339">
      <c r="A1339" t="inlineStr">
        <is>
          <t>No</t>
        </is>
      </c>
      <c r="B1339" t="inlineStr">
        <is>
          <t>LB3013.3 .L36 1996</t>
        </is>
      </c>
      <c r="C1339" t="inlineStr">
        <is>
          <t>0                      LB 3013300L  36          1996</t>
        </is>
      </c>
      <c r="D1339" t="inlineStr">
        <is>
          <t>Waging peace in our schools / Linda Lantieri and Janet Patti ; with a foreword by Marian Wright Edelman.</t>
        </is>
      </c>
      <c r="F1339" t="inlineStr">
        <is>
          <t>No</t>
        </is>
      </c>
      <c r="G1339" t="inlineStr">
        <is>
          <t>1</t>
        </is>
      </c>
      <c r="H1339" t="inlineStr">
        <is>
          <t>No</t>
        </is>
      </c>
      <c r="I1339" t="inlineStr">
        <is>
          <t>No</t>
        </is>
      </c>
      <c r="J1339" t="inlineStr">
        <is>
          <t>0</t>
        </is>
      </c>
      <c r="K1339" t="inlineStr">
        <is>
          <t>Lantieri, Linda.</t>
        </is>
      </c>
      <c r="L1339" t="inlineStr">
        <is>
          <t>Boston : Beacon Press, c1996.</t>
        </is>
      </c>
      <c r="M1339" t="inlineStr">
        <is>
          <t>1996</t>
        </is>
      </c>
      <c r="O1339" t="inlineStr">
        <is>
          <t>eng</t>
        </is>
      </c>
      <c r="P1339" t="inlineStr">
        <is>
          <t>mau</t>
        </is>
      </c>
      <c r="R1339" t="inlineStr">
        <is>
          <t xml:space="preserve">LB </t>
        </is>
      </c>
      <c r="S1339" t="n">
        <v>4</v>
      </c>
      <c r="T1339" t="n">
        <v>4</v>
      </c>
      <c r="U1339" t="inlineStr">
        <is>
          <t>2003-07-09</t>
        </is>
      </c>
      <c r="V1339" t="inlineStr">
        <is>
          <t>2003-07-09</t>
        </is>
      </c>
      <c r="W1339" t="inlineStr">
        <is>
          <t>1997-06-05</t>
        </is>
      </c>
      <c r="X1339" t="inlineStr">
        <is>
          <t>1997-06-05</t>
        </is>
      </c>
      <c r="Y1339" t="n">
        <v>797</v>
      </c>
      <c r="Z1339" t="n">
        <v>743</v>
      </c>
      <c r="AA1339" t="n">
        <v>849</v>
      </c>
      <c r="AB1339" t="n">
        <v>5</v>
      </c>
      <c r="AC1339" t="n">
        <v>5</v>
      </c>
      <c r="AD1339" t="n">
        <v>30</v>
      </c>
      <c r="AE1339" t="n">
        <v>37</v>
      </c>
      <c r="AF1339" t="n">
        <v>14</v>
      </c>
      <c r="AG1339" t="n">
        <v>18</v>
      </c>
      <c r="AH1339" t="n">
        <v>7</v>
      </c>
      <c r="AI1339" t="n">
        <v>9</v>
      </c>
      <c r="AJ1339" t="n">
        <v>15</v>
      </c>
      <c r="AK1339" t="n">
        <v>18</v>
      </c>
      <c r="AL1339" t="n">
        <v>3</v>
      </c>
      <c r="AM1339" t="n">
        <v>3</v>
      </c>
      <c r="AN1339" t="n">
        <v>0</v>
      </c>
      <c r="AO1339" t="n">
        <v>0</v>
      </c>
      <c r="AP1339" t="inlineStr">
        <is>
          <t>No</t>
        </is>
      </c>
      <c r="AQ1339" t="inlineStr">
        <is>
          <t>Yes</t>
        </is>
      </c>
      <c r="AR1339">
        <f>HYPERLINK("http://catalog.hathitrust.org/Record/003106098","HathiTrust Record")</f>
        <v/>
      </c>
      <c r="AS1339">
        <f>HYPERLINK("https://creighton-primo.hosted.exlibrisgroup.com/primo-explore/search?tab=default_tab&amp;search_scope=EVERYTHING&amp;vid=01CRU&amp;lang=en_US&amp;offset=0&amp;query=any,contains,991002630949702656","Catalog Record")</f>
        <v/>
      </c>
      <c r="AT1339">
        <f>HYPERLINK("http://www.worldcat.org/oclc/34477147","WorldCat Record")</f>
        <v/>
      </c>
      <c r="AU1339" t="inlineStr">
        <is>
          <t>1004767:eng</t>
        </is>
      </c>
      <c r="AV1339" t="inlineStr">
        <is>
          <t>34477147</t>
        </is>
      </c>
      <c r="AW1339" t="inlineStr">
        <is>
          <t>991002630949702656</t>
        </is>
      </c>
      <c r="AX1339" t="inlineStr">
        <is>
          <t>991002630949702656</t>
        </is>
      </c>
      <c r="AY1339" t="inlineStr">
        <is>
          <t>2264269020002656</t>
        </is>
      </c>
      <c r="AZ1339" t="inlineStr">
        <is>
          <t>BOOK</t>
        </is>
      </c>
      <c r="BB1339" t="inlineStr">
        <is>
          <t>9780807031162</t>
        </is>
      </c>
      <c r="BC1339" t="inlineStr">
        <is>
          <t>32285002614740</t>
        </is>
      </c>
      <c r="BD1339" t="inlineStr">
        <is>
          <t>893892791</t>
        </is>
      </c>
    </row>
    <row r="1340">
      <c r="A1340" t="inlineStr">
        <is>
          <t>No</t>
        </is>
      </c>
      <c r="B1340" t="inlineStr">
        <is>
          <t>LB3013.3 .M2456 2009</t>
        </is>
      </c>
      <c r="C1340" t="inlineStr">
        <is>
          <t>0                      LB 3013300M  2456        2009</t>
        </is>
      </c>
      <c r="D1340" t="inlineStr">
        <is>
          <t>Getting beyond bullying and exclusion, preK-5 : empowering children in inclusive classrooms / Ronald Mah.</t>
        </is>
      </c>
      <c r="F1340" t="inlineStr">
        <is>
          <t>No</t>
        </is>
      </c>
      <c r="G1340" t="inlineStr">
        <is>
          <t>1</t>
        </is>
      </c>
      <c r="H1340" t="inlineStr">
        <is>
          <t>No</t>
        </is>
      </c>
      <c r="I1340" t="inlineStr">
        <is>
          <t>No</t>
        </is>
      </c>
      <c r="J1340" t="inlineStr">
        <is>
          <t>0</t>
        </is>
      </c>
      <c r="K1340" t="inlineStr">
        <is>
          <t>Mah, Ronald.</t>
        </is>
      </c>
      <c r="L1340" t="inlineStr">
        <is>
          <t>Thousand Oaks, Calif. : Corwin, c2009.</t>
        </is>
      </c>
      <c r="M1340" t="inlineStr">
        <is>
          <t>2009</t>
        </is>
      </c>
      <c r="O1340" t="inlineStr">
        <is>
          <t>eng</t>
        </is>
      </c>
      <c r="P1340" t="inlineStr">
        <is>
          <t>cau</t>
        </is>
      </c>
      <c r="R1340" t="inlineStr">
        <is>
          <t xml:space="preserve">LB </t>
        </is>
      </c>
      <c r="S1340" t="n">
        <v>1</v>
      </c>
      <c r="T1340" t="n">
        <v>1</v>
      </c>
      <c r="U1340" t="inlineStr">
        <is>
          <t>2010-01-14</t>
        </is>
      </c>
      <c r="V1340" t="inlineStr">
        <is>
          <t>2010-01-14</t>
        </is>
      </c>
      <c r="W1340" t="inlineStr">
        <is>
          <t>2010-01-14</t>
        </is>
      </c>
      <c r="X1340" t="inlineStr">
        <is>
          <t>2010-01-14</t>
        </is>
      </c>
      <c r="Y1340" t="n">
        <v>243</v>
      </c>
      <c r="Z1340" t="n">
        <v>195</v>
      </c>
      <c r="AA1340" t="n">
        <v>381</v>
      </c>
      <c r="AB1340" t="n">
        <v>2</v>
      </c>
      <c r="AC1340" t="n">
        <v>6</v>
      </c>
      <c r="AD1340" t="n">
        <v>8</v>
      </c>
      <c r="AE1340" t="n">
        <v>15</v>
      </c>
      <c r="AF1340" t="n">
        <v>4</v>
      </c>
      <c r="AG1340" t="n">
        <v>6</v>
      </c>
      <c r="AH1340" t="n">
        <v>1</v>
      </c>
      <c r="AI1340" t="n">
        <v>3</v>
      </c>
      <c r="AJ1340" t="n">
        <v>5</v>
      </c>
      <c r="AK1340" t="n">
        <v>8</v>
      </c>
      <c r="AL1340" t="n">
        <v>1</v>
      </c>
      <c r="AM1340" t="n">
        <v>3</v>
      </c>
      <c r="AN1340" t="n">
        <v>0</v>
      </c>
      <c r="AO1340" t="n">
        <v>0</v>
      </c>
      <c r="AP1340" t="inlineStr">
        <is>
          <t>No</t>
        </is>
      </c>
      <c r="AQ1340" t="inlineStr">
        <is>
          <t>No</t>
        </is>
      </c>
      <c r="AS1340">
        <f>HYPERLINK("https://creighton-primo.hosted.exlibrisgroup.com/primo-explore/search?tab=default_tab&amp;search_scope=EVERYTHING&amp;vid=01CRU&amp;lang=en_US&amp;offset=0&amp;query=any,contains,991005351299702656","Catalog Record")</f>
        <v/>
      </c>
      <c r="AT1340">
        <f>HYPERLINK("http://www.worldcat.org/oclc/317927698","WorldCat Record")</f>
        <v/>
      </c>
      <c r="AU1340" t="inlineStr">
        <is>
          <t>966749480:eng</t>
        </is>
      </c>
      <c r="AV1340" t="inlineStr">
        <is>
          <t>317927698</t>
        </is>
      </c>
      <c r="AW1340" t="inlineStr">
        <is>
          <t>991005351299702656</t>
        </is>
      </c>
      <c r="AX1340" t="inlineStr">
        <is>
          <t>991005351299702656</t>
        </is>
      </c>
      <c r="AY1340" t="inlineStr">
        <is>
          <t>2263029540002656</t>
        </is>
      </c>
      <c r="AZ1340" t="inlineStr">
        <is>
          <t>BOOK</t>
        </is>
      </c>
      <c r="BB1340" t="inlineStr">
        <is>
          <t>9781412957229</t>
        </is>
      </c>
      <c r="BC1340" t="inlineStr">
        <is>
          <t>32285005557425</t>
        </is>
      </c>
      <c r="BD1340" t="inlineStr">
        <is>
          <t>893353862</t>
        </is>
      </c>
    </row>
    <row r="1341">
      <c r="A1341" t="inlineStr">
        <is>
          <t>No</t>
        </is>
      </c>
      <c r="B1341" t="inlineStr">
        <is>
          <t>LB3013.3 .O85 2001</t>
        </is>
      </c>
      <c r="C1341" t="inlineStr">
        <is>
          <t>0                      LB 3013300O  85          2001</t>
        </is>
      </c>
      <c r="D1341" t="inlineStr">
        <is>
          <t>Settle conflicts right now! : a step-by-step guide for K-6 classrooms / Jan L. Osier, Harold P. Fox.</t>
        </is>
      </c>
      <c r="F1341" t="inlineStr">
        <is>
          <t>No</t>
        </is>
      </c>
      <c r="G1341" t="inlineStr">
        <is>
          <t>1</t>
        </is>
      </c>
      <c r="H1341" t="inlineStr">
        <is>
          <t>No</t>
        </is>
      </c>
      <c r="I1341" t="inlineStr">
        <is>
          <t>No</t>
        </is>
      </c>
      <c r="J1341" t="inlineStr">
        <is>
          <t>0</t>
        </is>
      </c>
      <c r="K1341" t="inlineStr">
        <is>
          <t>Osier, Jan L.</t>
        </is>
      </c>
      <c r="L1341" t="inlineStr">
        <is>
          <t>Thousand Oaks, Calif. : Corwin Press, c2001.</t>
        </is>
      </c>
      <c r="M1341" t="inlineStr">
        <is>
          <t>2001</t>
        </is>
      </c>
      <c r="O1341" t="inlineStr">
        <is>
          <t>eng</t>
        </is>
      </c>
      <c r="P1341" t="inlineStr">
        <is>
          <t>cau</t>
        </is>
      </c>
      <c r="R1341" t="inlineStr">
        <is>
          <t xml:space="preserve">LB </t>
        </is>
      </c>
      <c r="S1341" t="n">
        <v>1</v>
      </c>
      <c r="T1341" t="n">
        <v>1</v>
      </c>
      <c r="U1341" t="inlineStr">
        <is>
          <t>2001-07-10</t>
        </is>
      </c>
      <c r="V1341" t="inlineStr">
        <is>
          <t>2001-07-10</t>
        </is>
      </c>
      <c r="W1341" t="inlineStr">
        <is>
          <t>2001-07-10</t>
        </is>
      </c>
      <c r="X1341" t="inlineStr">
        <is>
          <t>2001-07-10</t>
        </is>
      </c>
      <c r="Y1341" t="n">
        <v>234</v>
      </c>
      <c r="Z1341" t="n">
        <v>199</v>
      </c>
      <c r="AA1341" t="n">
        <v>202</v>
      </c>
      <c r="AB1341" t="n">
        <v>2</v>
      </c>
      <c r="AC1341" t="n">
        <v>2</v>
      </c>
      <c r="AD1341" t="n">
        <v>9</v>
      </c>
      <c r="AE1341" t="n">
        <v>9</v>
      </c>
      <c r="AF1341" t="n">
        <v>1</v>
      </c>
      <c r="AG1341" t="n">
        <v>1</v>
      </c>
      <c r="AH1341" t="n">
        <v>2</v>
      </c>
      <c r="AI1341" t="n">
        <v>2</v>
      </c>
      <c r="AJ1341" t="n">
        <v>7</v>
      </c>
      <c r="AK1341" t="n">
        <v>7</v>
      </c>
      <c r="AL1341" t="n">
        <v>1</v>
      </c>
      <c r="AM1341" t="n">
        <v>1</v>
      </c>
      <c r="AN1341" t="n">
        <v>0</v>
      </c>
      <c r="AO1341" t="n">
        <v>0</v>
      </c>
      <c r="AP1341" t="inlineStr">
        <is>
          <t>No</t>
        </is>
      </c>
      <c r="AQ1341" t="inlineStr">
        <is>
          <t>No</t>
        </is>
      </c>
      <c r="AS1341">
        <f>HYPERLINK("https://creighton-primo.hosted.exlibrisgroup.com/primo-explore/search?tab=default_tab&amp;search_scope=EVERYTHING&amp;vid=01CRU&amp;lang=en_US&amp;offset=0&amp;query=any,contains,991003563009702656","Catalog Record")</f>
        <v/>
      </c>
      <c r="AT1341">
        <f>HYPERLINK("http://www.worldcat.org/oclc/44952130","WorldCat Record")</f>
        <v/>
      </c>
      <c r="AU1341" t="inlineStr">
        <is>
          <t>158207593:eng</t>
        </is>
      </c>
      <c r="AV1341" t="inlineStr">
        <is>
          <t>44952130</t>
        </is>
      </c>
      <c r="AW1341" t="inlineStr">
        <is>
          <t>991003563009702656</t>
        </is>
      </c>
      <c r="AX1341" t="inlineStr">
        <is>
          <t>991003563009702656</t>
        </is>
      </c>
      <c r="AY1341" t="inlineStr">
        <is>
          <t>2256847400002656</t>
        </is>
      </c>
      <c r="AZ1341" t="inlineStr">
        <is>
          <t>BOOK</t>
        </is>
      </c>
      <c r="BB1341" t="inlineStr">
        <is>
          <t>9780761977605</t>
        </is>
      </c>
      <c r="BC1341" t="inlineStr">
        <is>
          <t>32285004331319</t>
        </is>
      </c>
      <c r="BD1341" t="inlineStr">
        <is>
          <t>893604912</t>
        </is>
      </c>
    </row>
    <row r="1342">
      <c r="A1342" t="inlineStr">
        <is>
          <t>No</t>
        </is>
      </c>
      <c r="B1342" t="inlineStr">
        <is>
          <t>LB3013.32 .B43 2009</t>
        </is>
      </c>
      <c r="C1342" t="inlineStr">
        <is>
          <t>0                      LB 3013320B  43          2009</t>
        </is>
      </c>
      <c r="D1342" t="inlineStr">
        <is>
          <t>Responding to the culture of bullying &amp; disrespect : new perspectives on collaboration, compassion, and responsibility / Marie-Nathalie Beaudoin, Maureen Taylor.</t>
        </is>
      </c>
      <c r="F1342" t="inlineStr">
        <is>
          <t>No</t>
        </is>
      </c>
      <c r="G1342" t="inlineStr">
        <is>
          <t>1</t>
        </is>
      </c>
      <c r="H1342" t="inlineStr">
        <is>
          <t>No</t>
        </is>
      </c>
      <c r="I1342" t="inlineStr">
        <is>
          <t>No</t>
        </is>
      </c>
      <c r="J1342" t="inlineStr">
        <is>
          <t>0</t>
        </is>
      </c>
      <c r="K1342" t="inlineStr">
        <is>
          <t>Beaudoin, Marie-Nathalie.</t>
        </is>
      </c>
      <c r="L1342" t="inlineStr">
        <is>
          <t>Thousand Oaks, Calif. : Corwin, c2009.</t>
        </is>
      </c>
      <c r="M1342" t="inlineStr">
        <is>
          <t>2009</t>
        </is>
      </c>
      <c r="N1342" t="inlineStr">
        <is>
          <t>2nd ed.</t>
        </is>
      </c>
      <c r="O1342" t="inlineStr">
        <is>
          <t>eng</t>
        </is>
      </c>
      <c r="P1342" t="inlineStr">
        <is>
          <t>cau</t>
        </is>
      </c>
      <c r="R1342" t="inlineStr">
        <is>
          <t xml:space="preserve">LB </t>
        </is>
      </c>
      <c r="S1342" t="n">
        <v>1</v>
      </c>
      <c r="T1342" t="n">
        <v>1</v>
      </c>
      <c r="U1342" t="inlineStr">
        <is>
          <t>2009-04-30</t>
        </is>
      </c>
      <c r="V1342" t="inlineStr">
        <is>
          <t>2009-04-30</t>
        </is>
      </c>
      <c r="W1342" t="inlineStr">
        <is>
          <t>2009-04-30</t>
        </is>
      </c>
      <c r="X1342" t="inlineStr">
        <is>
          <t>2009-04-30</t>
        </is>
      </c>
      <c r="Y1342" t="n">
        <v>205</v>
      </c>
      <c r="Z1342" t="n">
        <v>165</v>
      </c>
      <c r="AA1342" t="n">
        <v>582</v>
      </c>
      <c r="AB1342" t="n">
        <v>2</v>
      </c>
      <c r="AC1342" t="n">
        <v>5</v>
      </c>
      <c r="AD1342" t="n">
        <v>9</v>
      </c>
      <c r="AE1342" t="n">
        <v>14</v>
      </c>
      <c r="AF1342" t="n">
        <v>6</v>
      </c>
      <c r="AG1342" t="n">
        <v>8</v>
      </c>
      <c r="AH1342" t="n">
        <v>1</v>
      </c>
      <c r="AI1342" t="n">
        <v>2</v>
      </c>
      <c r="AJ1342" t="n">
        <v>5</v>
      </c>
      <c r="AK1342" t="n">
        <v>6</v>
      </c>
      <c r="AL1342" t="n">
        <v>1</v>
      </c>
      <c r="AM1342" t="n">
        <v>4</v>
      </c>
      <c r="AN1342" t="n">
        <v>0</v>
      </c>
      <c r="AO1342" t="n">
        <v>0</v>
      </c>
      <c r="AP1342" t="inlineStr">
        <is>
          <t>No</t>
        </is>
      </c>
      <c r="AQ1342" t="inlineStr">
        <is>
          <t>No</t>
        </is>
      </c>
      <c r="AS1342">
        <f>HYPERLINK("https://creighton-primo.hosted.exlibrisgroup.com/primo-explore/search?tab=default_tab&amp;search_scope=EVERYTHING&amp;vid=01CRU&amp;lang=en_US&amp;offset=0&amp;query=any,contains,991005314169702656","Catalog Record")</f>
        <v/>
      </c>
      <c r="AT1342">
        <f>HYPERLINK("http://www.worldcat.org/oclc/251215358","WorldCat Record")</f>
        <v/>
      </c>
      <c r="AU1342" t="inlineStr">
        <is>
          <t>797268940:eng</t>
        </is>
      </c>
      <c r="AV1342" t="inlineStr">
        <is>
          <t>251215358</t>
        </is>
      </c>
      <c r="AW1342" t="inlineStr">
        <is>
          <t>991005314169702656</t>
        </is>
      </c>
      <c r="AX1342" t="inlineStr">
        <is>
          <t>991005314169702656</t>
        </is>
      </c>
      <c r="AY1342" t="inlineStr">
        <is>
          <t>2262816930002656</t>
        </is>
      </c>
      <c r="AZ1342" t="inlineStr">
        <is>
          <t>BOOK</t>
        </is>
      </c>
      <c r="BB1342" t="inlineStr">
        <is>
          <t>9781412968539</t>
        </is>
      </c>
      <c r="BC1342" t="inlineStr">
        <is>
          <t>32285005530471</t>
        </is>
      </c>
      <c r="BD1342" t="inlineStr">
        <is>
          <t>893890020</t>
        </is>
      </c>
    </row>
    <row r="1343">
      <c r="A1343" t="inlineStr">
        <is>
          <t>No</t>
        </is>
      </c>
      <c r="B1343" t="inlineStr">
        <is>
          <t>LB3013.32 .C373 2006</t>
        </is>
      </c>
      <c r="C1343" t="inlineStr">
        <is>
          <t>0                      LB 3013320C  373         2006</t>
        </is>
      </c>
      <c r="D1343" t="inlineStr">
        <is>
          <t>Selling us the fortress : the promotion of techno-security equipment for schools / Ronnie Casella.</t>
        </is>
      </c>
      <c r="F1343" t="inlineStr">
        <is>
          <t>No</t>
        </is>
      </c>
      <c r="G1343" t="inlineStr">
        <is>
          <t>1</t>
        </is>
      </c>
      <c r="H1343" t="inlineStr">
        <is>
          <t>No</t>
        </is>
      </c>
      <c r="I1343" t="inlineStr">
        <is>
          <t>No</t>
        </is>
      </c>
      <c r="J1343" t="inlineStr">
        <is>
          <t>0</t>
        </is>
      </c>
      <c r="K1343" t="inlineStr">
        <is>
          <t>Casella, Ronnie, 1963-</t>
        </is>
      </c>
      <c r="L1343" t="inlineStr">
        <is>
          <t>London : Routledge, 2006.</t>
        </is>
      </c>
      <c r="M1343" t="inlineStr">
        <is>
          <t>2006</t>
        </is>
      </c>
      <c r="O1343" t="inlineStr">
        <is>
          <t>eng</t>
        </is>
      </c>
      <c r="P1343" t="inlineStr">
        <is>
          <t>enk</t>
        </is>
      </c>
      <c r="R1343" t="inlineStr">
        <is>
          <t xml:space="preserve">LB </t>
        </is>
      </c>
      <c r="S1343" t="n">
        <v>1</v>
      </c>
      <c r="T1343" t="n">
        <v>1</v>
      </c>
      <c r="U1343" t="inlineStr">
        <is>
          <t>2006-03-16</t>
        </is>
      </c>
      <c r="V1343" t="inlineStr">
        <is>
          <t>2006-03-16</t>
        </is>
      </c>
      <c r="W1343" t="inlineStr">
        <is>
          <t>2006-03-16</t>
        </is>
      </c>
      <c r="X1343" t="inlineStr">
        <is>
          <t>2006-03-16</t>
        </is>
      </c>
      <c r="Y1343" t="n">
        <v>230</v>
      </c>
      <c r="Z1343" t="n">
        <v>197</v>
      </c>
      <c r="AA1343" t="n">
        <v>199</v>
      </c>
      <c r="AB1343" t="n">
        <v>2</v>
      </c>
      <c r="AC1343" t="n">
        <v>2</v>
      </c>
      <c r="AD1343" t="n">
        <v>11</v>
      </c>
      <c r="AE1343" t="n">
        <v>11</v>
      </c>
      <c r="AF1343" t="n">
        <v>3</v>
      </c>
      <c r="AG1343" t="n">
        <v>3</v>
      </c>
      <c r="AH1343" t="n">
        <v>3</v>
      </c>
      <c r="AI1343" t="n">
        <v>3</v>
      </c>
      <c r="AJ1343" t="n">
        <v>6</v>
      </c>
      <c r="AK1343" t="n">
        <v>6</v>
      </c>
      <c r="AL1343" t="n">
        <v>1</v>
      </c>
      <c r="AM1343" t="n">
        <v>1</v>
      </c>
      <c r="AN1343" t="n">
        <v>0</v>
      </c>
      <c r="AO1343" t="n">
        <v>0</v>
      </c>
      <c r="AP1343" t="inlineStr">
        <is>
          <t>No</t>
        </is>
      </c>
      <c r="AQ1343" t="inlineStr">
        <is>
          <t>Yes</t>
        </is>
      </c>
      <c r="AR1343">
        <f>HYPERLINK("http://catalog.hathitrust.org/Record/005136312","HathiTrust Record")</f>
        <v/>
      </c>
      <c r="AS1343">
        <f>HYPERLINK("https://creighton-primo.hosted.exlibrisgroup.com/primo-explore/search?tab=default_tab&amp;search_scope=EVERYTHING&amp;vid=01CRU&amp;lang=en_US&amp;offset=0&amp;query=any,contains,991004765209702656","Catalog Record")</f>
        <v/>
      </c>
      <c r="AT1343">
        <f>HYPERLINK("http://www.worldcat.org/oclc/62891353","WorldCat Record")</f>
        <v/>
      </c>
      <c r="AU1343" t="inlineStr">
        <is>
          <t>47141292:eng</t>
        </is>
      </c>
      <c r="AV1343" t="inlineStr">
        <is>
          <t>62891353</t>
        </is>
      </c>
      <c r="AW1343" t="inlineStr">
        <is>
          <t>991004765209702656</t>
        </is>
      </c>
      <c r="AX1343" t="inlineStr">
        <is>
          <t>991004765209702656</t>
        </is>
      </c>
      <c r="AY1343" t="inlineStr">
        <is>
          <t>2264656000002656</t>
        </is>
      </c>
      <c r="AZ1343" t="inlineStr">
        <is>
          <t>BOOK</t>
        </is>
      </c>
      <c r="BB1343" t="inlineStr">
        <is>
          <t>9780415952897</t>
        </is>
      </c>
      <c r="BC1343" t="inlineStr">
        <is>
          <t>32285005166482</t>
        </is>
      </c>
      <c r="BD1343" t="inlineStr">
        <is>
          <t>893776404</t>
        </is>
      </c>
    </row>
    <row r="1344">
      <c r="A1344" t="inlineStr">
        <is>
          <t>No</t>
        </is>
      </c>
      <c r="B1344" t="inlineStr">
        <is>
          <t>LB3013.32 .K53 2003</t>
        </is>
      </c>
      <c r="C1344" t="inlineStr">
        <is>
          <t>0                      LB 3013320K  53          2003</t>
        </is>
      </c>
      <c r="D1344" t="inlineStr">
        <is>
          <t>Kids working it out : strategies and stories for making peace in our schools / Tricia S. Jones, Randy Compton, editors.</t>
        </is>
      </c>
      <c r="F1344" t="inlineStr">
        <is>
          <t>No</t>
        </is>
      </c>
      <c r="G1344" t="inlineStr">
        <is>
          <t>1</t>
        </is>
      </c>
      <c r="H1344" t="inlineStr">
        <is>
          <t>No</t>
        </is>
      </c>
      <c r="I1344" t="inlineStr">
        <is>
          <t>No</t>
        </is>
      </c>
      <c r="J1344" t="inlineStr">
        <is>
          <t>0</t>
        </is>
      </c>
      <c r="L1344" t="inlineStr">
        <is>
          <t>San Francisco : Jossey-Bass, c2003.</t>
        </is>
      </c>
      <c r="M1344" t="inlineStr">
        <is>
          <t>2003</t>
        </is>
      </c>
      <c r="N1344" t="inlineStr">
        <is>
          <t>1st ed.</t>
        </is>
      </c>
      <c r="O1344" t="inlineStr">
        <is>
          <t>eng</t>
        </is>
      </c>
      <c r="P1344" t="inlineStr">
        <is>
          <t>cau</t>
        </is>
      </c>
      <c r="R1344" t="inlineStr">
        <is>
          <t xml:space="preserve">LB </t>
        </is>
      </c>
      <c r="S1344" t="n">
        <v>3</v>
      </c>
      <c r="T1344" t="n">
        <v>3</v>
      </c>
      <c r="U1344" t="inlineStr">
        <is>
          <t>2004-03-15</t>
        </is>
      </c>
      <c r="V1344" t="inlineStr">
        <is>
          <t>2004-03-15</t>
        </is>
      </c>
      <c r="W1344" t="inlineStr">
        <is>
          <t>2003-03-13</t>
        </is>
      </c>
      <c r="X1344" t="inlineStr">
        <is>
          <t>2003-03-13</t>
        </is>
      </c>
      <c r="Y1344" t="n">
        <v>663</v>
      </c>
      <c r="Z1344" t="n">
        <v>580</v>
      </c>
      <c r="AA1344" t="n">
        <v>585</v>
      </c>
      <c r="AB1344" t="n">
        <v>4</v>
      </c>
      <c r="AC1344" t="n">
        <v>4</v>
      </c>
      <c r="AD1344" t="n">
        <v>26</v>
      </c>
      <c r="AE1344" t="n">
        <v>26</v>
      </c>
      <c r="AF1344" t="n">
        <v>13</v>
      </c>
      <c r="AG1344" t="n">
        <v>13</v>
      </c>
      <c r="AH1344" t="n">
        <v>4</v>
      </c>
      <c r="AI1344" t="n">
        <v>4</v>
      </c>
      <c r="AJ1344" t="n">
        <v>11</v>
      </c>
      <c r="AK1344" t="n">
        <v>11</v>
      </c>
      <c r="AL1344" t="n">
        <v>3</v>
      </c>
      <c r="AM1344" t="n">
        <v>3</v>
      </c>
      <c r="AN1344" t="n">
        <v>1</v>
      </c>
      <c r="AO1344" t="n">
        <v>1</v>
      </c>
      <c r="AP1344" t="inlineStr">
        <is>
          <t>No</t>
        </is>
      </c>
      <c r="AQ1344" t="inlineStr">
        <is>
          <t>Yes</t>
        </is>
      </c>
      <c r="AR1344">
        <f>HYPERLINK("http://catalog.hathitrust.org/Record/004295783","HathiTrust Record")</f>
        <v/>
      </c>
      <c r="AS1344">
        <f>HYPERLINK("https://creighton-primo.hosted.exlibrisgroup.com/primo-explore/search?tab=default_tab&amp;search_scope=EVERYTHING&amp;vid=01CRU&amp;lang=en_US&amp;offset=0&amp;query=any,contains,991004020199702656","Catalog Record")</f>
        <v/>
      </c>
      <c r="AT1344">
        <f>HYPERLINK("http://www.worldcat.org/oclc/50272515","WorldCat Record")</f>
        <v/>
      </c>
      <c r="AU1344" t="inlineStr">
        <is>
          <t>837528275:eng</t>
        </is>
      </c>
      <c r="AV1344" t="inlineStr">
        <is>
          <t>50272515</t>
        </is>
      </c>
      <c r="AW1344" t="inlineStr">
        <is>
          <t>991004020199702656</t>
        </is>
      </c>
      <c r="AX1344" t="inlineStr">
        <is>
          <t>991004020199702656</t>
        </is>
      </c>
      <c r="AY1344" t="inlineStr">
        <is>
          <t>2259804070002656</t>
        </is>
      </c>
      <c r="AZ1344" t="inlineStr">
        <is>
          <t>BOOK</t>
        </is>
      </c>
      <c r="BB1344" t="inlineStr">
        <is>
          <t>9780787963798</t>
        </is>
      </c>
      <c r="BC1344" t="inlineStr">
        <is>
          <t>32285004683966</t>
        </is>
      </c>
      <c r="BD1344" t="inlineStr">
        <is>
          <t>893525531</t>
        </is>
      </c>
    </row>
    <row r="1345">
      <c r="A1345" t="inlineStr">
        <is>
          <t>No</t>
        </is>
      </c>
      <c r="B1345" t="inlineStr">
        <is>
          <t>LB3013.33.K46 R36 2004</t>
        </is>
      </c>
      <c r="C1345" t="inlineStr">
        <is>
          <t>0                      LB 3013330K  46                 R  36          2004</t>
        </is>
      </c>
      <c r="D1345" t="inlineStr">
        <is>
          <t>Rampage : the social roots of school shootings / Katherine S. Newman ... [et al.].</t>
        </is>
      </c>
      <c r="F1345" t="inlineStr">
        <is>
          <t>No</t>
        </is>
      </c>
      <c r="G1345" t="inlineStr">
        <is>
          <t>1</t>
        </is>
      </c>
      <c r="H1345" t="inlineStr">
        <is>
          <t>No</t>
        </is>
      </c>
      <c r="I1345" t="inlineStr">
        <is>
          <t>No</t>
        </is>
      </c>
      <c r="J1345" t="inlineStr">
        <is>
          <t>0</t>
        </is>
      </c>
      <c r="L1345" t="inlineStr">
        <is>
          <t>New York : Basic Books, c2004.</t>
        </is>
      </c>
      <c r="M1345" t="inlineStr">
        <is>
          <t>2004</t>
        </is>
      </c>
      <c r="O1345" t="inlineStr">
        <is>
          <t>eng</t>
        </is>
      </c>
      <c r="P1345" t="inlineStr">
        <is>
          <t>nyu</t>
        </is>
      </c>
      <c r="R1345" t="inlineStr">
        <is>
          <t xml:space="preserve">LB </t>
        </is>
      </c>
      <c r="S1345" t="n">
        <v>6</v>
      </c>
      <c r="T1345" t="n">
        <v>6</v>
      </c>
      <c r="U1345" t="inlineStr">
        <is>
          <t>2008-09-07</t>
        </is>
      </c>
      <c r="V1345" t="inlineStr">
        <is>
          <t>2008-09-07</t>
        </is>
      </c>
      <c r="W1345" t="inlineStr">
        <is>
          <t>2004-10-16</t>
        </is>
      </c>
      <c r="X1345" t="inlineStr">
        <is>
          <t>2004-10-16</t>
        </is>
      </c>
      <c r="Y1345" t="n">
        <v>1413</v>
      </c>
      <c r="Z1345" t="n">
        <v>1325</v>
      </c>
      <c r="AA1345" t="n">
        <v>2232</v>
      </c>
      <c r="AB1345" t="n">
        <v>12</v>
      </c>
      <c r="AC1345" t="n">
        <v>37</v>
      </c>
      <c r="AD1345" t="n">
        <v>39</v>
      </c>
      <c r="AE1345" t="n">
        <v>57</v>
      </c>
      <c r="AF1345" t="n">
        <v>19</v>
      </c>
      <c r="AG1345" t="n">
        <v>24</v>
      </c>
      <c r="AH1345" t="n">
        <v>5</v>
      </c>
      <c r="AI1345" t="n">
        <v>8</v>
      </c>
      <c r="AJ1345" t="n">
        <v>13</v>
      </c>
      <c r="AK1345" t="n">
        <v>17</v>
      </c>
      <c r="AL1345" t="n">
        <v>9</v>
      </c>
      <c r="AM1345" t="n">
        <v>17</v>
      </c>
      <c r="AN1345" t="n">
        <v>0</v>
      </c>
      <c r="AO1345" t="n">
        <v>0</v>
      </c>
      <c r="AP1345" t="inlineStr">
        <is>
          <t>No</t>
        </is>
      </c>
      <c r="AQ1345" t="inlineStr">
        <is>
          <t>No</t>
        </is>
      </c>
      <c r="AS1345">
        <f>HYPERLINK("https://creighton-primo.hosted.exlibrisgroup.com/primo-explore/search?tab=default_tab&amp;search_scope=EVERYTHING&amp;vid=01CRU&amp;lang=en_US&amp;offset=0&amp;query=any,contains,991004393939702656","Catalog Record")</f>
        <v/>
      </c>
      <c r="AT1345">
        <f>HYPERLINK("http://www.worldcat.org/oclc/52970174","WorldCat Record")</f>
        <v/>
      </c>
      <c r="AU1345" t="inlineStr">
        <is>
          <t>800879774:eng</t>
        </is>
      </c>
      <c r="AV1345" t="inlineStr">
        <is>
          <t>52970174</t>
        </is>
      </c>
      <c r="AW1345" t="inlineStr">
        <is>
          <t>991004393939702656</t>
        </is>
      </c>
      <c r="AX1345" t="inlineStr">
        <is>
          <t>991004393939702656</t>
        </is>
      </c>
      <c r="AY1345" t="inlineStr">
        <is>
          <t>2265608540002656</t>
        </is>
      </c>
      <c r="AZ1345" t="inlineStr">
        <is>
          <t>BOOK</t>
        </is>
      </c>
      <c r="BB1345" t="inlineStr">
        <is>
          <t>9780465051038</t>
        </is>
      </c>
      <c r="BC1345" t="inlineStr">
        <is>
          <t>32285005004899</t>
        </is>
      </c>
      <c r="BD1345" t="inlineStr">
        <is>
          <t>893605976</t>
        </is>
      </c>
    </row>
    <row r="1346">
      <c r="A1346" t="inlineStr">
        <is>
          <t>No</t>
        </is>
      </c>
      <c r="B1346" t="inlineStr">
        <is>
          <t>LB3013.4 .S732 2002</t>
        </is>
      </c>
      <c r="C1346" t="inlineStr">
        <is>
          <t>0                      LB 3013400S  732         2002</t>
        </is>
      </c>
      <c r="D1346" t="inlineStr">
        <is>
          <t>School social work worldwide / Marion Huxtable and Eric Blyth, editors.</t>
        </is>
      </c>
      <c r="F1346" t="inlineStr">
        <is>
          <t>No</t>
        </is>
      </c>
      <c r="G1346" t="inlineStr">
        <is>
          <t>1</t>
        </is>
      </c>
      <c r="H1346" t="inlineStr">
        <is>
          <t>No</t>
        </is>
      </c>
      <c r="I1346" t="inlineStr">
        <is>
          <t>No</t>
        </is>
      </c>
      <c r="J1346" t="inlineStr">
        <is>
          <t>0</t>
        </is>
      </c>
      <c r="L1346" t="inlineStr">
        <is>
          <t>Washington, D.C. : NASW Press, c2002.</t>
        </is>
      </c>
      <c r="M1346" t="inlineStr">
        <is>
          <t>2002</t>
        </is>
      </c>
      <c r="O1346" t="inlineStr">
        <is>
          <t>eng</t>
        </is>
      </c>
      <c r="P1346" t="inlineStr">
        <is>
          <t>dcu</t>
        </is>
      </c>
      <c r="R1346" t="inlineStr">
        <is>
          <t xml:space="preserve">LB </t>
        </is>
      </c>
      <c r="S1346" t="n">
        <v>1</v>
      </c>
      <c r="T1346" t="n">
        <v>1</v>
      </c>
      <c r="U1346" t="inlineStr">
        <is>
          <t>2003-04-02</t>
        </is>
      </c>
      <c r="V1346" t="inlineStr">
        <is>
          <t>2003-04-02</t>
        </is>
      </c>
      <c r="W1346" t="inlineStr">
        <is>
          <t>2003-04-02</t>
        </is>
      </c>
      <c r="X1346" t="inlineStr">
        <is>
          <t>2003-04-02</t>
        </is>
      </c>
      <c r="Y1346" t="n">
        <v>287</v>
      </c>
      <c r="Z1346" t="n">
        <v>254</v>
      </c>
      <c r="AA1346" t="n">
        <v>257</v>
      </c>
      <c r="AB1346" t="n">
        <v>1</v>
      </c>
      <c r="AC1346" t="n">
        <v>1</v>
      </c>
      <c r="AD1346" t="n">
        <v>12</v>
      </c>
      <c r="AE1346" t="n">
        <v>12</v>
      </c>
      <c r="AF1346" t="n">
        <v>4</v>
      </c>
      <c r="AG1346" t="n">
        <v>4</v>
      </c>
      <c r="AH1346" t="n">
        <v>4</v>
      </c>
      <c r="AI1346" t="n">
        <v>4</v>
      </c>
      <c r="AJ1346" t="n">
        <v>6</v>
      </c>
      <c r="AK1346" t="n">
        <v>6</v>
      </c>
      <c r="AL1346" t="n">
        <v>0</v>
      </c>
      <c r="AM1346" t="n">
        <v>0</v>
      </c>
      <c r="AN1346" t="n">
        <v>0</v>
      </c>
      <c r="AO1346" t="n">
        <v>0</v>
      </c>
      <c r="AP1346" t="inlineStr">
        <is>
          <t>No</t>
        </is>
      </c>
      <c r="AQ1346" t="inlineStr">
        <is>
          <t>Yes</t>
        </is>
      </c>
      <c r="AR1346">
        <f>HYPERLINK("http://catalog.hathitrust.org/Record/003592442","HathiTrust Record")</f>
        <v/>
      </c>
      <c r="AS1346">
        <f>HYPERLINK("https://creighton-primo.hosted.exlibrisgroup.com/primo-explore/search?tab=default_tab&amp;search_scope=EVERYTHING&amp;vid=01CRU&amp;lang=en_US&amp;offset=0&amp;query=any,contains,991004006509702656","Catalog Record")</f>
        <v/>
      </c>
      <c r="AT1346">
        <f>HYPERLINK("http://www.worldcat.org/oclc/48641714","WorldCat Record")</f>
        <v/>
      </c>
      <c r="AU1346" t="inlineStr">
        <is>
          <t>375321062:eng</t>
        </is>
      </c>
      <c r="AV1346" t="inlineStr">
        <is>
          <t>48641714</t>
        </is>
      </c>
      <c r="AW1346" t="inlineStr">
        <is>
          <t>991004006509702656</t>
        </is>
      </c>
      <c r="AX1346" t="inlineStr">
        <is>
          <t>991004006509702656</t>
        </is>
      </c>
      <c r="AY1346" t="inlineStr">
        <is>
          <t>2271870090002656</t>
        </is>
      </c>
      <c r="AZ1346" t="inlineStr">
        <is>
          <t>BOOK</t>
        </is>
      </c>
      <c r="BB1346" t="inlineStr">
        <is>
          <t>9780871013484</t>
        </is>
      </c>
      <c r="BC1346" t="inlineStr">
        <is>
          <t>32285004688890</t>
        </is>
      </c>
      <c r="BD1346" t="inlineStr">
        <is>
          <t>893775489</t>
        </is>
      </c>
    </row>
    <row r="1347">
      <c r="A1347" t="inlineStr">
        <is>
          <t>No</t>
        </is>
      </c>
      <c r="B1347" t="inlineStr">
        <is>
          <t>LB3034 .B26 2006</t>
        </is>
      </c>
      <c r="C1347" t="inlineStr">
        <is>
          <t>0                      LB 3034000B  26          2006</t>
        </is>
      </c>
      <c r="D1347" t="inlineStr">
        <is>
          <t>School calendar reform : learning in all seasons / Charles Ballinger, Carolyn Kneese.</t>
        </is>
      </c>
      <c r="F1347" t="inlineStr">
        <is>
          <t>No</t>
        </is>
      </c>
      <c r="G1347" t="inlineStr">
        <is>
          <t>1</t>
        </is>
      </c>
      <c r="H1347" t="inlineStr">
        <is>
          <t>No</t>
        </is>
      </c>
      <c r="I1347" t="inlineStr">
        <is>
          <t>No</t>
        </is>
      </c>
      <c r="J1347" t="inlineStr">
        <is>
          <t>0</t>
        </is>
      </c>
      <c r="K1347" t="inlineStr">
        <is>
          <t>Ballinger, Charles E.</t>
        </is>
      </c>
      <c r="L1347" t="inlineStr">
        <is>
          <t>Lanham, Md. : Rowman &amp; Littlefield Education, 2006.</t>
        </is>
      </c>
      <c r="M1347" t="inlineStr">
        <is>
          <t>2006</t>
        </is>
      </c>
      <c r="O1347" t="inlineStr">
        <is>
          <t>eng</t>
        </is>
      </c>
      <c r="P1347" t="inlineStr">
        <is>
          <t>mdu</t>
        </is>
      </c>
      <c r="R1347" t="inlineStr">
        <is>
          <t xml:space="preserve">LB </t>
        </is>
      </c>
      <c r="S1347" t="n">
        <v>3</v>
      </c>
      <c r="T1347" t="n">
        <v>3</v>
      </c>
      <c r="U1347" t="inlineStr">
        <is>
          <t>2010-11-09</t>
        </is>
      </c>
      <c r="V1347" t="inlineStr">
        <is>
          <t>2010-11-09</t>
        </is>
      </c>
      <c r="W1347" t="inlineStr">
        <is>
          <t>2006-08-02</t>
        </is>
      </c>
      <c r="X1347" t="inlineStr">
        <is>
          <t>2006-08-02</t>
        </is>
      </c>
      <c r="Y1347" t="n">
        <v>244</v>
      </c>
      <c r="Z1347" t="n">
        <v>229</v>
      </c>
      <c r="AA1347" t="n">
        <v>235</v>
      </c>
      <c r="AB1347" t="n">
        <v>3</v>
      </c>
      <c r="AC1347" t="n">
        <v>3</v>
      </c>
      <c r="AD1347" t="n">
        <v>11</v>
      </c>
      <c r="AE1347" t="n">
        <v>11</v>
      </c>
      <c r="AF1347" t="n">
        <v>3</v>
      </c>
      <c r="AG1347" t="n">
        <v>3</v>
      </c>
      <c r="AH1347" t="n">
        <v>2</v>
      </c>
      <c r="AI1347" t="n">
        <v>2</v>
      </c>
      <c r="AJ1347" t="n">
        <v>6</v>
      </c>
      <c r="AK1347" t="n">
        <v>6</v>
      </c>
      <c r="AL1347" t="n">
        <v>2</v>
      </c>
      <c r="AM1347" t="n">
        <v>2</v>
      </c>
      <c r="AN1347" t="n">
        <v>0</v>
      </c>
      <c r="AO1347" t="n">
        <v>0</v>
      </c>
      <c r="AP1347" t="inlineStr">
        <is>
          <t>No</t>
        </is>
      </c>
      <c r="AQ1347" t="inlineStr">
        <is>
          <t>Yes</t>
        </is>
      </c>
      <c r="AR1347">
        <f>HYPERLINK("http://catalog.hathitrust.org/Record/005234618","HathiTrust Record")</f>
        <v/>
      </c>
      <c r="AS1347">
        <f>HYPERLINK("https://creighton-primo.hosted.exlibrisgroup.com/primo-explore/search?tab=default_tab&amp;search_scope=EVERYTHING&amp;vid=01CRU&amp;lang=en_US&amp;offset=0&amp;query=any,contains,991004862339702656","Catalog Record")</f>
        <v/>
      </c>
      <c r="AT1347">
        <f>HYPERLINK("http://www.worldcat.org/oclc/63116810","WorldCat Record")</f>
        <v/>
      </c>
      <c r="AU1347" t="inlineStr">
        <is>
          <t>52455930:eng</t>
        </is>
      </c>
      <c r="AV1347" t="inlineStr">
        <is>
          <t>63116810</t>
        </is>
      </c>
      <c r="AW1347" t="inlineStr">
        <is>
          <t>991004862339702656</t>
        </is>
      </c>
      <c r="AX1347" t="inlineStr">
        <is>
          <t>991004862339702656</t>
        </is>
      </c>
      <c r="AY1347" t="inlineStr">
        <is>
          <t>2256425420002656</t>
        </is>
      </c>
      <c r="AZ1347" t="inlineStr">
        <is>
          <t>BOOK</t>
        </is>
      </c>
      <c r="BB1347" t="inlineStr">
        <is>
          <t>9781578862788</t>
        </is>
      </c>
      <c r="BC1347" t="inlineStr">
        <is>
          <t>32285005199475</t>
        </is>
      </c>
      <c r="BD1347" t="inlineStr">
        <is>
          <t>893236004</t>
        </is>
      </c>
    </row>
    <row r="1348">
      <c r="A1348" t="inlineStr">
        <is>
          <t>No</t>
        </is>
      </c>
      <c r="B1348" t="inlineStr">
        <is>
          <t>LB3034 .M32</t>
        </is>
      </c>
      <c r="C1348" t="inlineStr">
        <is>
          <t>0                      LB 3034000M  32</t>
        </is>
      </c>
      <c r="D1348" t="inlineStr">
        <is>
          <t>Year-round education : economic, educational, and sociological factors / [by] John D. McLain.</t>
        </is>
      </c>
      <c r="F1348" t="inlineStr">
        <is>
          <t>No</t>
        </is>
      </c>
      <c r="G1348" t="inlineStr">
        <is>
          <t>1</t>
        </is>
      </c>
      <c r="H1348" t="inlineStr">
        <is>
          <t>No</t>
        </is>
      </c>
      <c r="I1348" t="inlineStr">
        <is>
          <t>No</t>
        </is>
      </c>
      <c r="J1348" t="inlineStr">
        <is>
          <t>0</t>
        </is>
      </c>
      <c r="K1348" t="inlineStr">
        <is>
          <t>McLain, John D.</t>
        </is>
      </c>
      <c r="L1348" t="inlineStr">
        <is>
          <t>Berkeley, Calif. : McCutchan Pub. Corp., [1973]</t>
        </is>
      </c>
      <c r="M1348" t="inlineStr">
        <is>
          <t>1973</t>
        </is>
      </c>
      <c r="O1348" t="inlineStr">
        <is>
          <t>eng</t>
        </is>
      </c>
      <c r="P1348" t="inlineStr">
        <is>
          <t>cau</t>
        </is>
      </c>
      <c r="R1348" t="inlineStr">
        <is>
          <t xml:space="preserve">LB </t>
        </is>
      </c>
      <c r="S1348" t="n">
        <v>12</v>
      </c>
      <c r="T1348" t="n">
        <v>12</v>
      </c>
      <c r="U1348" t="inlineStr">
        <is>
          <t>2005-10-25</t>
        </is>
      </c>
      <c r="V1348" t="inlineStr">
        <is>
          <t>2005-10-25</t>
        </is>
      </c>
      <c r="W1348" t="inlineStr">
        <is>
          <t>1992-01-08</t>
        </is>
      </c>
      <c r="X1348" t="inlineStr">
        <is>
          <t>1992-01-08</t>
        </is>
      </c>
      <c r="Y1348" t="n">
        <v>440</v>
      </c>
      <c r="Z1348" t="n">
        <v>409</v>
      </c>
      <c r="AA1348" t="n">
        <v>410</v>
      </c>
      <c r="AB1348" t="n">
        <v>6</v>
      </c>
      <c r="AC1348" t="n">
        <v>6</v>
      </c>
      <c r="AD1348" t="n">
        <v>22</v>
      </c>
      <c r="AE1348" t="n">
        <v>22</v>
      </c>
      <c r="AF1348" t="n">
        <v>9</v>
      </c>
      <c r="AG1348" t="n">
        <v>9</v>
      </c>
      <c r="AH1348" t="n">
        <v>4</v>
      </c>
      <c r="AI1348" t="n">
        <v>4</v>
      </c>
      <c r="AJ1348" t="n">
        <v>8</v>
      </c>
      <c r="AK1348" t="n">
        <v>8</v>
      </c>
      <c r="AL1348" t="n">
        <v>5</v>
      </c>
      <c r="AM1348" t="n">
        <v>5</v>
      </c>
      <c r="AN1348" t="n">
        <v>0</v>
      </c>
      <c r="AO1348" t="n">
        <v>0</v>
      </c>
      <c r="AP1348" t="inlineStr">
        <is>
          <t>No</t>
        </is>
      </c>
      <c r="AQ1348" t="inlineStr">
        <is>
          <t>No</t>
        </is>
      </c>
      <c r="AS1348">
        <f>HYPERLINK("https://creighton-primo.hosted.exlibrisgroup.com/primo-explore/search?tab=default_tab&amp;search_scope=EVERYTHING&amp;vid=01CRU&amp;lang=en_US&amp;offset=0&amp;query=any,contains,991003155619702656","Catalog Record")</f>
        <v/>
      </c>
      <c r="AT1348">
        <f>HYPERLINK("http://www.worldcat.org/oclc/695134","WorldCat Record")</f>
        <v/>
      </c>
      <c r="AU1348" t="inlineStr">
        <is>
          <t>1808223:eng</t>
        </is>
      </c>
      <c r="AV1348" t="inlineStr">
        <is>
          <t>695134</t>
        </is>
      </c>
      <c r="AW1348" t="inlineStr">
        <is>
          <t>991003155619702656</t>
        </is>
      </c>
      <c r="AX1348" t="inlineStr">
        <is>
          <t>991003155619702656</t>
        </is>
      </c>
      <c r="AY1348" t="inlineStr">
        <is>
          <t>2267785620002656</t>
        </is>
      </c>
      <c r="AZ1348" t="inlineStr">
        <is>
          <t>BOOK</t>
        </is>
      </c>
      <c r="BB1348" t="inlineStr">
        <is>
          <t>9780821112229</t>
        </is>
      </c>
      <c r="BC1348" t="inlineStr">
        <is>
          <t>32285000883842</t>
        </is>
      </c>
      <c r="BD1348" t="inlineStr">
        <is>
          <t>893262651</t>
        </is>
      </c>
    </row>
    <row r="1349">
      <c r="A1349" t="inlineStr">
        <is>
          <t>No</t>
        </is>
      </c>
      <c r="B1349" t="inlineStr">
        <is>
          <t>LB3045.7 .R38 2003</t>
        </is>
      </c>
      <c r="C1349" t="inlineStr">
        <is>
          <t>0                      LB 3045700R  38          2003</t>
        </is>
      </c>
      <c r="D1349" t="inlineStr">
        <is>
          <t>The language police : how pressure groups restrict what children learn / Diane Ravitch.</t>
        </is>
      </c>
      <c r="F1349" t="inlineStr">
        <is>
          <t>No</t>
        </is>
      </c>
      <c r="G1349" t="inlineStr">
        <is>
          <t>1</t>
        </is>
      </c>
      <c r="H1349" t="inlineStr">
        <is>
          <t>No</t>
        </is>
      </c>
      <c r="I1349" t="inlineStr">
        <is>
          <t>No</t>
        </is>
      </c>
      <c r="J1349" t="inlineStr">
        <is>
          <t>0</t>
        </is>
      </c>
      <c r="K1349" t="inlineStr">
        <is>
          <t>Ravitch, Diane.</t>
        </is>
      </c>
      <c r="L1349" t="inlineStr">
        <is>
          <t>New York : Knopf, 2003.</t>
        </is>
      </c>
      <c r="M1349" t="inlineStr">
        <is>
          <t>2003</t>
        </is>
      </c>
      <c r="N1349" t="inlineStr">
        <is>
          <t>1st ed.</t>
        </is>
      </c>
      <c r="O1349" t="inlineStr">
        <is>
          <t>eng</t>
        </is>
      </c>
      <c r="P1349" t="inlineStr">
        <is>
          <t>nyu</t>
        </is>
      </c>
      <c r="R1349" t="inlineStr">
        <is>
          <t xml:space="preserve">LB </t>
        </is>
      </c>
      <c r="S1349" t="n">
        <v>2</v>
      </c>
      <c r="T1349" t="n">
        <v>2</v>
      </c>
      <c r="U1349" t="inlineStr">
        <is>
          <t>2008-06-25</t>
        </is>
      </c>
      <c r="V1349" t="inlineStr">
        <is>
          <t>2008-06-25</t>
        </is>
      </c>
      <c r="W1349" t="inlineStr">
        <is>
          <t>2003-06-04</t>
        </is>
      </c>
      <c r="X1349" t="inlineStr">
        <is>
          <t>2003-06-04</t>
        </is>
      </c>
      <c r="Y1349" t="n">
        <v>1755</v>
      </c>
      <c r="Z1349" t="n">
        <v>1657</v>
      </c>
      <c r="AA1349" t="n">
        <v>1827</v>
      </c>
      <c r="AB1349" t="n">
        <v>13</v>
      </c>
      <c r="AC1349" t="n">
        <v>14</v>
      </c>
      <c r="AD1349" t="n">
        <v>49</v>
      </c>
      <c r="AE1349" t="n">
        <v>52</v>
      </c>
      <c r="AF1349" t="n">
        <v>20</v>
      </c>
      <c r="AG1349" t="n">
        <v>22</v>
      </c>
      <c r="AH1349" t="n">
        <v>7</v>
      </c>
      <c r="AI1349" t="n">
        <v>7</v>
      </c>
      <c r="AJ1349" t="n">
        <v>18</v>
      </c>
      <c r="AK1349" t="n">
        <v>18</v>
      </c>
      <c r="AL1349" t="n">
        <v>10</v>
      </c>
      <c r="AM1349" t="n">
        <v>11</v>
      </c>
      <c r="AN1349" t="n">
        <v>3</v>
      </c>
      <c r="AO1349" t="n">
        <v>3</v>
      </c>
      <c r="AP1349" t="inlineStr">
        <is>
          <t>No</t>
        </is>
      </c>
      <c r="AQ1349" t="inlineStr">
        <is>
          <t>Yes</t>
        </is>
      </c>
      <c r="AR1349">
        <f>HYPERLINK("http://catalog.hathitrust.org/Record/004302680","HathiTrust Record")</f>
        <v/>
      </c>
      <c r="AS1349">
        <f>HYPERLINK("https://creighton-primo.hosted.exlibrisgroup.com/primo-explore/search?tab=default_tab&amp;search_scope=EVERYTHING&amp;vid=01CRU&amp;lang=en_US&amp;offset=0&amp;query=any,contains,991004057509702656","Catalog Record")</f>
        <v/>
      </c>
      <c r="AT1349">
        <f>HYPERLINK("http://www.worldcat.org/oclc/50802702","WorldCat Record")</f>
        <v/>
      </c>
      <c r="AU1349" t="inlineStr">
        <is>
          <t>793923772:eng</t>
        </is>
      </c>
      <c r="AV1349" t="inlineStr">
        <is>
          <t>50802702</t>
        </is>
      </c>
      <c r="AW1349" t="inlineStr">
        <is>
          <t>991004057509702656</t>
        </is>
      </c>
      <c r="AX1349" t="inlineStr">
        <is>
          <t>991004057509702656</t>
        </is>
      </c>
      <c r="AY1349" t="inlineStr">
        <is>
          <t>2270531610002656</t>
        </is>
      </c>
      <c r="AZ1349" t="inlineStr">
        <is>
          <t>BOOK</t>
        </is>
      </c>
      <c r="BB1349" t="inlineStr">
        <is>
          <t>9780375414824</t>
        </is>
      </c>
      <c r="BC1349" t="inlineStr">
        <is>
          <t>32285004751193</t>
        </is>
      </c>
      <c r="BD1349" t="inlineStr">
        <is>
          <t>893810335</t>
        </is>
      </c>
    </row>
    <row r="1350">
      <c r="A1350" t="inlineStr">
        <is>
          <t>No</t>
        </is>
      </c>
      <c r="B1350" t="inlineStr">
        <is>
          <t>LB3051 .A7664 1998</t>
        </is>
      </c>
      <c r="C1350" t="inlineStr">
        <is>
          <t>0                      LB 3051000A  7664        1998</t>
        </is>
      </c>
      <c r="D1350" t="inlineStr">
        <is>
          <t>Assessing student learning : from grading to understanding / David Allen, editor ; foreword by Howard Gardner.</t>
        </is>
      </c>
      <c r="F1350" t="inlineStr">
        <is>
          <t>No</t>
        </is>
      </c>
      <c r="G1350" t="inlineStr">
        <is>
          <t>1</t>
        </is>
      </c>
      <c r="H1350" t="inlineStr">
        <is>
          <t>No</t>
        </is>
      </c>
      <c r="I1350" t="inlineStr">
        <is>
          <t>No</t>
        </is>
      </c>
      <c r="J1350" t="inlineStr">
        <is>
          <t>0</t>
        </is>
      </c>
      <c r="L1350" t="inlineStr">
        <is>
          <t>New York : Teachers College Press, c1998.</t>
        </is>
      </c>
      <c r="M1350" t="inlineStr">
        <is>
          <t>1998</t>
        </is>
      </c>
      <c r="O1350" t="inlineStr">
        <is>
          <t>eng</t>
        </is>
      </c>
      <c r="P1350" t="inlineStr">
        <is>
          <t>nyu</t>
        </is>
      </c>
      <c r="Q1350" t="inlineStr">
        <is>
          <t>The series on school reform</t>
        </is>
      </c>
      <c r="R1350" t="inlineStr">
        <is>
          <t xml:space="preserve">LB </t>
        </is>
      </c>
      <c r="S1350" t="n">
        <v>1</v>
      </c>
      <c r="T1350" t="n">
        <v>1</v>
      </c>
      <c r="U1350" t="inlineStr">
        <is>
          <t>2003-11-25</t>
        </is>
      </c>
      <c r="V1350" t="inlineStr">
        <is>
          <t>2003-11-25</t>
        </is>
      </c>
      <c r="W1350" t="inlineStr">
        <is>
          <t>2003-11-25</t>
        </is>
      </c>
      <c r="X1350" t="inlineStr">
        <is>
          <t>2003-11-25</t>
        </is>
      </c>
      <c r="Y1350" t="n">
        <v>873</v>
      </c>
      <c r="Z1350" t="n">
        <v>792</v>
      </c>
      <c r="AA1350" t="n">
        <v>796</v>
      </c>
      <c r="AB1350" t="n">
        <v>8</v>
      </c>
      <c r="AC1350" t="n">
        <v>8</v>
      </c>
      <c r="AD1350" t="n">
        <v>34</v>
      </c>
      <c r="AE1350" t="n">
        <v>34</v>
      </c>
      <c r="AF1350" t="n">
        <v>13</v>
      </c>
      <c r="AG1350" t="n">
        <v>13</v>
      </c>
      <c r="AH1350" t="n">
        <v>5</v>
      </c>
      <c r="AI1350" t="n">
        <v>5</v>
      </c>
      <c r="AJ1350" t="n">
        <v>17</v>
      </c>
      <c r="AK1350" t="n">
        <v>17</v>
      </c>
      <c r="AL1350" t="n">
        <v>7</v>
      </c>
      <c r="AM1350" t="n">
        <v>7</v>
      </c>
      <c r="AN1350" t="n">
        <v>0</v>
      </c>
      <c r="AO1350" t="n">
        <v>0</v>
      </c>
      <c r="AP1350" t="inlineStr">
        <is>
          <t>No</t>
        </is>
      </c>
      <c r="AQ1350" t="inlineStr">
        <is>
          <t>No</t>
        </is>
      </c>
      <c r="AS1350">
        <f>HYPERLINK("https://creighton-primo.hosted.exlibrisgroup.com/primo-explore/search?tab=default_tab&amp;search_scope=EVERYTHING&amp;vid=01CRU&amp;lang=en_US&amp;offset=0&amp;query=any,contains,991004191079702656","Catalog Record")</f>
        <v/>
      </c>
      <c r="AT1350">
        <f>HYPERLINK("http://www.worldcat.org/oclc/38870686","WorldCat Record")</f>
        <v/>
      </c>
      <c r="AU1350" t="inlineStr">
        <is>
          <t>905400389:eng</t>
        </is>
      </c>
      <c r="AV1350" t="inlineStr">
        <is>
          <t>38870686</t>
        </is>
      </c>
      <c r="AW1350" t="inlineStr">
        <is>
          <t>991004191079702656</t>
        </is>
      </c>
      <c r="AX1350" t="inlineStr">
        <is>
          <t>991004191079702656</t>
        </is>
      </c>
      <c r="AY1350" t="inlineStr">
        <is>
          <t>2260657530002656</t>
        </is>
      </c>
      <c r="AZ1350" t="inlineStr">
        <is>
          <t>BOOK</t>
        </is>
      </c>
      <c r="BB1350" t="inlineStr">
        <is>
          <t>9780807737538</t>
        </is>
      </c>
      <c r="BC1350" t="inlineStr">
        <is>
          <t>32285004841986</t>
        </is>
      </c>
      <c r="BD1350" t="inlineStr">
        <is>
          <t>893519348</t>
        </is>
      </c>
    </row>
    <row r="1351">
      <c r="A1351" t="inlineStr">
        <is>
          <t>No</t>
        </is>
      </c>
      <c r="B1351" t="inlineStr">
        <is>
          <t>LB3051 .B53</t>
        </is>
      </c>
      <c r="C1351" t="inlineStr">
        <is>
          <t>0                      LB 3051000B  53</t>
        </is>
      </c>
      <c r="D1351" t="inlineStr">
        <is>
          <t>Handbook on formative and summative evaluation of student learning [by] Benjamin S. Bloom, J. Thomas Hastings [and] George F. Madaus. With chapters by Thomas S. Baldwin [and others]</t>
        </is>
      </c>
      <c r="F1351" t="inlineStr">
        <is>
          <t>No</t>
        </is>
      </c>
      <c r="G1351" t="inlineStr">
        <is>
          <t>1</t>
        </is>
      </c>
      <c r="H1351" t="inlineStr">
        <is>
          <t>No</t>
        </is>
      </c>
      <c r="I1351" t="inlineStr">
        <is>
          <t>No</t>
        </is>
      </c>
      <c r="J1351" t="inlineStr">
        <is>
          <t>0</t>
        </is>
      </c>
      <c r="K1351" t="inlineStr">
        <is>
          <t>Bloom, Benjamin S. (Benjamin Samuel), 1913-1999.</t>
        </is>
      </c>
      <c r="L1351" t="inlineStr">
        <is>
          <t>New York, McGraw-Hill [1971]</t>
        </is>
      </c>
      <c r="M1351" t="inlineStr">
        <is>
          <t>1971</t>
        </is>
      </c>
      <c r="O1351" t="inlineStr">
        <is>
          <t>eng</t>
        </is>
      </c>
      <c r="P1351" t="inlineStr">
        <is>
          <t>nyu</t>
        </is>
      </c>
      <c r="R1351" t="inlineStr">
        <is>
          <t xml:space="preserve">LB </t>
        </is>
      </c>
      <c r="S1351" t="n">
        <v>6</v>
      </c>
      <c r="T1351" t="n">
        <v>6</v>
      </c>
      <c r="U1351" t="inlineStr">
        <is>
          <t>2000-09-27</t>
        </is>
      </c>
      <c r="V1351" t="inlineStr">
        <is>
          <t>2000-09-27</t>
        </is>
      </c>
      <c r="W1351" t="inlineStr">
        <is>
          <t>1997-05-29</t>
        </is>
      </c>
      <c r="X1351" t="inlineStr">
        <is>
          <t>1997-05-29</t>
        </is>
      </c>
      <c r="Y1351" t="n">
        <v>1065</v>
      </c>
      <c r="Z1351" t="n">
        <v>820</v>
      </c>
      <c r="AA1351" t="n">
        <v>829</v>
      </c>
      <c r="AB1351" t="n">
        <v>6</v>
      </c>
      <c r="AC1351" t="n">
        <v>6</v>
      </c>
      <c r="AD1351" t="n">
        <v>28</v>
      </c>
      <c r="AE1351" t="n">
        <v>28</v>
      </c>
      <c r="AF1351" t="n">
        <v>10</v>
      </c>
      <c r="AG1351" t="n">
        <v>10</v>
      </c>
      <c r="AH1351" t="n">
        <v>6</v>
      </c>
      <c r="AI1351" t="n">
        <v>6</v>
      </c>
      <c r="AJ1351" t="n">
        <v>14</v>
      </c>
      <c r="AK1351" t="n">
        <v>14</v>
      </c>
      <c r="AL1351" t="n">
        <v>4</v>
      </c>
      <c r="AM1351" t="n">
        <v>4</v>
      </c>
      <c r="AN1351" t="n">
        <v>0</v>
      </c>
      <c r="AO1351" t="n">
        <v>0</v>
      </c>
      <c r="AP1351" t="inlineStr">
        <is>
          <t>No</t>
        </is>
      </c>
      <c r="AQ1351" t="inlineStr">
        <is>
          <t>Yes</t>
        </is>
      </c>
      <c r="AR1351">
        <f>HYPERLINK("http://catalog.hathitrust.org/Record/001284609","HathiTrust Record")</f>
        <v/>
      </c>
      <c r="AS1351">
        <f>HYPERLINK("https://creighton-primo.hosted.exlibrisgroup.com/primo-explore/search?tab=default_tab&amp;search_scope=EVERYTHING&amp;vid=01CRU&amp;lang=en_US&amp;offset=0&amp;query=any,contains,991000719849702656","Catalog Record")</f>
        <v/>
      </c>
      <c r="AT1351">
        <f>HYPERLINK("http://www.worldcat.org/oclc/126430","WorldCat Record")</f>
        <v/>
      </c>
      <c r="AU1351" t="inlineStr">
        <is>
          <t>1252701:eng</t>
        </is>
      </c>
      <c r="AV1351" t="inlineStr">
        <is>
          <t>126430</t>
        </is>
      </c>
      <c r="AW1351" t="inlineStr">
        <is>
          <t>991000719849702656</t>
        </is>
      </c>
      <c r="AX1351" t="inlineStr">
        <is>
          <t>991000719849702656</t>
        </is>
      </c>
      <c r="AY1351" t="inlineStr">
        <is>
          <t>2258391970002656</t>
        </is>
      </c>
      <c r="AZ1351" t="inlineStr">
        <is>
          <t>BOOK</t>
        </is>
      </c>
      <c r="BB1351" t="inlineStr">
        <is>
          <t>9780070061149</t>
        </is>
      </c>
      <c r="BC1351" t="inlineStr">
        <is>
          <t>32285002743101</t>
        </is>
      </c>
      <c r="BD1351" t="inlineStr">
        <is>
          <t>893528326</t>
        </is>
      </c>
    </row>
    <row r="1352">
      <c r="A1352" t="inlineStr">
        <is>
          <t>No</t>
        </is>
      </c>
      <c r="B1352" t="inlineStr">
        <is>
          <t>LB3051 .E19 2003</t>
        </is>
      </c>
      <c r="C1352" t="inlineStr">
        <is>
          <t>0                      LB 3051000E  19          2003</t>
        </is>
      </c>
      <c r="D1352" t="inlineStr">
        <is>
          <t>Assessment as learning : using classroom assessment to maximize student learning / Lorna M. Earl.</t>
        </is>
      </c>
      <c r="F1352" t="inlineStr">
        <is>
          <t>No</t>
        </is>
      </c>
      <c r="G1352" t="inlineStr">
        <is>
          <t>1</t>
        </is>
      </c>
      <c r="H1352" t="inlineStr">
        <is>
          <t>No</t>
        </is>
      </c>
      <c r="I1352" t="inlineStr">
        <is>
          <t>No</t>
        </is>
      </c>
      <c r="J1352" t="inlineStr">
        <is>
          <t>0</t>
        </is>
      </c>
      <c r="K1352" t="inlineStr">
        <is>
          <t>Earl, Lorna M. (Lorna Maxine), 1948-</t>
        </is>
      </c>
      <c r="L1352" t="inlineStr">
        <is>
          <t>Thousand Oaks, Calif. : Corwin Press, c2003.</t>
        </is>
      </c>
      <c r="M1352" t="inlineStr">
        <is>
          <t>2003</t>
        </is>
      </c>
      <c r="O1352" t="inlineStr">
        <is>
          <t>eng</t>
        </is>
      </c>
      <c r="P1352" t="inlineStr">
        <is>
          <t>cau</t>
        </is>
      </c>
      <c r="Q1352" t="inlineStr">
        <is>
          <t>Experts in assessment</t>
        </is>
      </c>
      <c r="R1352" t="inlineStr">
        <is>
          <t xml:space="preserve">LB </t>
        </is>
      </c>
      <c r="S1352" t="n">
        <v>1</v>
      </c>
      <c r="T1352" t="n">
        <v>1</v>
      </c>
      <c r="U1352" t="inlineStr">
        <is>
          <t>2006-03-29</t>
        </is>
      </c>
      <c r="V1352" t="inlineStr">
        <is>
          <t>2006-03-29</t>
        </is>
      </c>
      <c r="W1352" t="inlineStr">
        <is>
          <t>2006-03-29</t>
        </is>
      </c>
      <c r="X1352" t="inlineStr">
        <is>
          <t>2006-03-29</t>
        </is>
      </c>
      <c r="Y1352" t="n">
        <v>368</v>
      </c>
      <c r="Z1352" t="n">
        <v>302</v>
      </c>
      <c r="AA1352" t="n">
        <v>454</v>
      </c>
      <c r="AB1352" t="n">
        <v>5</v>
      </c>
      <c r="AC1352" t="n">
        <v>7</v>
      </c>
      <c r="AD1352" t="n">
        <v>16</v>
      </c>
      <c r="AE1352" t="n">
        <v>23</v>
      </c>
      <c r="AF1352" t="n">
        <v>7</v>
      </c>
      <c r="AG1352" t="n">
        <v>9</v>
      </c>
      <c r="AH1352" t="n">
        <v>3</v>
      </c>
      <c r="AI1352" t="n">
        <v>5</v>
      </c>
      <c r="AJ1352" t="n">
        <v>7</v>
      </c>
      <c r="AK1352" t="n">
        <v>11</v>
      </c>
      <c r="AL1352" t="n">
        <v>4</v>
      </c>
      <c r="AM1352" t="n">
        <v>6</v>
      </c>
      <c r="AN1352" t="n">
        <v>0</v>
      </c>
      <c r="AO1352" t="n">
        <v>0</v>
      </c>
      <c r="AP1352" t="inlineStr">
        <is>
          <t>No</t>
        </is>
      </c>
      <c r="AQ1352" t="inlineStr">
        <is>
          <t>No</t>
        </is>
      </c>
      <c r="AS1352">
        <f>HYPERLINK("https://creighton-primo.hosted.exlibrisgroup.com/primo-explore/search?tab=default_tab&amp;search_scope=EVERYTHING&amp;vid=01CRU&amp;lang=en_US&amp;offset=0&amp;query=any,contains,991004766279702656","Catalog Record")</f>
        <v/>
      </c>
      <c r="AT1352">
        <f>HYPERLINK("http://www.worldcat.org/oclc/51607510","WorldCat Record")</f>
        <v/>
      </c>
      <c r="AU1352" t="inlineStr">
        <is>
          <t>793118040:eng</t>
        </is>
      </c>
      <c r="AV1352" t="inlineStr">
        <is>
          <t>51607510</t>
        </is>
      </c>
      <c r="AW1352" t="inlineStr">
        <is>
          <t>991004766279702656</t>
        </is>
      </c>
      <c r="AX1352" t="inlineStr">
        <is>
          <t>991004766279702656</t>
        </is>
      </c>
      <c r="AY1352" t="inlineStr">
        <is>
          <t>2270334300002656</t>
        </is>
      </c>
      <c r="AZ1352" t="inlineStr">
        <is>
          <t>BOOK</t>
        </is>
      </c>
      <c r="BB1352" t="inlineStr">
        <is>
          <t>9780761946250</t>
        </is>
      </c>
      <c r="BC1352" t="inlineStr">
        <is>
          <t>32285005168405</t>
        </is>
      </c>
      <c r="BD1352" t="inlineStr">
        <is>
          <t>893722597</t>
        </is>
      </c>
    </row>
    <row r="1353">
      <c r="A1353" t="inlineStr">
        <is>
          <t>No</t>
        </is>
      </c>
      <c r="B1353" t="inlineStr">
        <is>
          <t>LB3051 .G539 1993</t>
        </is>
      </c>
      <c r="C1353" t="inlineStr">
        <is>
          <t>0                      LB 3051000G  539         1993</t>
        </is>
      </c>
      <c r="D1353" t="inlineStr">
        <is>
          <t>Portfolios and beyond : collaborative assessment in reading and writing / Susan Mandel Glazer, Carol Smullen Brown ; with Phyllis DiMartino Fantauzzo, Denise Healy Nugent and Lyndon W. Searfoss.</t>
        </is>
      </c>
      <c r="F1353" t="inlineStr">
        <is>
          <t>No</t>
        </is>
      </c>
      <c r="G1353" t="inlineStr">
        <is>
          <t>1</t>
        </is>
      </c>
      <c r="H1353" t="inlineStr">
        <is>
          <t>No</t>
        </is>
      </c>
      <c r="I1353" t="inlineStr">
        <is>
          <t>No</t>
        </is>
      </c>
      <c r="J1353" t="inlineStr">
        <is>
          <t>0</t>
        </is>
      </c>
      <c r="K1353" t="inlineStr">
        <is>
          <t>Glazer, Susan Mandel.</t>
        </is>
      </c>
      <c r="L1353" t="inlineStr">
        <is>
          <t>Norwood, MA : Christopher-Gordon Publishers, c1993.</t>
        </is>
      </c>
      <c r="M1353" t="inlineStr">
        <is>
          <t>1993</t>
        </is>
      </c>
      <c r="O1353" t="inlineStr">
        <is>
          <t>eng</t>
        </is>
      </c>
      <c r="P1353" t="inlineStr">
        <is>
          <t>mau</t>
        </is>
      </c>
      <c r="R1353" t="inlineStr">
        <is>
          <t xml:space="preserve">LB </t>
        </is>
      </c>
      <c r="S1353" t="n">
        <v>3</v>
      </c>
      <c r="T1353" t="n">
        <v>3</v>
      </c>
      <c r="U1353" t="inlineStr">
        <is>
          <t>1999-11-10</t>
        </is>
      </c>
      <c r="V1353" t="inlineStr">
        <is>
          <t>1999-11-10</t>
        </is>
      </c>
      <c r="W1353" t="inlineStr">
        <is>
          <t>1993-08-24</t>
        </is>
      </c>
      <c r="X1353" t="inlineStr">
        <is>
          <t>1993-08-24</t>
        </is>
      </c>
      <c r="Y1353" t="n">
        <v>442</v>
      </c>
      <c r="Z1353" t="n">
        <v>416</v>
      </c>
      <c r="AA1353" t="n">
        <v>419</v>
      </c>
      <c r="AB1353" t="n">
        <v>6</v>
      </c>
      <c r="AC1353" t="n">
        <v>6</v>
      </c>
      <c r="AD1353" t="n">
        <v>17</v>
      </c>
      <c r="AE1353" t="n">
        <v>17</v>
      </c>
      <c r="AF1353" t="n">
        <v>7</v>
      </c>
      <c r="AG1353" t="n">
        <v>7</v>
      </c>
      <c r="AH1353" t="n">
        <v>2</v>
      </c>
      <c r="AI1353" t="n">
        <v>2</v>
      </c>
      <c r="AJ1353" t="n">
        <v>7</v>
      </c>
      <c r="AK1353" t="n">
        <v>7</v>
      </c>
      <c r="AL1353" t="n">
        <v>5</v>
      </c>
      <c r="AM1353" t="n">
        <v>5</v>
      </c>
      <c r="AN1353" t="n">
        <v>0</v>
      </c>
      <c r="AO1353" t="n">
        <v>0</v>
      </c>
      <c r="AP1353" t="inlineStr">
        <is>
          <t>No</t>
        </is>
      </c>
      <c r="AQ1353" t="inlineStr">
        <is>
          <t>Yes</t>
        </is>
      </c>
      <c r="AR1353">
        <f>HYPERLINK("http://catalog.hathitrust.org/Record/004520277","HathiTrust Record")</f>
        <v/>
      </c>
      <c r="AS1353">
        <f>HYPERLINK("https://creighton-primo.hosted.exlibrisgroup.com/primo-explore/search?tab=default_tab&amp;search_scope=EVERYTHING&amp;vid=01CRU&amp;lang=en_US&amp;offset=0&amp;query=any,contains,991002136249702656","Catalog Record")</f>
        <v/>
      </c>
      <c r="AT1353">
        <f>HYPERLINK("http://www.worldcat.org/oclc/27393481","WorldCat Record")</f>
        <v/>
      </c>
      <c r="AU1353" t="inlineStr">
        <is>
          <t>917258101:eng</t>
        </is>
      </c>
      <c r="AV1353" t="inlineStr">
        <is>
          <t>27393481</t>
        </is>
      </c>
      <c r="AW1353" t="inlineStr">
        <is>
          <t>991002136249702656</t>
        </is>
      </c>
      <c r="AX1353" t="inlineStr">
        <is>
          <t>991002136249702656</t>
        </is>
      </c>
      <c r="AY1353" t="inlineStr">
        <is>
          <t>2262914830002656</t>
        </is>
      </c>
      <c r="AZ1353" t="inlineStr">
        <is>
          <t>BOOK</t>
        </is>
      </c>
      <c r="BB1353" t="inlineStr">
        <is>
          <t>9780926842250</t>
        </is>
      </c>
      <c r="BC1353" t="inlineStr">
        <is>
          <t>32285001727949</t>
        </is>
      </c>
      <c r="BD1353" t="inlineStr">
        <is>
          <t>893885878</t>
        </is>
      </c>
    </row>
    <row r="1354">
      <c r="A1354" t="inlineStr">
        <is>
          <t>No</t>
        </is>
      </c>
      <c r="B1354" t="inlineStr">
        <is>
          <t>LB3051 .G66697 2002</t>
        </is>
      </c>
      <c r="C1354" t="inlineStr">
        <is>
          <t>0                      LB 3051000G  66697       2002</t>
        </is>
      </c>
      <c r="D1354" t="inlineStr">
        <is>
          <t>Testing is not teaching : what should count in education / Donald H. Graves.</t>
        </is>
      </c>
      <c r="F1354" t="inlineStr">
        <is>
          <t>No</t>
        </is>
      </c>
      <c r="G1354" t="inlineStr">
        <is>
          <t>1</t>
        </is>
      </c>
      <c r="H1354" t="inlineStr">
        <is>
          <t>No</t>
        </is>
      </c>
      <c r="I1354" t="inlineStr">
        <is>
          <t>No</t>
        </is>
      </c>
      <c r="J1354" t="inlineStr">
        <is>
          <t>0</t>
        </is>
      </c>
      <c r="K1354" t="inlineStr">
        <is>
          <t>Graves, Donald H.</t>
        </is>
      </c>
      <c r="L1354" t="inlineStr">
        <is>
          <t>Portsmouth, NH : Heinemann, c2002.</t>
        </is>
      </c>
      <c r="M1354" t="inlineStr">
        <is>
          <t>2002</t>
        </is>
      </c>
      <c r="O1354" t="inlineStr">
        <is>
          <t>eng</t>
        </is>
      </c>
      <c r="P1354" t="inlineStr">
        <is>
          <t>nhu</t>
        </is>
      </c>
      <c r="R1354" t="inlineStr">
        <is>
          <t xml:space="preserve">LB </t>
        </is>
      </c>
      <c r="S1354" t="n">
        <v>2</v>
      </c>
      <c r="T1354" t="n">
        <v>2</v>
      </c>
      <c r="U1354" t="inlineStr">
        <is>
          <t>2006-04-25</t>
        </is>
      </c>
      <c r="V1354" t="inlineStr">
        <is>
          <t>2006-04-25</t>
        </is>
      </c>
      <c r="W1354" t="inlineStr">
        <is>
          <t>2006-04-25</t>
        </is>
      </c>
      <c r="X1354" t="inlineStr">
        <is>
          <t>2006-04-25</t>
        </is>
      </c>
      <c r="Y1354" t="n">
        <v>321</v>
      </c>
      <c r="Z1354" t="n">
        <v>294</v>
      </c>
      <c r="AA1354" t="n">
        <v>300</v>
      </c>
      <c r="AB1354" t="n">
        <v>3</v>
      </c>
      <c r="AC1354" t="n">
        <v>3</v>
      </c>
      <c r="AD1354" t="n">
        <v>15</v>
      </c>
      <c r="AE1354" t="n">
        <v>15</v>
      </c>
      <c r="AF1354" t="n">
        <v>9</v>
      </c>
      <c r="AG1354" t="n">
        <v>9</v>
      </c>
      <c r="AH1354" t="n">
        <v>2</v>
      </c>
      <c r="AI1354" t="n">
        <v>2</v>
      </c>
      <c r="AJ1354" t="n">
        <v>7</v>
      </c>
      <c r="AK1354" t="n">
        <v>7</v>
      </c>
      <c r="AL1354" t="n">
        <v>2</v>
      </c>
      <c r="AM1354" t="n">
        <v>2</v>
      </c>
      <c r="AN1354" t="n">
        <v>0</v>
      </c>
      <c r="AO1354" t="n">
        <v>0</v>
      </c>
      <c r="AP1354" t="inlineStr">
        <is>
          <t>No</t>
        </is>
      </c>
      <c r="AQ1354" t="inlineStr">
        <is>
          <t>Yes</t>
        </is>
      </c>
      <c r="AR1354">
        <f>HYPERLINK("http://catalog.hathitrust.org/Record/008327608","HathiTrust Record")</f>
        <v/>
      </c>
      <c r="AS1354">
        <f>HYPERLINK("https://creighton-primo.hosted.exlibrisgroup.com/primo-explore/search?tab=default_tab&amp;search_scope=EVERYTHING&amp;vid=01CRU&amp;lang=en_US&amp;offset=0&amp;query=any,contains,991004778279702656","Catalog Record")</f>
        <v/>
      </c>
      <c r="AT1354">
        <f>HYPERLINK("http://www.worldcat.org/oclc/50042717","WorldCat Record")</f>
        <v/>
      </c>
      <c r="AU1354" t="inlineStr">
        <is>
          <t>1005226:eng</t>
        </is>
      </c>
      <c r="AV1354" t="inlineStr">
        <is>
          <t>50042717</t>
        </is>
      </c>
      <c r="AW1354" t="inlineStr">
        <is>
          <t>991004778279702656</t>
        </is>
      </c>
      <c r="AX1354" t="inlineStr">
        <is>
          <t>991004778279702656</t>
        </is>
      </c>
      <c r="AY1354" t="inlineStr">
        <is>
          <t>2257110310002656</t>
        </is>
      </c>
      <c r="AZ1354" t="inlineStr">
        <is>
          <t>BOOK</t>
        </is>
      </c>
      <c r="BB1354" t="inlineStr">
        <is>
          <t>9780325004808</t>
        </is>
      </c>
      <c r="BC1354" t="inlineStr">
        <is>
          <t>32285005065007</t>
        </is>
      </c>
      <c r="BD1354" t="inlineStr">
        <is>
          <t>893353535</t>
        </is>
      </c>
    </row>
    <row r="1355">
      <c r="A1355" t="inlineStr">
        <is>
          <t>No</t>
        </is>
      </c>
      <c r="B1355" t="inlineStr">
        <is>
          <t>LB3051 .H3196 1996</t>
        </is>
      </c>
      <c r="C1355" t="inlineStr">
        <is>
          <t>0                      LB 3051000H  3196        1996</t>
        </is>
      </c>
      <c r="D1355" t="inlineStr">
        <is>
          <t>A Handbook for student performance assessment in an era of restructuring / edited by Robert E. Blum and Judith A. Arter.</t>
        </is>
      </c>
      <c r="F1355" t="inlineStr">
        <is>
          <t>No</t>
        </is>
      </c>
      <c r="G1355" t="inlineStr">
        <is>
          <t>1</t>
        </is>
      </c>
      <c r="H1355" t="inlineStr">
        <is>
          <t>No</t>
        </is>
      </c>
      <c r="I1355" t="inlineStr">
        <is>
          <t>No</t>
        </is>
      </c>
      <c r="J1355" t="inlineStr">
        <is>
          <t>0</t>
        </is>
      </c>
      <c r="L1355" t="inlineStr">
        <is>
          <t>Alexandria, Va. : Association for Supervision and Curriculum Development, c1996.</t>
        </is>
      </c>
      <c r="M1355" t="inlineStr">
        <is>
          <t>1996</t>
        </is>
      </c>
      <c r="O1355" t="inlineStr">
        <is>
          <t>eng</t>
        </is>
      </c>
      <c r="P1355" t="inlineStr">
        <is>
          <t>vau</t>
        </is>
      </c>
      <c r="R1355" t="inlineStr">
        <is>
          <t xml:space="preserve">LB </t>
        </is>
      </c>
      <c r="S1355" t="n">
        <v>4</v>
      </c>
      <c r="T1355" t="n">
        <v>4</v>
      </c>
      <c r="U1355" t="inlineStr">
        <is>
          <t>2000-10-31</t>
        </is>
      </c>
      <c r="V1355" t="inlineStr">
        <is>
          <t>2000-10-31</t>
        </is>
      </c>
      <c r="W1355" t="inlineStr">
        <is>
          <t>1997-11-04</t>
        </is>
      </c>
      <c r="X1355" t="inlineStr">
        <is>
          <t>1997-11-04</t>
        </is>
      </c>
      <c r="Y1355" t="n">
        <v>191</v>
      </c>
      <c r="Z1355" t="n">
        <v>165</v>
      </c>
      <c r="AA1355" t="n">
        <v>167</v>
      </c>
      <c r="AB1355" t="n">
        <v>3</v>
      </c>
      <c r="AC1355" t="n">
        <v>3</v>
      </c>
      <c r="AD1355" t="n">
        <v>13</v>
      </c>
      <c r="AE1355" t="n">
        <v>13</v>
      </c>
      <c r="AF1355" t="n">
        <v>5</v>
      </c>
      <c r="AG1355" t="n">
        <v>5</v>
      </c>
      <c r="AH1355" t="n">
        <v>1</v>
      </c>
      <c r="AI1355" t="n">
        <v>1</v>
      </c>
      <c r="AJ1355" t="n">
        <v>8</v>
      </c>
      <c r="AK1355" t="n">
        <v>8</v>
      </c>
      <c r="AL1355" t="n">
        <v>2</v>
      </c>
      <c r="AM1355" t="n">
        <v>2</v>
      </c>
      <c r="AN1355" t="n">
        <v>0</v>
      </c>
      <c r="AO1355" t="n">
        <v>0</v>
      </c>
      <c r="AP1355" t="inlineStr">
        <is>
          <t>No</t>
        </is>
      </c>
      <c r="AQ1355" t="inlineStr">
        <is>
          <t>No</t>
        </is>
      </c>
      <c r="AS1355">
        <f>HYPERLINK("https://creighton-primo.hosted.exlibrisgroup.com/primo-explore/search?tab=default_tab&amp;search_scope=EVERYTHING&amp;vid=01CRU&amp;lang=en_US&amp;offset=0&amp;query=any,contains,991005423359702656","Catalog Record")</f>
        <v/>
      </c>
      <c r="AT1355">
        <f>HYPERLINK("http://www.worldcat.org/oclc/34355198","WorldCat Record")</f>
        <v/>
      </c>
      <c r="AU1355" t="inlineStr">
        <is>
          <t>323060265:eng</t>
        </is>
      </c>
      <c r="AV1355" t="inlineStr">
        <is>
          <t>34355198</t>
        </is>
      </c>
      <c r="AW1355" t="inlineStr">
        <is>
          <t>991005423359702656</t>
        </is>
      </c>
      <c r="AX1355" t="inlineStr">
        <is>
          <t>991005423359702656</t>
        </is>
      </c>
      <c r="AY1355" t="inlineStr">
        <is>
          <t>2267708870002656</t>
        </is>
      </c>
      <c r="AZ1355" t="inlineStr">
        <is>
          <t>BOOK</t>
        </is>
      </c>
      <c r="BB1355" t="inlineStr">
        <is>
          <t>9780871202673</t>
        </is>
      </c>
      <c r="BC1355" t="inlineStr">
        <is>
          <t>32285003275228</t>
        </is>
      </c>
      <c r="BD1355" t="inlineStr">
        <is>
          <t>893902708</t>
        </is>
      </c>
    </row>
    <row r="1356">
      <c r="A1356" t="inlineStr">
        <is>
          <t>No</t>
        </is>
      </c>
      <c r="B1356" t="inlineStr">
        <is>
          <t>LB3051 .M46246 2001</t>
        </is>
      </c>
      <c r="C1356" t="inlineStr">
        <is>
          <t>0                      LB 3051000M  46246       2001</t>
        </is>
      </c>
      <c r="D1356" t="inlineStr">
        <is>
          <t>Assessment in the block : the link to instruction / Laura L. McCullough, Brenda M. Tanner.</t>
        </is>
      </c>
      <c r="F1356" t="inlineStr">
        <is>
          <t>No</t>
        </is>
      </c>
      <c r="G1356" t="inlineStr">
        <is>
          <t>1</t>
        </is>
      </c>
      <c r="H1356" t="inlineStr">
        <is>
          <t>No</t>
        </is>
      </c>
      <c r="I1356" t="inlineStr">
        <is>
          <t>No</t>
        </is>
      </c>
      <c r="J1356" t="inlineStr">
        <is>
          <t>0</t>
        </is>
      </c>
      <c r="K1356" t="inlineStr">
        <is>
          <t>McCullough, Laura L., 1954-</t>
        </is>
      </c>
      <c r="L1356" t="inlineStr">
        <is>
          <t>Larchmont, NY : Eye on Education, c2001.</t>
        </is>
      </c>
      <c r="M1356" t="inlineStr">
        <is>
          <t>2001</t>
        </is>
      </c>
      <c r="O1356" t="inlineStr">
        <is>
          <t>eng</t>
        </is>
      </c>
      <c r="P1356" t="inlineStr">
        <is>
          <t>nyu</t>
        </is>
      </c>
      <c r="R1356" t="inlineStr">
        <is>
          <t xml:space="preserve">LB </t>
        </is>
      </c>
      <c r="S1356" t="n">
        <v>3</v>
      </c>
      <c r="T1356" t="n">
        <v>3</v>
      </c>
      <c r="U1356" t="inlineStr">
        <is>
          <t>2005-10-25</t>
        </is>
      </c>
      <c r="V1356" t="inlineStr">
        <is>
          <t>2005-10-25</t>
        </is>
      </c>
      <c r="W1356" t="inlineStr">
        <is>
          <t>2001-09-27</t>
        </is>
      </c>
      <c r="X1356" t="inlineStr">
        <is>
          <t>2001-09-27</t>
        </is>
      </c>
      <c r="Y1356" t="n">
        <v>89</v>
      </c>
      <c r="Z1356" t="n">
        <v>88</v>
      </c>
      <c r="AA1356" t="n">
        <v>89</v>
      </c>
      <c r="AB1356" t="n">
        <v>1</v>
      </c>
      <c r="AC1356" t="n">
        <v>1</v>
      </c>
      <c r="AD1356" t="n">
        <v>3</v>
      </c>
      <c r="AE1356" t="n">
        <v>3</v>
      </c>
      <c r="AF1356" t="n">
        <v>1</v>
      </c>
      <c r="AG1356" t="n">
        <v>1</v>
      </c>
      <c r="AH1356" t="n">
        <v>0</v>
      </c>
      <c r="AI1356" t="n">
        <v>0</v>
      </c>
      <c r="AJ1356" t="n">
        <v>3</v>
      </c>
      <c r="AK1356" t="n">
        <v>3</v>
      </c>
      <c r="AL1356" t="n">
        <v>0</v>
      </c>
      <c r="AM1356" t="n">
        <v>0</v>
      </c>
      <c r="AN1356" t="n">
        <v>0</v>
      </c>
      <c r="AO1356" t="n">
        <v>0</v>
      </c>
      <c r="AP1356" t="inlineStr">
        <is>
          <t>No</t>
        </is>
      </c>
      <c r="AQ1356" t="inlineStr">
        <is>
          <t>Yes</t>
        </is>
      </c>
      <c r="AR1356">
        <f>HYPERLINK("http://catalog.hathitrust.org/Record/102015380","HathiTrust Record")</f>
        <v/>
      </c>
      <c r="AS1356">
        <f>HYPERLINK("https://creighton-primo.hosted.exlibrisgroup.com/primo-explore/search?tab=default_tab&amp;search_scope=EVERYTHING&amp;vid=01CRU&amp;lang=en_US&amp;offset=0&amp;query=any,contains,991003609149702656","Catalog Record")</f>
        <v/>
      </c>
      <c r="AT1356">
        <f>HYPERLINK("http://www.worldcat.org/oclc/44802731","WorldCat Record")</f>
        <v/>
      </c>
      <c r="AU1356" t="inlineStr">
        <is>
          <t>477880307:eng</t>
        </is>
      </c>
      <c r="AV1356" t="inlineStr">
        <is>
          <t>44802731</t>
        </is>
      </c>
      <c r="AW1356" t="inlineStr">
        <is>
          <t>991003609149702656</t>
        </is>
      </c>
      <c r="AX1356" t="inlineStr">
        <is>
          <t>991003609149702656</t>
        </is>
      </c>
      <c r="AY1356" t="inlineStr">
        <is>
          <t>2272353690002656</t>
        </is>
      </c>
      <c r="AZ1356" t="inlineStr">
        <is>
          <t>BOOK</t>
        </is>
      </c>
      <c r="BB1356" t="inlineStr">
        <is>
          <t>9781930556072</t>
        </is>
      </c>
      <c r="BC1356" t="inlineStr">
        <is>
          <t>32285004393574</t>
        </is>
      </c>
      <c r="BD1356" t="inlineStr">
        <is>
          <t>893342749</t>
        </is>
      </c>
    </row>
    <row r="1357">
      <c r="A1357" t="inlineStr">
        <is>
          <t>No</t>
        </is>
      </c>
      <c r="B1357" t="inlineStr">
        <is>
          <t>LB3051 .M775 2001</t>
        </is>
      </c>
      <c r="C1357" t="inlineStr">
        <is>
          <t>0                      LB 3051000M  775         2001</t>
        </is>
      </c>
      <c r="D1357" t="inlineStr">
        <is>
          <t>Authentic assessment : a guide for elementary teachers / Kathleen Montgomery.</t>
        </is>
      </c>
      <c r="F1357" t="inlineStr">
        <is>
          <t>No</t>
        </is>
      </c>
      <c r="G1357" t="inlineStr">
        <is>
          <t>1</t>
        </is>
      </c>
      <c r="H1357" t="inlineStr">
        <is>
          <t>No</t>
        </is>
      </c>
      <c r="I1357" t="inlineStr">
        <is>
          <t>No</t>
        </is>
      </c>
      <c r="J1357" t="inlineStr">
        <is>
          <t>0</t>
        </is>
      </c>
      <c r="K1357" t="inlineStr">
        <is>
          <t>Montgomery, Kathleen K.</t>
        </is>
      </c>
      <c r="L1357" t="inlineStr">
        <is>
          <t>New York : Longman, c2001.</t>
        </is>
      </c>
      <c r="M1357" t="inlineStr">
        <is>
          <t>2001</t>
        </is>
      </c>
      <c r="O1357" t="inlineStr">
        <is>
          <t>eng</t>
        </is>
      </c>
      <c r="P1357" t="inlineStr">
        <is>
          <t>nyu</t>
        </is>
      </c>
      <c r="R1357" t="inlineStr">
        <is>
          <t xml:space="preserve">LB </t>
        </is>
      </c>
      <c r="S1357" t="n">
        <v>2</v>
      </c>
      <c r="T1357" t="n">
        <v>2</v>
      </c>
      <c r="U1357" t="inlineStr">
        <is>
          <t>2003-04-24</t>
        </is>
      </c>
      <c r="V1357" t="inlineStr">
        <is>
          <t>2003-04-24</t>
        </is>
      </c>
      <c r="W1357" t="inlineStr">
        <is>
          <t>2001-02-22</t>
        </is>
      </c>
      <c r="X1357" t="inlineStr">
        <is>
          <t>2001-02-22</t>
        </is>
      </c>
      <c r="Y1357" t="n">
        <v>299</v>
      </c>
      <c r="Z1357" t="n">
        <v>259</v>
      </c>
      <c r="AA1357" t="n">
        <v>267</v>
      </c>
      <c r="AB1357" t="n">
        <v>3</v>
      </c>
      <c r="AC1357" t="n">
        <v>3</v>
      </c>
      <c r="AD1357" t="n">
        <v>15</v>
      </c>
      <c r="AE1357" t="n">
        <v>15</v>
      </c>
      <c r="AF1357" t="n">
        <v>4</v>
      </c>
      <c r="AG1357" t="n">
        <v>4</v>
      </c>
      <c r="AH1357" t="n">
        <v>4</v>
      </c>
      <c r="AI1357" t="n">
        <v>4</v>
      </c>
      <c r="AJ1357" t="n">
        <v>10</v>
      </c>
      <c r="AK1357" t="n">
        <v>10</v>
      </c>
      <c r="AL1357" t="n">
        <v>2</v>
      </c>
      <c r="AM1357" t="n">
        <v>2</v>
      </c>
      <c r="AN1357" t="n">
        <v>0</v>
      </c>
      <c r="AO1357" t="n">
        <v>0</v>
      </c>
      <c r="AP1357" t="inlineStr">
        <is>
          <t>No</t>
        </is>
      </c>
      <c r="AQ1357" t="inlineStr">
        <is>
          <t>Yes</t>
        </is>
      </c>
      <c r="AR1357">
        <f>HYPERLINK("http://catalog.hathitrust.org/Record/004124304","HathiTrust Record")</f>
        <v/>
      </c>
      <c r="AS1357">
        <f>HYPERLINK("https://creighton-primo.hosted.exlibrisgroup.com/primo-explore/search?tab=default_tab&amp;search_scope=EVERYTHING&amp;vid=01CRU&amp;lang=en_US&amp;offset=0&amp;query=any,contains,991003468149702656","Catalog Record")</f>
        <v/>
      </c>
      <c r="AT1357">
        <f>HYPERLINK("http://www.worldcat.org/oclc/43634317","WorldCat Record")</f>
        <v/>
      </c>
      <c r="AU1357" t="inlineStr">
        <is>
          <t>793111491:eng</t>
        </is>
      </c>
      <c r="AV1357" t="inlineStr">
        <is>
          <t>43634317</t>
        </is>
      </c>
      <c r="AW1357" t="inlineStr">
        <is>
          <t>991003468149702656</t>
        </is>
      </c>
      <c r="AX1357" t="inlineStr">
        <is>
          <t>991003468149702656</t>
        </is>
      </c>
      <c r="AY1357" t="inlineStr">
        <is>
          <t>2268052070002656</t>
        </is>
      </c>
      <c r="AZ1357" t="inlineStr">
        <is>
          <t>BOOK</t>
        </is>
      </c>
      <c r="BB1357" t="inlineStr">
        <is>
          <t>9780321037824</t>
        </is>
      </c>
      <c r="BC1357" t="inlineStr">
        <is>
          <t>32285004296801</t>
        </is>
      </c>
      <c r="BD1357" t="inlineStr">
        <is>
          <t>893904377</t>
        </is>
      </c>
    </row>
    <row r="1358">
      <c r="A1358" t="inlineStr">
        <is>
          <t>No</t>
        </is>
      </c>
      <c r="B1358" t="inlineStr">
        <is>
          <t>LB3051 .P6146 1991</t>
        </is>
      </c>
      <c r="C1358" t="inlineStr">
        <is>
          <t>0                      LB 3051000P  6146        1991</t>
        </is>
      </c>
      <c r="D1358" t="inlineStr">
        <is>
          <t>Portfolios : process and product / edited by Pat Belanoff and Marcia Dickson ; with a foreword by Peter Elbow.</t>
        </is>
      </c>
      <c r="F1358" t="inlineStr">
        <is>
          <t>No</t>
        </is>
      </c>
      <c r="G1358" t="inlineStr">
        <is>
          <t>1</t>
        </is>
      </c>
      <c r="H1358" t="inlineStr">
        <is>
          <t>No</t>
        </is>
      </c>
      <c r="I1358" t="inlineStr">
        <is>
          <t>No</t>
        </is>
      </c>
      <c r="J1358" t="inlineStr">
        <is>
          <t>0</t>
        </is>
      </c>
      <c r="L1358" t="inlineStr">
        <is>
          <t>Portsmouth, NH : Boynton/Cook Publishers, c1991.</t>
        </is>
      </c>
      <c r="M1358" t="inlineStr">
        <is>
          <t>1991</t>
        </is>
      </c>
      <c r="O1358" t="inlineStr">
        <is>
          <t>eng</t>
        </is>
      </c>
      <c r="P1358" t="inlineStr">
        <is>
          <t>nhu</t>
        </is>
      </c>
      <c r="R1358" t="inlineStr">
        <is>
          <t xml:space="preserve">LB </t>
        </is>
      </c>
      <c r="S1358" t="n">
        <v>12</v>
      </c>
      <c r="T1358" t="n">
        <v>12</v>
      </c>
      <c r="U1358" t="inlineStr">
        <is>
          <t>2005-03-10</t>
        </is>
      </c>
      <c r="V1358" t="inlineStr">
        <is>
          <t>2005-03-10</t>
        </is>
      </c>
      <c r="W1358" t="inlineStr">
        <is>
          <t>1994-04-07</t>
        </is>
      </c>
      <c r="X1358" t="inlineStr">
        <is>
          <t>1994-04-07</t>
        </is>
      </c>
      <c r="Y1358" t="n">
        <v>700</v>
      </c>
      <c r="Z1358" t="n">
        <v>634</v>
      </c>
      <c r="AA1358" t="n">
        <v>646</v>
      </c>
      <c r="AB1358" t="n">
        <v>6</v>
      </c>
      <c r="AC1358" t="n">
        <v>6</v>
      </c>
      <c r="AD1358" t="n">
        <v>30</v>
      </c>
      <c r="AE1358" t="n">
        <v>30</v>
      </c>
      <c r="AF1358" t="n">
        <v>15</v>
      </c>
      <c r="AG1358" t="n">
        <v>15</v>
      </c>
      <c r="AH1358" t="n">
        <v>5</v>
      </c>
      <c r="AI1358" t="n">
        <v>5</v>
      </c>
      <c r="AJ1358" t="n">
        <v>14</v>
      </c>
      <c r="AK1358" t="n">
        <v>14</v>
      </c>
      <c r="AL1358" t="n">
        <v>5</v>
      </c>
      <c r="AM1358" t="n">
        <v>5</v>
      </c>
      <c r="AN1358" t="n">
        <v>0</v>
      </c>
      <c r="AO1358" t="n">
        <v>0</v>
      </c>
      <c r="AP1358" t="inlineStr">
        <is>
          <t>No</t>
        </is>
      </c>
      <c r="AQ1358" t="inlineStr">
        <is>
          <t>Yes</t>
        </is>
      </c>
      <c r="AR1358">
        <f>HYPERLINK("http://catalog.hathitrust.org/Record/002490901","HathiTrust Record")</f>
        <v/>
      </c>
      <c r="AS1358">
        <f>HYPERLINK("https://creighton-primo.hosted.exlibrisgroup.com/primo-explore/search?tab=default_tab&amp;search_scope=EVERYTHING&amp;vid=01CRU&amp;lang=en_US&amp;offset=0&amp;query=any,contains,991001875879702656","Catalog Record")</f>
        <v/>
      </c>
      <c r="AT1358">
        <f>HYPERLINK("http://www.worldcat.org/oclc/23687741","WorldCat Record")</f>
        <v/>
      </c>
      <c r="AU1358" t="inlineStr">
        <is>
          <t>193577009:eng</t>
        </is>
      </c>
      <c r="AV1358" t="inlineStr">
        <is>
          <t>23687741</t>
        </is>
      </c>
      <c r="AW1358" t="inlineStr">
        <is>
          <t>991001875879702656</t>
        </is>
      </c>
      <c r="AX1358" t="inlineStr">
        <is>
          <t>991001875879702656</t>
        </is>
      </c>
      <c r="AY1358" t="inlineStr">
        <is>
          <t>2268085410002656</t>
        </is>
      </c>
      <c r="AZ1358" t="inlineStr">
        <is>
          <t>BOOK</t>
        </is>
      </c>
      <c r="BB1358" t="inlineStr">
        <is>
          <t>9780867092752</t>
        </is>
      </c>
      <c r="BC1358" t="inlineStr">
        <is>
          <t>32285001859627</t>
        </is>
      </c>
      <c r="BD1358" t="inlineStr">
        <is>
          <t>893256585</t>
        </is>
      </c>
    </row>
    <row r="1359">
      <c r="A1359" t="inlineStr">
        <is>
          <t>No</t>
        </is>
      </c>
      <c r="B1359" t="inlineStr">
        <is>
          <t>LB3051 .S586 2001</t>
        </is>
      </c>
      <c r="C1359" t="inlineStr">
        <is>
          <t>0                      LB 3051000S  586         2001</t>
        </is>
      </c>
      <c r="D1359" t="inlineStr">
        <is>
          <t>Natural classroom assessment : designing seamless instruction &amp; assessment / by Jeffrey K. Smith, Lisa F. Smith, Richard De Lisi.</t>
        </is>
      </c>
      <c r="F1359" t="inlineStr">
        <is>
          <t>No</t>
        </is>
      </c>
      <c r="G1359" t="inlineStr">
        <is>
          <t>1</t>
        </is>
      </c>
      <c r="H1359" t="inlineStr">
        <is>
          <t>No</t>
        </is>
      </c>
      <c r="I1359" t="inlineStr">
        <is>
          <t>No</t>
        </is>
      </c>
      <c r="J1359" t="inlineStr">
        <is>
          <t>0</t>
        </is>
      </c>
      <c r="K1359" t="inlineStr">
        <is>
          <t>Smith, Jeffrey K.</t>
        </is>
      </c>
      <c r="L1359" t="inlineStr">
        <is>
          <t>Thousand Oaks, Calif. : Corwin Press, c2001.</t>
        </is>
      </c>
      <c r="M1359" t="inlineStr">
        <is>
          <t>2001</t>
        </is>
      </c>
      <c r="O1359" t="inlineStr">
        <is>
          <t>eng</t>
        </is>
      </c>
      <c r="P1359" t="inlineStr">
        <is>
          <t>cau</t>
        </is>
      </c>
      <c r="Q1359" t="inlineStr">
        <is>
          <t>Experts in assessment</t>
        </is>
      </c>
      <c r="R1359" t="inlineStr">
        <is>
          <t xml:space="preserve">LB </t>
        </is>
      </c>
      <c r="S1359" t="n">
        <v>1</v>
      </c>
      <c r="T1359" t="n">
        <v>1</v>
      </c>
      <c r="U1359" t="inlineStr">
        <is>
          <t>2006-06-20</t>
        </is>
      </c>
      <c r="V1359" t="inlineStr">
        <is>
          <t>2006-06-20</t>
        </is>
      </c>
      <c r="W1359" t="inlineStr">
        <is>
          <t>2006-06-20</t>
        </is>
      </c>
      <c r="X1359" t="inlineStr">
        <is>
          <t>2006-06-20</t>
        </is>
      </c>
      <c r="Y1359" t="n">
        <v>407</v>
      </c>
      <c r="Z1359" t="n">
        <v>346</v>
      </c>
      <c r="AA1359" t="n">
        <v>348</v>
      </c>
      <c r="AB1359" t="n">
        <v>4</v>
      </c>
      <c r="AC1359" t="n">
        <v>4</v>
      </c>
      <c r="AD1359" t="n">
        <v>16</v>
      </c>
      <c r="AE1359" t="n">
        <v>16</v>
      </c>
      <c r="AF1359" t="n">
        <v>5</v>
      </c>
      <c r="AG1359" t="n">
        <v>5</v>
      </c>
      <c r="AH1359" t="n">
        <v>4</v>
      </c>
      <c r="AI1359" t="n">
        <v>4</v>
      </c>
      <c r="AJ1359" t="n">
        <v>8</v>
      </c>
      <c r="AK1359" t="n">
        <v>8</v>
      </c>
      <c r="AL1359" t="n">
        <v>3</v>
      </c>
      <c r="AM1359" t="n">
        <v>3</v>
      </c>
      <c r="AN1359" t="n">
        <v>0</v>
      </c>
      <c r="AO1359" t="n">
        <v>0</v>
      </c>
      <c r="AP1359" t="inlineStr">
        <is>
          <t>No</t>
        </is>
      </c>
      <c r="AQ1359" t="inlineStr">
        <is>
          <t>Yes</t>
        </is>
      </c>
      <c r="AR1359">
        <f>HYPERLINK("http://catalog.hathitrust.org/Record/004138469","HathiTrust Record")</f>
        <v/>
      </c>
      <c r="AS1359">
        <f>HYPERLINK("https://creighton-primo.hosted.exlibrisgroup.com/primo-explore/search?tab=default_tab&amp;search_scope=EVERYTHING&amp;vid=01CRU&amp;lang=en_US&amp;offset=0&amp;query=any,contains,991004765759702656","Catalog Record")</f>
        <v/>
      </c>
      <c r="AT1359">
        <f>HYPERLINK("http://www.worldcat.org/oclc/43810832","WorldCat Record")</f>
        <v/>
      </c>
      <c r="AU1359" t="inlineStr">
        <is>
          <t>44583478:eng</t>
        </is>
      </c>
      <c r="AV1359" t="inlineStr">
        <is>
          <t>43810832</t>
        </is>
      </c>
      <c r="AW1359" t="inlineStr">
        <is>
          <t>991004765759702656</t>
        </is>
      </c>
      <c r="AX1359" t="inlineStr">
        <is>
          <t>991004765759702656</t>
        </is>
      </c>
      <c r="AY1359" t="inlineStr">
        <is>
          <t>2269427480002656</t>
        </is>
      </c>
      <c r="AZ1359" t="inlineStr">
        <is>
          <t>BOOK</t>
        </is>
      </c>
      <c r="BB1359" t="inlineStr">
        <is>
          <t>9780761975861</t>
        </is>
      </c>
      <c r="BC1359" t="inlineStr">
        <is>
          <t>32285005191381</t>
        </is>
      </c>
      <c r="BD1359" t="inlineStr">
        <is>
          <t>893706818</t>
        </is>
      </c>
    </row>
    <row r="1360">
      <c r="A1360" t="inlineStr">
        <is>
          <t>No</t>
        </is>
      </c>
      <c r="B1360" t="inlineStr">
        <is>
          <t>LB3051 .W495 1998</t>
        </is>
      </c>
      <c r="C1360" t="inlineStr">
        <is>
          <t>0                      LB 3051000W  495         1998</t>
        </is>
      </c>
      <c r="D1360" t="inlineStr">
        <is>
          <t>Educative assessment : designing assessments to inform and improve student performance / Grant Wiggins.</t>
        </is>
      </c>
      <c r="F1360" t="inlineStr">
        <is>
          <t>No</t>
        </is>
      </c>
      <c r="G1360" t="inlineStr">
        <is>
          <t>1</t>
        </is>
      </c>
      <c r="H1360" t="inlineStr">
        <is>
          <t>No</t>
        </is>
      </c>
      <c r="I1360" t="inlineStr">
        <is>
          <t>No</t>
        </is>
      </c>
      <c r="J1360" t="inlineStr">
        <is>
          <t>0</t>
        </is>
      </c>
      <c r="K1360" t="inlineStr">
        <is>
          <t>Wiggins, Grant P., 1950-</t>
        </is>
      </c>
      <c r="L1360" t="inlineStr">
        <is>
          <t>San Francisco, Calif. : Jossey-Bass, c1998.</t>
        </is>
      </c>
      <c r="M1360" t="inlineStr">
        <is>
          <t>1998</t>
        </is>
      </c>
      <c r="N1360" t="inlineStr">
        <is>
          <t>1st ed.</t>
        </is>
      </c>
      <c r="O1360" t="inlineStr">
        <is>
          <t>eng</t>
        </is>
      </c>
      <c r="P1360" t="inlineStr">
        <is>
          <t>cau</t>
        </is>
      </c>
      <c r="Q1360" t="inlineStr">
        <is>
          <t>The Jossey-Bass education series</t>
        </is>
      </c>
      <c r="R1360" t="inlineStr">
        <is>
          <t xml:space="preserve">LB </t>
        </is>
      </c>
      <c r="S1360" t="n">
        <v>2</v>
      </c>
      <c r="T1360" t="n">
        <v>2</v>
      </c>
      <c r="U1360" t="inlineStr">
        <is>
          <t>2008-10-28</t>
        </is>
      </c>
      <c r="V1360" t="inlineStr">
        <is>
          <t>2008-10-28</t>
        </is>
      </c>
      <c r="W1360" t="inlineStr">
        <is>
          <t>2003-12-01</t>
        </is>
      </c>
      <c r="X1360" t="inlineStr">
        <is>
          <t>2003-12-01</t>
        </is>
      </c>
      <c r="Y1360" t="n">
        <v>1051</v>
      </c>
      <c r="Z1360" t="n">
        <v>903</v>
      </c>
      <c r="AA1360" t="n">
        <v>1466</v>
      </c>
      <c r="AB1360" t="n">
        <v>9</v>
      </c>
      <c r="AC1360" t="n">
        <v>9</v>
      </c>
      <c r="AD1360" t="n">
        <v>44</v>
      </c>
      <c r="AE1360" t="n">
        <v>48</v>
      </c>
      <c r="AF1360" t="n">
        <v>20</v>
      </c>
      <c r="AG1360" t="n">
        <v>23</v>
      </c>
      <c r="AH1360" t="n">
        <v>8</v>
      </c>
      <c r="AI1360" t="n">
        <v>8</v>
      </c>
      <c r="AJ1360" t="n">
        <v>19</v>
      </c>
      <c r="AK1360" t="n">
        <v>20</v>
      </c>
      <c r="AL1360" t="n">
        <v>8</v>
      </c>
      <c r="AM1360" t="n">
        <v>8</v>
      </c>
      <c r="AN1360" t="n">
        <v>0</v>
      </c>
      <c r="AO1360" t="n">
        <v>0</v>
      </c>
      <c r="AP1360" t="inlineStr">
        <is>
          <t>No</t>
        </is>
      </c>
      <c r="AQ1360" t="inlineStr">
        <is>
          <t>Yes</t>
        </is>
      </c>
      <c r="AR1360">
        <f>HYPERLINK("http://catalog.hathitrust.org/Record/003970687","HathiTrust Record")</f>
        <v/>
      </c>
      <c r="AS1360">
        <f>HYPERLINK("https://creighton-primo.hosted.exlibrisgroup.com/primo-explore/search?tab=default_tab&amp;search_scope=EVERYTHING&amp;vid=01CRU&amp;lang=en_US&amp;offset=0&amp;query=any,contains,991004193969702656","Catalog Record")</f>
        <v/>
      </c>
      <c r="AT1360">
        <f>HYPERLINK("http://www.worldcat.org/oclc/37955806","WorldCat Record")</f>
        <v/>
      </c>
      <c r="AU1360" t="inlineStr">
        <is>
          <t>799973868:eng</t>
        </is>
      </c>
      <c r="AV1360" t="inlineStr">
        <is>
          <t>37955806</t>
        </is>
      </c>
      <c r="AW1360" t="inlineStr">
        <is>
          <t>991004193969702656</t>
        </is>
      </c>
      <c r="AX1360" t="inlineStr">
        <is>
          <t>991004193969702656</t>
        </is>
      </c>
      <c r="AY1360" t="inlineStr">
        <is>
          <t>2257403560002656</t>
        </is>
      </c>
      <c r="AZ1360" t="inlineStr">
        <is>
          <t>BOOK</t>
        </is>
      </c>
      <c r="BB1360" t="inlineStr">
        <is>
          <t>9780787908485</t>
        </is>
      </c>
      <c r="BC1360" t="inlineStr">
        <is>
          <t>32285004842521</t>
        </is>
      </c>
      <c r="BD1360" t="inlineStr">
        <is>
          <t>893247276</t>
        </is>
      </c>
    </row>
    <row r="1361">
      <c r="A1361" t="inlineStr">
        <is>
          <t>No</t>
        </is>
      </c>
      <c r="B1361" t="inlineStr">
        <is>
          <t>LB3060.285.U6 P69 2007</t>
        </is>
      </c>
      <c r="C1361" t="inlineStr">
        <is>
          <t>0                      LB 3060285U  6                  P  69          2007</t>
        </is>
      </c>
      <c r="D1361" t="inlineStr">
        <is>
          <t>The power of protocols : an educator's guide to better practice / Joseph P. McDonald ... [et al.].</t>
        </is>
      </c>
      <c r="F1361" t="inlineStr">
        <is>
          <t>No</t>
        </is>
      </c>
      <c r="G1361" t="inlineStr">
        <is>
          <t>1</t>
        </is>
      </c>
      <c r="H1361" t="inlineStr">
        <is>
          <t>No</t>
        </is>
      </c>
      <c r="I1361" t="inlineStr">
        <is>
          <t>No</t>
        </is>
      </c>
      <c r="J1361" t="inlineStr">
        <is>
          <t>0</t>
        </is>
      </c>
      <c r="L1361" t="inlineStr">
        <is>
          <t>New York : Teachers College Press, c2007.</t>
        </is>
      </c>
      <c r="M1361" t="inlineStr">
        <is>
          <t>2007</t>
        </is>
      </c>
      <c r="N1361" t="inlineStr">
        <is>
          <t>2nd ed.</t>
        </is>
      </c>
      <c r="O1361" t="inlineStr">
        <is>
          <t>eng</t>
        </is>
      </c>
      <c r="P1361" t="inlineStr">
        <is>
          <t>nyu</t>
        </is>
      </c>
      <c r="Q1361" t="inlineStr">
        <is>
          <t>Series on school reform</t>
        </is>
      </c>
      <c r="R1361" t="inlineStr">
        <is>
          <t xml:space="preserve">LB </t>
        </is>
      </c>
      <c r="S1361" t="n">
        <v>1</v>
      </c>
      <c r="T1361" t="n">
        <v>1</v>
      </c>
      <c r="U1361" t="inlineStr">
        <is>
          <t>2010-08-02</t>
        </is>
      </c>
      <c r="V1361" t="inlineStr">
        <is>
          <t>2010-08-02</t>
        </is>
      </c>
      <c r="W1361" t="inlineStr">
        <is>
          <t>2010-07-31</t>
        </is>
      </c>
      <c r="X1361" t="inlineStr">
        <is>
          <t>2010-07-31</t>
        </is>
      </c>
      <c r="Y1361" t="n">
        <v>235</v>
      </c>
      <c r="Z1361" t="n">
        <v>193</v>
      </c>
      <c r="AA1361" t="n">
        <v>577</v>
      </c>
      <c r="AB1361" t="n">
        <v>1</v>
      </c>
      <c r="AC1361" t="n">
        <v>5</v>
      </c>
      <c r="AD1361" t="n">
        <v>8</v>
      </c>
      <c r="AE1361" t="n">
        <v>31</v>
      </c>
      <c r="AF1361" t="n">
        <v>4</v>
      </c>
      <c r="AG1361" t="n">
        <v>15</v>
      </c>
      <c r="AH1361" t="n">
        <v>1</v>
      </c>
      <c r="AI1361" t="n">
        <v>6</v>
      </c>
      <c r="AJ1361" t="n">
        <v>7</v>
      </c>
      <c r="AK1361" t="n">
        <v>14</v>
      </c>
      <c r="AL1361" t="n">
        <v>0</v>
      </c>
      <c r="AM1361" t="n">
        <v>4</v>
      </c>
      <c r="AN1361" t="n">
        <v>0</v>
      </c>
      <c r="AO1361" t="n">
        <v>0</v>
      </c>
      <c r="AP1361" t="inlineStr">
        <is>
          <t>No</t>
        </is>
      </c>
      <c r="AQ1361" t="inlineStr">
        <is>
          <t>Yes</t>
        </is>
      </c>
      <c r="AR1361">
        <f>HYPERLINK("http://catalog.hathitrust.org/Record/005596193","HathiTrust Record")</f>
        <v/>
      </c>
      <c r="AS1361">
        <f>HYPERLINK("https://creighton-primo.hosted.exlibrisgroup.com/primo-explore/search?tab=default_tab&amp;search_scope=EVERYTHING&amp;vid=01CRU&amp;lang=en_US&amp;offset=0&amp;query=any,contains,991000020829702656","Catalog Record")</f>
        <v/>
      </c>
      <c r="AT1361">
        <f>HYPERLINK("http://www.worldcat.org/oclc/77504766","WorldCat Record")</f>
        <v/>
      </c>
      <c r="AU1361" t="inlineStr">
        <is>
          <t>801692268:eng</t>
        </is>
      </c>
      <c r="AV1361" t="inlineStr">
        <is>
          <t>77504766</t>
        </is>
      </c>
      <c r="AW1361" t="inlineStr">
        <is>
          <t>991000020829702656</t>
        </is>
      </c>
      <c r="AX1361" t="inlineStr">
        <is>
          <t>991000020829702656</t>
        </is>
      </c>
      <c r="AY1361" t="inlineStr">
        <is>
          <t>2260988680002656</t>
        </is>
      </c>
      <c r="AZ1361" t="inlineStr">
        <is>
          <t>BOOK</t>
        </is>
      </c>
      <c r="BB1361" t="inlineStr">
        <is>
          <t>9780807747698</t>
        </is>
      </c>
      <c r="BC1361" t="inlineStr">
        <is>
          <t>32285005591333</t>
        </is>
      </c>
      <c r="BD1361" t="inlineStr">
        <is>
          <t>893339195</t>
        </is>
      </c>
    </row>
    <row r="1362">
      <c r="A1362" t="inlineStr">
        <is>
          <t>No</t>
        </is>
      </c>
      <c r="B1362" t="inlineStr">
        <is>
          <t>LB3060.6 .D38 1986</t>
        </is>
      </c>
      <c r="C1362" t="inlineStr">
        <is>
          <t>0                      LB 3060600D  38          1986</t>
        </is>
      </c>
      <c r="D1362" t="inlineStr">
        <is>
          <t>Maximizing examination performance : a psychological approach / Don Davies.</t>
        </is>
      </c>
      <c r="F1362" t="inlineStr">
        <is>
          <t>No</t>
        </is>
      </c>
      <c r="G1362" t="inlineStr">
        <is>
          <t>1</t>
        </is>
      </c>
      <c r="H1362" t="inlineStr">
        <is>
          <t>No</t>
        </is>
      </c>
      <c r="I1362" t="inlineStr">
        <is>
          <t>No</t>
        </is>
      </c>
      <c r="J1362" t="inlineStr">
        <is>
          <t>0</t>
        </is>
      </c>
      <c r="K1362" t="inlineStr">
        <is>
          <t>Davies, Don, 1926-</t>
        </is>
      </c>
      <c r="L1362" t="inlineStr">
        <is>
          <t>New York : Nichols Pub. Co., 1986.</t>
        </is>
      </c>
      <c r="M1362" t="inlineStr">
        <is>
          <t>1986</t>
        </is>
      </c>
      <c r="O1362" t="inlineStr">
        <is>
          <t>eng</t>
        </is>
      </c>
      <c r="P1362" t="inlineStr">
        <is>
          <t>nyu</t>
        </is>
      </c>
      <c r="R1362" t="inlineStr">
        <is>
          <t xml:space="preserve">LB </t>
        </is>
      </c>
      <c r="S1362" t="n">
        <v>10</v>
      </c>
      <c r="T1362" t="n">
        <v>10</v>
      </c>
      <c r="U1362" t="inlineStr">
        <is>
          <t>2007-02-14</t>
        </is>
      </c>
      <c r="V1362" t="inlineStr">
        <is>
          <t>2007-02-14</t>
        </is>
      </c>
      <c r="W1362" t="inlineStr">
        <is>
          <t>1990-02-27</t>
        </is>
      </c>
      <c r="X1362" t="inlineStr">
        <is>
          <t>1990-02-27</t>
        </is>
      </c>
      <c r="Y1362" t="n">
        <v>234</v>
      </c>
      <c r="Z1362" t="n">
        <v>145</v>
      </c>
      <c r="AA1362" t="n">
        <v>147</v>
      </c>
      <c r="AB1362" t="n">
        <v>2</v>
      </c>
      <c r="AC1362" t="n">
        <v>2</v>
      </c>
      <c r="AD1362" t="n">
        <v>7</v>
      </c>
      <c r="AE1362" t="n">
        <v>7</v>
      </c>
      <c r="AF1362" t="n">
        <v>2</v>
      </c>
      <c r="AG1362" t="n">
        <v>2</v>
      </c>
      <c r="AH1362" t="n">
        <v>1</v>
      </c>
      <c r="AI1362" t="n">
        <v>1</v>
      </c>
      <c r="AJ1362" t="n">
        <v>4</v>
      </c>
      <c r="AK1362" t="n">
        <v>4</v>
      </c>
      <c r="AL1362" t="n">
        <v>1</v>
      </c>
      <c r="AM1362" t="n">
        <v>1</v>
      </c>
      <c r="AN1362" t="n">
        <v>0</v>
      </c>
      <c r="AO1362" t="n">
        <v>0</v>
      </c>
      <c r="AP1362" t="inlineStr">
        <is>
          <t>No</t>
        </is>
      </c>
      <c r="AQ1362" t="inlineStr">
        <is>
          <t>Yes</t>
        </is>
      </c>
      <c r="AR1362">
        <f>HYPERLINK("http://catalog.hathitrust.org/Record/000446829","HathiTrust Record")</f>
        <v/>
      </c>
      <c r="AS1362">
        <f>HYPERLINK("https://creighton-primo.hosted.exlibrisgroup.com/primo-explore/search?tab=default_tab&amp;search_scope=EVERYTHING&amp;vid=01CRU&amp;lang=en_US&amp;offset=0&amp;query=any,contains,991000853469702656","Catalog Record")</f>
        <v/>
      </c>
      <c r="AT1362">
        <f>HYPERLINK("http://www.worldcat.org/oclc/13642509","WorldCat Record")</f>
        <v/>
      </c>
      <c r="AU1362" t="inlineStr">
        <is>
          <t>180906253:eng</t>
        </is>
      </c>
      <c r="AV1362" t="inlineStr">
        <is>
          <t>13642509</t>
        </is>
      </c>
      <c r="AW1362" t="inlineStr">
        <is>
          <t>991000853469702656</t>
        </is>
      </c>
      <c r="AX1362" t="inlineStr">
        <is>
          <t>991000853469702656</t>
        </is>
      </c>
      <c r="AY1362" t="inlineStr">
        <is>
          <t>2271903810002656</t>
        </is>
      </c>
      <c r="AZ1362" t="inlineStr">
        <is>
          <t>BOOK</t>
        </is>
      </c>
      <c r="BB1362" t="inlineStr">
        <is>
          <t>9780893972547</t>
        </is>
      </c>
      <c r="BC1362" t="inlineStr">
        <is>
          <t>32285000071638</t>
        </is>
      </c>
      <c r="BD1362" t="inlineStr">
        <is>
          <t>893515673</t>
        </is>
      </c>
    </row>
    <row r="1363">
      <c r="A1363" t="inlineStr">
        <is>
          <t>No</t>
        </is>
      </c>
      <c r="B1363" t="inlineStr">
        <is>
          <t>LB3060.83 .J46 1998</t>
        </is>
      </c>
      <c r="C1363" t="inlineStr">
        <is>
          <t>0                      LB 3060830J  46          1998</t>
        </is>
      </c>
      <c r="D1363" t="inlineStr">
        <is>
          <t>Why national standards and tests? : politics and the quest for better schools / by John F. Jennings.</t>
        </is>
      </c>
      <c r="F1363" t="inlineStr">
        <is>
          <t>No</t>
        </is>
      </c>
      <c r="G1363" t="inlineStr">
        <is>
          <t>1</t>
        </is>
      </c>
      <c r="H1363" t="inlineStr">
        <is>
          <t>No</t>
        </is>
      </c>
      <c r="I1363" t="inlineStr">
        <is>
          <t>No</t>
        </is>
      </c>
      <c r="J1363" t="inlineStr">
        <is>
          <t>0</t>
        </is>
      </c>
      <c r="K1363" t="inlineStr">
        <is>
          <t>Jennings, John F.</t>
        </is>
      </c>
      <c r="L1363" t="inlineStr">
        <is>
          <t>Thousand Oaks, Calif. : Sage Publications, c1998.</t>
        </is>
      </c>
      <c r="M1363" t="inlineStr">
        <is>
          <t>1998</t>
        </is>
      </c>
      <c r="O1363" t="inlineStr">
        <is>
          <t>eng</t>
        </is>
      </c>
      <c r="P1363" t="inlineStr">
        <is>
          <t>cau</t>
        </is>
      </c>
      <c r="R1363" t="inlineStr">
        <is>
          <t xml:space="preserve">LB </t>
        </is>
      </c>
      <c r="S1363" t="n">
        <v>4</v>
      </c>
      <c r="T1363" t="n">
        <v>4</v>
      </c>
      <c r="U1363" t="inlineStr">
        <is>
          <t>2001-04-09</t>
        </is>
      </c>
      <c r="V1363" t="inlineStr">
        <is>
          <t>2001-04-09</t>
        </is>
      </c>
      <c r="W1363" t="inlineStr">
        <is>
          <t>1998-08-26</t>
        </is>
      </c>
      <c r="X1363" t="inlineStr">
        <is>
          <t>1998-08-26</t>
        </is>
      </c>
      <c r="Y1363" t="n">
        <v>814</v>
      </c>
      <c r="Z1363" t="n">
        <v>755</v>
      </c>
      <c r="AA1363" t="n">
        <v>1053</v>
      </c>
      <c r="AB1363" t="n">
        <v>4</v>
      </c>
      <c r="AC1363" t="n">
        <v>6</v>
      </c>
      <c r="AD1363" t="n">
        <v>33</v>
      </c>
      <c r="AE1363" t="n">
        <v>39</v>
      </c>
      <c r="AF1363" t="n">
        <v>15</v>
      </c>
      <c r="AG1363" t="n">
        <v>17</v>
      </c>
      <c r="AH1363" t="n">
        <v>5</v>
      </c>
      <c r="AI1363" t="n">
        <v>7</v>
      </c>
      <c r="AJ1363" t="n">
        <v>17</v>
      </c>
      <c r="AK1363" t="n">
        <v>20</v>
      </c>
      <c r="AL1363" t="n">
        <v>3</v>
      </c>
      <c r="AM1363" t="n">
        <v>5</v>
      </c>
      <c r="AN1363" t="n">
        <v>0</v>
      </c>
      <c r="AO1363" t="n">
        <v>0</v>
      </c>
      <c r="AP1363" t="inlineStr">
        <is>
          <t>No</t>
        </is>
      </c>
      <c r="AQ1363" t="inlineStr">
        <is>
          <t>Yes</t>
        </is>
      </c>
      <c r="AR1363">
        <f>HYPERLINK("http://catalog.hathitrust.org/Record/003977842","HathiTrust Record")</f>
        <v/>
      </c>
      <c r="AS1363">
        <f>HYPERLINK("https://creighton-primo.hosted.exlibrisgroup.com/primo-explore/search?tab=default_tab&amp;search_scope=EVERYTHING&amp;vid=01CRU&amp;lang=en_US&amp;offset=0&amp;query=any,contains,991002884099702656","Catalog Record")</f>
        <v/>
      </c>
      <c r="AT1363">
        <f>HYPERLINK("http://www.worldcat.org/oclc/38010587","WorldCat Record")</f>
        <v/>
      </c>
      <c r="AU1363" t="inlineStr">
        <is>
          <t>590949:eng</t>
        </is>
      </c>
      <c r="AV1363" t="inlineStr">
        <is>
          <t>38010587</t>
        </is>
      </c>
      <c r="AW1363" t="inlineStr">
        <is>
          <t>991002884099702656</t>
        </is>
      </c>
      <c r="AX1363" t="inlineStr">
        <is>
          <t>991002884099702656</t>
        </is>
      </c>
      <c r="AY1363" t="inlineStr">
        <is>
          <t>2261109370002656</t>
        </is>
      </c>
      <c r="AZ1363" t="inlineStr">
        <is>
          <t>BOOK</t>
        </is>
      </c>
      <c r="BB1363" t="inlineStr">
        <is>
          <t>9780761914754</t>
        </is>
      </c>
      <c r="BC1363" t="inlineStr">
        <is>
          <t>32285003462909</t>
        </is>
      </c>
      <c r="BD1363" t="inlineStr">
        <is>
          <t>893415761</t>
        </is>
      </c>
    </row>
    <row r="1364">
      <c r="A1364" t="inlineStr">
        <is>
          <t>No</t>
        </is>
      </c>
      <c r="B1364" t="inlineStr">
        <is>
          <t>LB3060.83 .R38 1995</t>
        </is>
      </c>
      <c r="C1364" t="inlineStr">
        <is>
          <t>0                      LB 3060830R  38          1995</t>
        </is>
      </c>
      <c r="D1364" t="inlineStr">
        <is>
          <t>National standards in American education : a citizen's guide / Diane Ravitch.</t>
        </is>
      </c>
      <c r="F1364" t="inlineStr">
        <is>
          <t>No</t>
        </is>
      </c>
      <c r="G1364" t="inlineStr">
        <is>
          <t>1</t>
        </is>
      </c>
      <c r="H1364" t="inlineStr">
        <is>
          <t>No</t>
        </is>
      </c>
      <c r="I1364" t="inlineStr">
        <is>
          <t>No</t>
        </is>
      </c>
      <c r="J1364" t="inlineStr">
        <is>
          <t>0</t>
        </is>
      </c>
      <c r="K1364" t="inlineStr">
        <is>
          <t>Ravitch, Diane.</t>
        </is>
      </c>
      <c r="L1364" t="inlineStr">
        <is>
          <t>Washington, D.C. : Brookings, c1995.</t>
        </is>
      </c>
      <c r="M1364" t="inlineStr">
        <is>
          <t>1995</t>
        </is>
      </c>
      <c r="O1364" t="inlineStr">
        <is>
          <t>eng</t>
        </is>
      </c>
      <c r="P1364" t="inlineStr">
        <is>
          <t>dcu</t>
        </is>
      </c>
      <c r="R1364" t="inlineStr">
        <is>
          <t xml:space="preserve">LB </t>
        </is>
      </c>
      <c r="S1364" t="n">
        <v>8</v>
      </c>
      <c r="T1364" t="n">
        <v>8</v>
      </c>
      <c r="U1364" t="inlineStr">
        <is>
          <t>2001-12-07</t>
        </is>
      </c>
      <c r="V1364" t="inlineStr">
        <is>
          <t>2001-12-07</t>
        </is>
      </c>
      <c r="W1364" t="inlineStr">
        <is>
          <t>1995-02-16</t>
        </is>
      </c>
      <c r="X1364" t="inlineStr">
        <is>
          <t>1995-02-16</t>
        </is>
      </c>
      <c r="Y1364" t="n">
        <v>997</v>
      </c>
      <c r="Z1364" t="n">
        <v>918</v>
      </c>
      <c r="AA1364" t="n">
        <v>935</v>
      </c>
      <c r="AB1364" t="n">
        <v>7</v>
      </c>
      <c r="AC1364" t="n">
        <v>7</v>
      </c>
      <c r="AD1364" t="n">
        <v>43</v>
      </c>
      <c r="AE1364" t="n">
        <v>43</v>
      </c>
      <c r="AF1364" t="n">
        <v>20</v>
      </c>
      <c r="AG1364" t="n">
        <v>20</v>
      </c>
      <c r="AH1364" t="n">
        <v>8</v>
      </c>
      <c r="AI1364" t="n">
        <v>8</v>
      </c>
      <c r="AJ1364" t="n">
        <v>20</v>
      </c>
      <c r="AK1364" t="n">
        <v>20</v>
      </c>
      <c r="AL1364" t="n">
        <v>6</v>
      </c>
      <c r="AM1364" t="n">
        <v>6</v>
      </c>
      <c r="AN1364" t="n">
        <v>1</v>
      </c>
      <c r="AO1364" t="n">
        <v>1</v>
      </c>
      <c r="AP1364" t="inlineStr">
        <is>
          <t>No</t>
        </is>
      </c>
      <c r="AQ1364" t="inlineStr">
        <is>
          <t>Yes</t>
        </is>
      </c>
      <c r="AR1364">
        <f>HYPERLINK("http://catalog.hathitrust.org/Record/002952841","HathiTrust Record")</f>
        <v/>
      </c>
      <c r="AS1364">
        <f>HYPERLINK("https://creighton-primo.hosted.exlibrisgroup.com/primo-explore/search?tab=default_tab&amp;search_scope=EVERYTHING&amp;vid=01CRU&amp;lang=en_US&amp;offset=0&amp;query=any,contains,991002410309702656","Catalog Record")</f>
        <v/>
      </c>
      <c r="AT1364">
        <f>HYPERLINK("http://www.worldcat.org/oclc/31375140","WorldCat Record")</f>
        <v/>
      </c>
      <c r="AU1364" t="inlineStr">
        <is>
          <t>907701:eng</t>
        </is>
      </c>
      <c r="AV1364" t="inlineStr">
        <is>
          <t>31375140</t>
        </is>
      </c>
      <c r="AW1364" t="inlineStr">
        <is>
          <t>991002410309702656</t>
        </is>
      </c>
      <c r="AX1364" t="inlineStr">
        <is>
          <t>991002410309702656</t>
        </is>
      </c>
      <c r="AY1364" t="inlineStr">
        <is>
          <t>2256551930002656</t>
        </is>
      </c>
      <c r="AZ1364" t="inlineStr">
        <is>
          <t>BOOK</t>
        </is>
      </c>
      <c r="BB1364" t="inlineStr">
        <is>
          <t>9780815773528</t>
        </is>
      </c>
      <c r="BC1364" t="inlineStr">
        <is>
          <t>32285002005717</t>
        </is>
      </c>
      <c r="BD1364" t="inlineStr">
        <is>
          <t>893879885</t>
        </is>
      </c>
    </row>
    <row r="1365">
      <c r="A1365" t="inlineStr">
        <is>
          <t>No</t>
        </is>
      </c>
      <c r="B1365" t="inlineStr">
        <is>
          <t>LB3061 .F46</t>
        </is>
      </c>
      <c r="C1365" t="inlineStr">
        <is>
          <t>0                      LB 3061000F  46</t>
        </is>
      </c>
      <c r="D1365" t="inlineStr">
        <is>
          <t>The pros and cons of ability grouping / by Warren G. Findley and Miriam M. Bryan.</t>
        </is>
      </c>
      <c r="F1365" t="inlineStr">
        <is>
          <t>No</t>
        </is>
      </c>
      <c r="G1365" t="inlineStr">
        <is>
          <t>1</t>
        </is>
      </c>
      <c r="H1365" t="inlineStr">
        <is>
          <t>No</t>
        </is>
      </c>
      <c r="I1365" t="inlineStr">
        <is>
          <t>No</t>
        </is>
      </c>
      <c r="J1365" t="inlineStr">
        <is>
          <t>0</t>
        </is>
      </c>
      <c r="K1365" t="inlineStr">
        <is>
          <t>Findley, Warren George, 1906-1986.</t>
        </is>
      </c>
      <c r="L1365" t="inlineStr">
        <is>
          <t>Bloomington, Ind. : Phi Delta Kappa Educational Foundation, c1975.</t>
        </is>
      </c>
      <c r="M1365" t="inlineStr">
        <is>
          <t>1975</t>
        </is>
      </c>
      <c r="O1365" t="inlineStr">
        <is>
          <t>eng</t>
        </is>
      </c>
      <c r="P1365" t="inlineStr">
        <is>
          <t>inu</t>
        </is>
      </c>
      <c r="Q1365" t="inlineStr">
        <is>
          <t>Fastback - Phi Delta Kappa Educational Foundation ; 66</t>
        </is>
      </c>
      <c r="R1365" t="inlineStr">
        <is>
          <t xml:space="preserve">LB </t>
        </is>
      </c>
      <c r="S1365" t="n">
        <v>1</v>
      </c>
      <c r="T1365" t="n">
        <v>1</v>
      </c>
      <c r="U1365" t="inlineStr">
        <is>
          <t>2002-11-25</t>
        </is>
      </c>
      <c r="V1365" t="inlineStr">
        <is>
          <t>2002-11-25</t>
        </is>
      </c>
      <c r="W1365" t="inlineStr">
        <is>
          <t>1997-05-30</t>
        </is>
      </c>
      <c r="X1365" t="inlineStr">
        <is>
          <t>1997-05-30</t>
        </is>
      </c>
      <c r="Y1365" t="n">
        <v>318</v>
      </c>
      <c r="Z1365" t="n">
        <v>282</v>
      </c>
      <c r="AA1365" t="n">
        <v>289</v>
      </c>
      <c r="AB1365" t="n">
        <v>2</v>
      </c>
      <c r="AC1365" t="n">
        <v>2</v>
      </c>
      <c r="AD1365" t="n">
        <v>8</v>
      </c>
      <c r="AE1365" t="n">
        <v>8</v>
      </c>
      <c r="AF1365" t="n">
        <v>4</v>
      </c>
      <c r="AG1365" t="n">
        <v>4</v>
      </c>
      <c r="AH1365" t="n">
        <v>2</v>
      </c>
      <c r="AI1365" t="n">
        <v>2</v>
      </c>
      <c r="AJ1365" t="n">
        <v>4</v>
      </c>
      <c r="AK1365" t="n">
        <v>4</v>
      </c>
      <c r="AL1365" t="n">
        <v>1</v>
      </c>
      <c r="AM1365" t="n">
        <v>1</v>
      </c>
      <c r="AN1365" t="n">
        <v>0</v>
      </c>
      <c r="AO1365" t="n">
        <v>0</v>
      </c>
      <c r="AP1365" t="inlineStr">
        <is>
          <t>No</t>
        </is>
      </c>
      <c r="AQ1365" t="inlineStr">
        <is>
          <t>Yes</t>
        </is>
      </c>
      <c r="AR1365">
        <f>HYPERLINK("http://catalog.hathitrust.org/Record/004434800","HathiTrust Record")</f>
        <v/>
      </c>
      <c r="AS1365">
        <f>HYPERLINK("https://creighton-primo.hosted.exlibrisgroup.com/primo-explore/search?tab=default_tab&amp;search_scope=EVERYTHING&amp;vid=01CRU&amp;lang=en_US&amp;offset=0&amp;query=any,contains,991003951009702656","Catalog Record")</f>
        <v/>
      </c>
      <c r="AT1365">
        <f>HYPERLINK("http://www.worldcat.org/oclc/1958115","WorldCat Record")</f>
        <v/>
      </c>
      <c r="AU1365" t="inlineStr">
        <is>
          <t>521209:eng</t>
        </is>
      </c>
      <c r="AV1365" t="inlineStr">
        <is>
          <t>1958115</t>
        </is>
      </c>
      <c r="AW1365" t="inlineStr">
        <is>
          <t>991003951009702656</t>
        </is>
      </c>
      <c r="AX1365" t="inlineStr">
        <is>
          <t>991003951009702656</t>
        </is>
      </c>
      <c r="AY1365" t="inlineStr">
        <is>
          <t>2262953530002656</t>
        </is>
      </c>
      <c r="AZ1365" t="inlineStr">
        <is>
          <t>BOOK</t>
        </is>
      </c>
      <c r="BB1365" t="inlineStr">
        <is>
          <t>9780873670661</t>
        </is>
      </c>
      <c r="BC1365" t="inlineStr">
        <is>
          <t>32285002743663</t>
        </is>
      </c>
      <c r="BD1365" t="inlineStr">
        <is>
          <t>893775419</t>
        </is>
      </c>
    </row>
    <row r="1366">
      <c r="A1366" t="inlineStr">
        <is>
          <t>No</t>
        </is>
      </c>
      <c r="B1366" t="inlineStr">
        <is>
          <t>LB3061 .S316 1996</t>
        </is>
      </c>
      <c r="C1366" t="inlineStr">
        <is>
          <t>0                      LB 3061000S  316         1996</t>
        </is>
      </c>
      <c r="D1366" t="inlineStr">
        <is>
          <t>Constructing school success : the consequences of untracking low-achieving students / Hugh Mehan ... [et al.].</t>
        </is>
      </c>
      <c r="F1366" t="inlineStr">
        <is>
          <t>No</t>
        </is>
      </c>
      <c r="G1366" t="inlineStr">
        <is>
          <t>1</t>
        </is>
      </c>
      <c r="H1366" t="inlineStr">
        <is>
          <t>No</t>
        </is>
      </c>
      <c r="I1366" t="inlineStr">
        <is>
          <t>No</t>
        </is>
      </c>
      <c r="J1366" t="inlineStr">
        <is>
          <t>0</t>
        </is>
      </c>
      <c r="L1366" t="inlineStr">
        <is>
          <t>Cambridge [England] ; New York : Cambridge University Press, 1996.</t>
        </is>
      </c>
      <c r="M1366" t="inlineStr">
        <is>
          <t>1996</t>
        </is>
      </c>
      <c r="O1366" t="inlineStr">
        <is>
          <t>eng</t>
        </is>
      </c>
      <c r="P1366" t="inlineStr">
        <is>
          <t>enk</t>
        </is>
      </c>
      <c r="R1366" t="inlineStr">
        <is>
          <t xml:space="preserve">LB </t>
        </is>
      </c>
      <c r="S1366" t="n">
        <v>4</v>
      </c>
      <c r="T1366" t="n">
        <v>4</v>
      </c>
      <c r="U1366" t="inlineStr">
        <is>
          <t>2002-10-02</t>
        </is>
      </c>
      <c r="V1366" t="inlineStr">
        <is>
          <t>2002-10-02</t>
        </is>
      </c>
      <c r="W1366" t="inlineStr">
        <is>
          <t>1996-08-21</t>
        </is>
      </c>
      <c r="X1366" t="inlineStr">
        <is>
          <t>1996-08-21</t>
        </is>
      </c>
      <c r="Y1366" t="n">
        <v>401</v>
      </c>
      <c r="Z1366" t="n">
        <v>319</v>
      </c>
      <c r="AA1366" t="n">
        <v>336</v>
      </c>
      <c r="AB1366" t="n">
        <v>3</v>
      </c>
      <c r="AC1366" t="n">
        <v>3</v>
      </c>
      <c r="AD1366" t="n">
        <v>17</v>
      </c>
      <c r="AE1366" t="n">
        <v>17</v>
      </c>
      <c r="AF1366" t="n">
        <v>6</v>
      </c>
      <c r="AG1366" t="n">
        <v>6</v>
      </c>
      <c r="AH1366" t="n">
        <v>4</v>
      </c>
      <c r="AI1366" t="n">
        <v>4</v>
      </c>
      <c r="AJ1366" t="n">
        <v>10</v>
      </c>
      <c r="AK1366" t="n">
        <v>10</v>
      </c>
      <c r="AL1366" t="n">
        <v>2</v>
      </c>
      <c r="AM1366" t="n">
        <v>2</v>
      </c>
      <c r="AN1366" t="n">
        <v>0</v>
      </c>
      <c r="AO1366" t="n">
        <v>0</v>
      </c>
      <c r="AP1366" t="inlineStr">
        <is>
          <t>No</t>
        </is>
      </c>
      <c r="AQ1366" t="inlineStr">
        <is>
          <t>No</t>
        </is>
      </c>
      <c r="AS1366">
        <f>HYPERLINK("https://creighton-primo.hosted.exlibrisgroup.com/primo-explore/search?tab=default_tab&amp;search_scope=EVERYTHING&amp;vid=01CRU&amp;lang=en_US&amp;offset=0&amp;query=any,contains,991002547619702656","Catalog Record")</f>
        <v/>
      </c>
      <c r="AT1366">
        <f>HYPERLINK("http://www.worldcat.org/oclc/33101886","WorldCat Record")</f>
        <v/>
      </c>
      <c r="AU1366" t="inlineStr">
        <is>
          <t>836993737:eng</t>
        </is>
      </c>
      <c r="AV1366" t="inlineStr">
        <is>
          <t>33101886</t>
        </is>
      </c>
      <c r="AW1366" t="inlineStr">
        <is>
          <t>991002547619702656</t>
        </is>
      </c>
      <c r="AX1366" t="inlineStr">
        <is>
          <t>991002547619702656</t>
        </is>
      </c>
      <c r="AY1366" t="inlineStr">
        <is>
          <t>2272635900002656</t>
        </is>
      </c>
      <c r="AZ1366" t="inlineStr">
        <is>
          <t>BOOK</t>
        </is>
      </c>
      <c r="BB1366" t="inlineStr">
        <is>
          <t>9780521560764</t>
        </is>
      </c>
      <c r="BC1366" t="inlineStr">
        <is>
          <t>32285002291358</t>
        </is>
      </c>
      <c r="BD1366" t="inlineStr">
        <is>
          <t>893691729</t>
        </is>
      </c>
    </row>
    <row r="1367">
      <c r="A1367" t="inlineStr">
        <is>
          <t>No</t>
        </is>
      </c>
      <c r="B1367" t="inlineStr">
        <is>
          <t>LB3061.8 .L68 1999</t>
        </is>
      </c>
      <c r="C1367" t="inlineStr">
        <is>
          <t>0                      LB 3061800L  68          1999</t>
        </is>
      </c>
      <c r="D1367" t="inlineStr">
        <is>
          <t>The tracking wars : state reform meets school policy / Tom Loveless.</t>
        </is>
      </c>
      <c r="F1367" t="inlineStr">
        <is>
          <t>No</t>
        </is>
      </c>
      <c r="G1367" t="inlineStr">
        <is>
          <t>1</t>
        </is>
      </c>
      <c r="H1367" t="inlineStr">
        <is>
          <t>No</t>
        </is>
      </c>
      <c r="I1367" t="inlineStr">
        <is>
          <t>No</t>
        </is>
      </c>
      <c r="J1367" t="inlineStr">
        <is>
          <t>0</t>
        </is>
      </c>
      <c r="K1367" t="inlineStr">
        <is>
          <t>Loveless, Tom, 1954-</t>
        </is>
      </c>
      <c r="L1367" t="inlineStr">
        <is>
          <t>Washington, D.C. : Brookings Institution Press, c1999.</t>
        </is>
      </c>
      <c r="M1367" t="inlineStr">
        <is>
          <t>1999</t>
        </is>
      </c>
      <c r="O1367" t="inlineStr">
        <is>
          <t>eng</t>
        </is>
      </c>
      <c r="P1367" t="inlineStr">
        <is>
          <t>dcu</t>
        </is>
      </c>
      <c r="R1367" t="inlineStr">
        <is>
          <t xml:space="preserve">LB </t>
        </is>
      </c>
      <c r="S1367" t="n">
        <v>4</v>
      </c>
      <c r="T1367" t="n">
        <v>4</v>
      </c>
      <c r="U1367" t="inlineStr">
        <is>
          <t>2002-10-02</t>
        </is>
      </c>
      <c r="V1367" t="inlineStr">
        <is>
          <t>2002-10-02</t>
        </is>
      </c>
      <c r="W1367" t="inlineStr">
        <is>
          <t>1999-08-18</t>
        </is>
      </c>
      <c r="X1367" t="inlineStr">
        <is>
          <t>1999-08-18</t>
        </is>
      </c>
      <c r="Y1367" t="n">
        <v>587</v>
      </c>
      <c r="Z1367" t="n">
        <v>550</v>
      </c>
      <c r="AA1367" t="n">
        <v>556</v>
      </c>
      <c r="AB1367" t="n">
        <v>3</v>
      </c>
      <c r="AC1367" t="n">
        <v>3</v>
      </c>
      <c r="AD1367" t="n">
        <v>29</v>
      </c>
      <c r="AE1367" t="n">
        <v>29</v>
      </c>
      <c r="AF1367" t="n">
        <v>9</v>
      </c>
      <c r="AG1367" t="n">
        <v>9</v>
      </c>
      <c r="AH1367" t="n">
        <v>8</v>
      </c>
      <c r="AI1367" t="n">
        <v>8</v>
      </c>
      <c r="AJ1367" t="n">
        <v>18</v>
      </c>
      <c r="AK1367" t="n">
        <v>18</v>
      </c>
      <c r="AL1367" t="n">
        <v>2</v>
      </c>
      <c r="AM1367" t="n">
        <v>2</v>
      </c>
      <c r="AN1367" t="n">
        <v>1</v>
      </c>
      <c r="AO1367" t="n">
        <v>1</v>
      </c>
      <c r="AP1367" t="inlineStr">
        <is>
          <t>No</t>
        </is>
      </c>
      <c r="AQ1367" t="inlineStr">
        <is>
          <t>No</t>
        </is>
      </c>
      <c r="AS1367">
        <f>HYPERLINK("https://creighton-primo.hosted.exlibrisgroup.com/primo-explore/search?tab=default_tab&amp;search_scope=EVERYTHING&amp;vid=01CRU&amp;lang=en_US&amp;offset=0&amp;query=any,contains,991003021709702656","Catalog Record")</f>
        <v/>
      </c>
      <c r="AT1367">
        <f>HYPERLINK("http://www.worldcat.org/oclc/41184970","WorldCat Record")</f>
        <v/>
      </c>
      <c r="AU1367" t="inlineStr">
        <is>
          <t>14261886:eng</t>
        </is>
      </c>
      <c r="AV1367" t="inlineStr">
        <is>
          <t>41184970</t>
        </is>
      </c>
      <c r="AW1367" t="inlineStr">
        <is>
          <t>991003021709702656</t>
        </is>
      </c>
      <c r="AX1367" t="inlineStr">
        <is>
          <t>991003021709702656</t>
        </is>
      </c>
      <c r="AY1367" t="inlineStr">
        <is>
          <t>2262567670002656</t>
        </is>
      </c>
      <c r="AZ1367" t="inlineStr">
        <is>
          <t>BOOK</t>
        </is>
      </c>
      <c r="BB1367" t="inlineStr">
        <is>
          <t>9780815753056</t>
        </is>
      </c>
      <c r="BC1367" t="inlineStr">
        <is>
          <t>32285003582755</t>
        </is>
      </c>
      <c r="BD1367" t="inlineStr">
        <is>
          <t>893692301</t>
        </is>
      </c>
    </row>
    <row r="1368">
      <c r="A1368" t="inlineStr">
        <is>
          <t>No</t>
        </is>
      </c>
      <c r="B1368" t="inlineStr">
        <is>
          <t>LB3062 .O5</t>
        </is>
      </c>
      <c r="C1368" t="inlineStr">
        <is>
          <t>0                      LB 3062000O  5</t>
        </is>
      </c>
      <c r="D1368" t="inlineStr">
        <is>
          <t>A Catholic case against segregation / foreword by Richard Cardinal Cushing.</t>
        </is>
      </c>
      <c r="F1368" t="inlineStr">
        <is>
          <t>No</t>
        </is>
      </c>
      <c r="G1368" t="inlineStr">
        <is>
          <t>1</t>
        </is>
      </c>
      <c r="H1368" t="inlineStr">
        <is>
          <t>No</t>
        </is>
      </c>
      <c r="I1368" t="inlineStr">
        <is>
          <t>No</t>
        </is>
      </c>
      <c r="J1368" t="inlineStr">
        <is>
          <t>0</t>
        </is>
      </c>
      <c r="K1368" t="inlineStr">
        <is>
          <t>O'Neill, Joseph E. (Joseph Eugene), 1910-, editor.</t>
        </is>
      </c>
      <c r="L1368" t="inlineStr">
        <is>
          <t>New York : Macmillan, 1961.</t>
        </is>
      </c>
      <c r="M1368" t="inlineStr">
        <is>
          <t>1961</t>
        </is>
      </c>
      <c r="O1368" t="inlineStr">
        <is>
          <t>eng</t>
        </is>
      </c>
      <c r="P1368" t="inlineStr">
        <is>
          <t>nyu</t>
        </is>
      </c>
      <c r="R1368" t="inlineStr">
        <is>
          <t xml:space="preserve">LB </t>
        </is>
      </c>
      <c r="S1368" t="n">
        <v>1</v>
      </c>
      <c r="T1368" t="n">
        <v>1</v>
      </c>
      <c r="U1368" t="inlineStr">
        <is>
          <t>2009-09-27</t>
        </is>
      </c>
      <c r="V1368" t="inlineStr">
        <is>
          <t>2009-09-27</t>
        </is>
      </c>
      <c r="W1368" t="inlineStr">
        <is>
          <t>1991-04-10</t>
        </is>
      </c>
      <c r="X1368" t="inlineStr">
        <is>
          <t>1991-04-10</t>
        </is>
      </c>
      <c r="Y1368" t="n">
        <v>344</v>
      </c>
      <c r="Z1368" t="n">
        <v>319</v>
      </c>
      <c r="AA1368" t="n">
        <v>467</v>
      </c>
      <c r="AB1368" t="n">
        <v>2</v>
      </c>
      <c r="AC1368" t="n">
        <v>4</v>
      </c>
      <c r="AD1368" t="n">
        <v>28</v>
      </c>
      <c r="AE1368" t="n">
        <v>37</v>
      </c>
      <c r="AF1368" t="n">
        <v>6</v>
      </c>
      <c r="AG1368" t="n">
        <v>8</v>
      </c>
      <c r="AH1368" t="n">
        <v>8</v>
      </c>
      <c r="AI1368" t="n">
        <v>9</v>
      </c>
      <c r="AJ1368" t="n">
        <v>21</v>
      </c>
      <c r="AK1368" t="n">
        <v>21</v>
      </c>
      <c r="AL1368" t="n">
        <v>1</v>
      </c>
      <c r="AM1368" t="n">
        <v>2</v>
      </c>
      <c r="AN1368" t="n">
        <v>0</v>
      </c>
      <c r="AO1368" t="n">
        <v>6</v>
      </c>
      <c r="AP1368" t="inlineStr">
        <is>
          <t>No</t>
        </is>
      </c>
      <c r="AQ1368" t="inlineStr">
        <is>
          <t>No</t>
        </is>
      </c>
      <c r="AR1368">
        <f>HYPERLINK("http://catalog.hathitrust.org/Record/001284765","HathiTrust Record")</f>
        <v/>
      </c>
      <c r="AS1368">
        <f>HYPERLINK("https://creighton-primo.hosted.exlibrisgroup.com/primo-explore/search?tab=default_tab&amp;search_scope=EVERYTHING&amp;vid=01CRU&amp;lang=en_US&amp;offset=0&amp;query=any,contains,991003256889702656","Catalog Record")</f>
        <v/>
      </c>
      <c r="AT1368">
        <f>HYPERLINK("http://www.worldcat.org/oclc/782378","WorldCat Record")</f>
        <v/>
      </c>
      <c r="AU1368" t="inlineStr">
        <is>
          <t>1710194:eng</t>
        </is>
      </c>
      <c r="AV1368" t="inlineStr">
        <is>
          <t>782378</t>
        </is>
      </c>
      <c r="AW1368" t="inlineStr">
        <is>
          <t>991003256889702656</t>
        </is>
      </c>
      <c r="AX1368" t="inlineStr">
        <is>
          <t>991003256889702656</t>
        </is>
      </c>
      <c r="AY1368" t="inlineStr">
        <is>
          <t>2263271140002656</t>
        </is>
      </c>
      <c r="AZ1368" t="inlineStr">
        <is>
          <t>BOOK</t>
        </is>
      </c>
      <c r="BC1368" t="inlineStr">
        <is>
          <t>32285000555002</t>
        </is>
      </c>
      <c r="BD1368" t="inlineStr">
        <is>
          <t>893692535</t>
        </is>
      </c>
    </row>
    <row r="1369">
      <c r="A1369" t="inlineStr">
        <is>
          <t>No</t>
        </is>
      </c>
      <c r="B1369" t="inlineStr">
        <is>
          <t>LB3063 .H627 1990</t>
        </is>
      </c>
      <c r="C1369" t="inlineStr">
        <is>
          <t>0                      LB 3063000H  627         1990</t>
        </is>
      </c>
      <c r="D1369" t="inlineStr">
        <is>
          <t>How children fail / John Holt.</t>
        </is>
      </c>
      <c r="F1369" t="inlineStr">
        <is>
          <t>No</t>
        </is>
      </c>
      <c r="G1369" t="inlineStr">
        <is>
          <t>1</t>
        </is>
      </c>
      <c r="H1369" t="inlineStr">
        <is>
          <t>No</t>
        </is>
      </c>
      <c r="I1369" t="inlineStr">
        <is>
          <t>No</t>
        </is>
      </c>
      <c r="J1369" t="inlineStr">
        <is>
          <t>0</t>
        </is>
      </c>
      <c r="K1369" t="inlineStr">
        <is>
          <t>Holt, John Caldwell, 1923-1985.</t>
        </is>
      </c>
      <c r="L1369" t="inlineStr">
        <is>
          <t>Harmondsworth, England : Penguin, 1990.</t>
        </is>
      </c>
      <c r="M1369" t="inlineStr">
        <is>
          <t>1990</t>
        </is>
      </c>
      <c r="N1369" t="inlineStr">
        <is>
          <t>Rev. ed.</t>
        </is>
      </c>
      <c r="O1369" t="inlineStr">
        <is>
          <t>eng</t>
        </is>
      </c>
      <c r="P1369" t="inlineStr">
        <is>
          <t>enk</t>
        </is>
      </c>
      <c r="R1369" t="inlineStr">
        <is>
          <t xml:space="preserve">LB </t>
        </is>
      </c>
      <c r="S1369" t="n">
        <v>1</v>
      </c>
      <c r="T1369" t="n">
        <v>1</v>
      </c>
      <c r="U1369" t="inlineStr">
        <is>
          <t>2009-04-14</t>
        </is>
      </c>
      <c r="V1369" t="inlineStr">
        <is>
          <t>2009-04-14</t>
        </is>
      </c>
      <c r="W1369" t="inlineStr">
        <is>
          <t>2004-03-03</t>
        </is>
      </c>
      <c r="X1369" t="inlineStr">
        <is>
          <t>2004-03-03</t>
        </is>
      </c>
      <c r="Y1369" t="n">
        <v>76</v>
      </c>
      <c r="Z1369" t="n">
        <v>2</v>
      </c>
      <c r="AA1369" t="n">
        <v>2285</v>
      </c>
      <c r="AB1369" t="n">
        <v>1</v>
      </c>
      <c r="AC1369" t="n">
        <v>18</v>
      </c>
      <c r="AD1369" t="n">
        <v>0</v>
      </c>
      <c r="AE1369" t="n">
        <v>55</v>
      </c>
      <c r="AF1369" t="n">
        <v>0</v>
      </c>
      <c r="AG1369" t="n">
        <v>24</v>
      </c>
      <c r="AH1369" t="n">
        <v>0</v>
      </c>
      <c r="AI1369" t="n">
        <v>10</v>
      </c>
      <c r="AJ1369" t="n">
        <v>0</v>
      </c>
      <c r="AK1369" t="n">
        <v>23</v>
      </c>
      <c r="AL1369" t="n">
        <v>0</v>
      </c>
      <c r="AM1369" t="n">
        <v>10</v>
      </c>
      <c r="AN1369" t="n">
        <v>0</v>
      </c>
      <c r="AO1369" t="n">
        <v>0</v>
      </c>
      <c r="AP1369" t="inlineStr">
        <is>
          <t>No</t>
        </is>
      </c>
      <c r="AQ1369" t="inlineStr">
        <is>
          <t>No</t>
        </is>
      </c>
      <c r="AS1369">
        <f>HYPERLINK("https://creighton-primo.hosted.exlibrisgroup.com/primo-explore/search?tab=default_tab&amp;search_scope=EVERYTHING&amp;vid=01CRU&amp;lang=en_US&amp;offset=0&amp;query=any,contains,991004224319702656","Catalog Record")</f>
        <v/>
      </c>
      <c r="AT1369">
        <f>HYPERLINK("http://www.worldcat.org/oclc/36112665","WorldCat Record")</f>
        <v/>
      </c>
      <c r="AU1369" t="inlineStr">
        <is>
          <t>57296592:eng</t>
        </is>
      </c>
      <c r="AV1369" t="inlineStr">
        <is>
          <t>36112665</t>
        </is>
      </c>
      <c r="AW1369" t="inlineStr">
        <is>
          <t>991004224319702656</t>
        </is>
      </c>
      <c r="AX1369" t="inlineStr">
        <is>
          <t>991004224319702656</t>
        </is>
      </c>
      <c r="AY1369" t="inlineStr">
        <is>
          <t>2268067310002656</t>
        </is>
      </c>
      <c r="AZ1369" t="inlineStr">
        <is>
          <t>BOOK</t>
        </is>
      </c>
      <c r="BB1369" t="inlineStr">
        <is>
          <t>9780140135565</t>
        </is>
      </c>
      <c r="BC1369" t="inlineStr">
        <is>
          <t>32285004892302</t>
        </is>
      </c>
      <c r="BD1369" t="inlineStr">
        <is>
          <t>893875836</t>
        </is>
      </c>
    </row>
    <row r="1370">
      <c r="A1370" t="inlineStr">
        <is>
          <t>No</t>
        </is>
      </c>
      <c r="B1370" t="inlineStr">
        <is>
          <t>LB3066 .R56 1990</t>
        </is>
      </c>
      <c r="C1370" t="inlineStr">
        <is>
          <t>0                      LB 3066000R  56          1990</t>
        </is>
      </c>
      <c r="D1370" t="inlineStr">
        <is>
          <t>Girls and boys in school : together or separate? / Cornelius Riordan ; foreword by James S. Coleman.</t>
        </is>
      </c>
      <c r="F1370" t="inlineStr">
        <is>
          <t>No</t>
        </is>
      </c>
      <c r="G1370" t="inlineStr">
        <is>
          <t>1</t>
        </is>
      </c>
      <c r="H1370" t="inlineStr">
        <is>
          <t>No</t>
        </is>
      </c>
      <c r="I1370" t="inlineStr">
        <is>
          <t>No</t>
        </is>
      </c>
      <c r="J1370" t="inlineStr">
        <is>
          <t>0</t>
        </is>
      </c>
      <c r="K1370" t="inlineStr">
        <is>
          <t>Riordan, Cornelius H., 1940-</t>
        </is>
      </c>
      <c r="L1370" t="inlineStr">
        <is>
          <t>New York : Teachers College Press, Teachers College, Columbia University, c1990.</t>
        </is>
      </c>
      <c r="M1370" t="inlineStr">
        <is>
          <t>1990</t>
        </is>
      </c>
      <c r="O1370" t="inlineStr">
        <is>
          <t>eng</t>
        </is>
      </c>
      <c r="P1370" t="inlineStr">
        <is>
          <t>nyu</t>
        </is>
      </c>
      <c r="R1370" t="inlineStr">
        <is>
          <t xml:space="preserve">LB </t>
        </is>
      </c>
      <c r="S1370" t="n">
        <v>26</v>
      </c>
      <c r="T1370" t="n">
        <v>26</v>
      </c>
      <c r="U1370" t="inlineStr">
        <is>
          <t>2009-04-14</t>
        </is>
      </c>
      <c r="V1370" t="inlineStr">
        <is>
          <t>2009-04-14</t>
        </is>
      </c>
      <c r="W1370" t="inlineStr">
        <is>
          <t>1990-11-05</t>
        </is>
      </c>
      <c r="X1370" t="inlineStr">
        <is>
          <t>1990-11-05</t>
        </is>
      </c>
      <c r="Y1370" t="n">
        <v>666</v>
      </c>
      <c r="Z1370" t="n">
        <v>574</v>
      </c>
      <c r="AA1370" t="n">
        <v>578</v>
      </c>
      <c r="AB1370" t="n">
        <v>5</v>
      </c>
      <c r="AC1370" t="n">
        <v>5</v>
      </c>
      <c r="AD1370" t="n">
        <v>29</v>
      </c>
      <c r="AE1370" t="n">
        <v>29</v>
      </c>
      <c r="AF1370" t="n">
        <v>13</v>
      </c>
      <c r="AG1370" t="n">
        <v>13</v>
      </c>
      <c r="AH1370" t="n">
        <v>6</v>
      </c>
      <c r="AI1370" t="n">
        <v>6</v>
      </c>
      <c r="AJ1370" t="n">
        <v>13</v>
      </c>
      <c r="AK1370" t="n">
        <v>13</v>
      </c>
      <c r="AL1370" t="n">
        <v>4</v>
      </c>
      <c r="AM1370" t="n">
        <v>4</v>
      </c>
      <c r="AN1370" t="n">
        <v>0</v>
      </c>
      <c r="AO1370" t="n">
        <v>0</v>
      </c>
      <c r="AP1370" t="inlineStr">
        <is>
          <t>No</t>
        </is>
      </c>
      <c r="AQ1370" t="inlineStr">
        <is>
          <t>No</t>
        </is>
      </c>
      <c r="AS1370">
        <f>HYPERLINK("https://creighton-primo.hosted.exlibrisgroup.com/primo-explore/search?tab=default_tab&amp;search_scope=EVERYTHING&amp;vid=01CRU&amp;lang=en_US&amp;offset=0&amp;query=any,contains,991001550629702656","Catalog Record")</f>
        <v/>
      </c>
      <c r="AT1370">
        <f>HYPERLINK("http://www.worldcat.org/oclc/20219602","WorldCat Record")</f>
        <v/>
      </c>
      <c r="AU1370" t="inlineStr">
        <is>
          <t>240261688:eng</t>
        </is>
      </c>
      <c r="AV1370" t="inlineStr">
        <is>
          <t>20219602</t>
        </is>
      </c>
      <c r="AW1370" t="inlineStr">
        <is>
          <t>991001550629702656</t>
        </is>
      </c>
      <c r="AX1370" t="inlineStr">
        <is>
          <t>991001550629702656</t>
        </is>
      </c>
      <c r="AY1370" t="inlineStr">
        <is>
          <t>2272242390002656</t>
        </is>
      </c>
      <c r="AZ1370" t="inlineStr">
        <is>
          <t>BOOK</t>
        </is>
      </c>
      <c r="BB1370" t="inlineStr">
        <is>
          <t>9780807729939</t>
        </is>
      </c>
      <c r="BC1370" t="inlineStr">
        <is>
          <t>32285005063424</t>
        </is>
      </c>
      <c r="BD1370" t="inlineStr">
        <is>
          <t>893432918</t>
        </is>
      </c>
    </row>
    <row r="1371">
      <c r="A1371" t="inlineStr">
        <is>
          <t>No</t>
        </is>
      </c>
      <c r="B1371" t="inlineStr">
        <is>
          <t>LB3092 .H68 1985</t>
        </is>
      </c>
      <c r="C1371" t="inlineStr">
        <is>
          <t>0                      LB 3092000H  68          1985</t>
        </is>
      </c>
      <c r="D1371" t="inlineStr">
        <is>
          <t>How to involve the student in classroom decision making / edited by William J. Stewart.</t>
        </is>
      </c>
      <c r="F1371" t="inlineStr">
        <is>
          <t>No</t>
        </is>
      </c>
      <c r="G1371" t="inlineStr">
        <is>
          <t>1</t>
        </is>
      </c>
      <c r="H1371" t="inlineStr">
        <is>
          <t>No</t>
        </is>
      </c>
      <c r="I1371" t="inlineStr">
        <is>
          <t>No</t>
        </is>
      </c>
      <c r="J1371" t="inlineStr">
        <is>
          <t>0</t>
        </is>
      </c>
      <c r="L1371" t="inlineStr">
        <is>
          <t>Saratoga, Calif. : R &amp; E Publishers, [1985?]</t>
        </is>
      </c>
      <c r="M1371" t="inlineStr">
        <is>
          <t>1985</t>
        </is>
      </c>
      <c r="O1371" t="inlineStr">
        <is>
          <t>eng</t>
        </is>
      </c>
      <c r="P1371" t="inlineStr">
        <is>
          <t>cau</t>
        </is>
      </c>
      <c r="R1371" t="inlineStr">
        <is>
          <t xml:space="preserve">LB </t>
        </is>
      </c>
      <c r="S1371" t="n">
        <v>5</v>
      </c>
      <c r="T1371" t="n">
        <v>5</v>
      </c>
      <c r="U1371" t="inlineStr">
        <is>
          <t>2009-03-19</t>
        </is>
      </c>
      <c r="V1371" t="inlineStr">
        <is>
          <t>2009-03-19</t>
        </is>
      </c>
      <c r="W1371" t="inlineStr">
        <is>
          <t>1995-05-01</t>
        </is>
      </c>
      <c r="X1371" t="inlineStr">
        <is>
          <t>1995-05-01</t>
        </is>
      </c>
      <c r="Y1371" t="n">
        <v>158</v>
      </c>
      <c r="Z1371" t="n">
        <v>143</v>
      </c>
      <c r="AA1371" t="n">
        <v>143</v>
      </c>
      <c r="AB1371" t="n">
        <v>2</v>
      </c>
      <c r="AC1371" t="n">
        <v>2</v>
      </c>
      <c r="AD1371" t="n">
        <v>4</v>
      </c>
      <c r="AE1371" t="n">
        <v>4</v>
      </c>
      <c r="AF1371" t="n">
        <v>2</v>
      </c>
      <c r="AG1371" t="n">
        <v>2</v>
      </c>
      <c r="AH1371" t="n">
        <v>1</v>
      </c>
      <c r="AI1371" t="n">
        <v>1</v>
      </c>
      <c r="AJ1371" t="n">
        <v>2</v>
      </c>
      <c r="AK1371" t="n">
        <v>2</v>
      </c>
      <c r="AL1371" t="n">
        <v>1</v>
      </c>
      <c r="AM1371" t="n">
        <v>1</v>
      </c>
      <c r="AN1371" t="n">
        <v>0</v>
      </c>
      <c r="AO1371" t="n">
        <v>0</v>
      </c>
      <c r="AP1371" t="inlineStr">
        <is>
          <t>No</t>
        </is>
      </c>
      <c r="AQ1371" t="inlineStr">
        <is>
          <t>No</t>
        </is>
      </c>
      <c r="AS1371">
        <f>HYPERLINK("https://creighton-primo.hosted.exlibrisgroup.com/primo-explore/search?tab=default_tab&amp;search_scope=EVERYTHING&amp;vid=01CRU&amp;lang=en_US&amp;offset=0&amp;query=any,contains,991000723599702656","Catalog Record")</f>
        <v/>
      </c>
      <c r="AT1371">
        <f>HYPERLINK("http://www.worldcat.org/oclc/12677293","WorldCat Record")</f>
        <v/>
      </c>
      <c r="AU1371" t="inlineStr">
        <is>
          <t>180567837:eng</t>
        </is>
      </c>
      <c r="AV1371" t="inlineStr">
        <is>
          <t>12677293</t>
        </is>
      </c>
      <c r="AW1371" t="inlineStr">
        <is>
          <t>991000723599702656</t>
        </is>
      </c>
      <c r="AX1371" t="inlineStr">
        <is>
          <t>991000723599702656</t>
        </is>
      </c>
      <c r="AY1371" t="inlineStr">
        <is>
          <t>2270483400002656</t>
        </is>
      </c>
      <c r="AZ1371" t="inlineStr">
        <is>
          <t>BOOK</t>
        </is>
      </c>
      <c r="BB1371" t="inlineStr">
        <is>
          <t>9780882477374</t>
        </is>
      </c>
      <c r="BC1371" t="inlineStr">
        <is>
          <t>32285002020898</t>
        </is>
      </c>
      <c r="BD1371" t="inlineStr">
        <is>
          <t>893614447</t>
        </is>
      </c>
    </row>
    <row r="1372">
      <c r="A1372" t="inlineStr">
        <is>
          <t>No</t>
        </is>
      </c>
      <c r="B1372" t="inlineStr">
        <is>
          <t>LB3223.3 .D65 2000</t>
        </is>
      </c>
      <c r="C1372" t="inlineStr">
        <is>
          <t>0                      LB 3223300D  65          2000</t>
        </is>
      </c>
      <c r="D1372" t="inlineStr">
        <is>
          <t>Campus landscape : functions, forms, features / Richard P. Dober.</t>
        </is>
      </c>
      <c r="F1372" t="inlineStr">
        <is>
          <t>No</t>
        </is>
      </c>
      <c r="G1372" t="inlineStr">
        <is>
          <t>1</t>
        </is>
      </c>
      <c r="H1372" t="inlineStr">
        <is>
          <t>No</t>
        </is>
      </c>
      <c r="I1372" t="inlineStr">
        <is>
          <t>No</t>
        </is>
      </c>
      <c r="J1372" t="inlineStr">
        <is>
          <t>0</t>
        </is>
      </c>
      <c r="K1372" t="inlineStr">
        <is>
          <t>Dober, Richard P.</t>
        </is>
      </c>
      <c r="L1372" t="inlineStr">
        <is>
          <t>New York : Wiley, c2000.</t>
        </is>
      </c>
      <c r="M1372" t="inlineStr">
        <is>
          <t>2000</t>
        </is>
      </c>
      <c r="O1372" t="inlineStr">
        <is>
          <t>eng</t>
        </is>
      </c>
      <c r="P1372" t="inlineStr">
        <is>
          <t>nyu</t>
        </is>
      </c>
      <c r="R1372" t="inlineStr">
        <is>
          <t xml:space="preserve">LB </t>
        </is>
      </c>
      <c r="S1372" t="n">
        <v>1</v>
      </c>
      <c r="T1372" t="n">
        <v>1</v>
      </c>
      <c r="U1372" t="inlineStr">
        <is>
          <t>2000-11-30</t>
        </is>
      </c>
      <c r="V1372" t="inlineStr">
        <is>
          <t>2000-11-30</t>
        </is>
      </c>
      <c r="W1372" t="inlineStr">
        <is>
          <t>2000-11-30</t>
        </is>
      </c>
      <c r="X1372" t="inlineStr">
        <is>
          <t>2000-11-30</t>
        </is>
      </c>
      <c r="Y1372" t="n">
        <v>295</v>
      </c>
      <c r="Z1372" t="n">
        <v>208</v>
      </c>
      <c r="AA1372" t="n">
        <v>211</v>
      </c>
      <c r="AB1372" t="n">
        <v>3</v>
      </c>
      <c r="AC1372" t="n">
        <v>3</v>
      </c>
      <c r="AD1372" t="n">
        <v>6</v>
      </c>
      <c r="AE1372" t="n">
        <v>6</v>
      </c>
      <c r="AF1372" t="n">
        <v>2</v>
      </c>
      <c r="AG1372" t="n">
        <v>2</v>
      </c>
      <c r="AH1372" t="n">
        <v>0</v>
      </c>
      <c r="AI1372" t="n">
        <v>0</v>
      </c>
      <c r="AJ1372" t="n">
        <v>2</v>
      </c>
      <c r="AK1372" t="n">
        <v>2</v>
      </c>
      <c r="AL1372" t="n">
        <v>2</v>
      </c>
      <c r="AM1372" t="n">
        <v>2</v>
      </c>
      <c r="AN1372" t="n">
        <v>0</v>
      </c>
      <c r="AO1372" t="n">
        <v>0</v>
      </c>
      <c r="AP1372" t="inlineStr">
        <is>
          <t>No</t>
        </is>
      </c>
      <c r="AQ1372" t="inlineStr">
        <is>
          <t>Yes</t>
        </is>
      </c>
      <c r="AR1372">
        <f>HYPERLINK("http://catalog.hathitrust.org/Record/004323323","HathiTrust Record")</f>
        <v/>
      </c>
      <c r="AS1372">
        <f>HYPERLINK("https://creighton-primo.hosted.exlibrisgroup.com/primo-explore/search?tab=default_tab&amp;search_scope=EVERYTHING&amp;vid=01CRU&amp;lang=en_US&amp;offset=0&amp;query=any,contains,991003328349702656","Catalog Record")</f>
        <v/>
      </c>
      <c r="AT1372">
        <f>HYPERLINK("http://www.worldcat.org/oclc/42733725","WorldCat Record")</f>
        <v/>
      </c>
      <c r="AU1372" t="inlineStr">
        <is>
          <t>476156740:eng</t>
        </is>
      </c>
      <c r="AV1372" t="inlineStr">
        <is>
          <t>42733725</t>
        </is>
      </c>
      <c r="AW1372" t="inlineStr">
        <is>
          <t>991003328349702656</t>
        </is>
      </c>
      <c r="AX1372" t="inlineStr">
        <is>
          <t>991003328349702656</t>
        </is>
      </c>
      <c r="AY1372" t="inlineStr">
        <is>
          <t>2258099650002656</t>
        </is>
      </c>
      <c r="AZ1372" t="inlineStr">
        <is>
          <t>BOOK</t>
        </is>
      </c>
      <c r="BB1372" t="inlineStr">
        <is>
          <t>9780471353560</t>
        </is>
      </c>
      <c r="BC1372" t="inlineStr">
        <is>
          <t>32285004268149</t>
        </is>
      </c>
      <c r="BD1372" t="inlineStr">
        <is>
          <t>893774628</t>
        </is>
      </c>
    </row>
    <row r="1373">
      <c r="A1373" t="inlineStr">
        <is>
          <t>No</t>
        </is>
      </c>
      <c r="B1373" t="inlineStr">
        <is>
          <t>LB3409.U5 H42 1995</t>
        </is>
      </c>
      <c r="C1373" t="inlineStr">
        <is>
          <t>0                      LB 3409000U  5                  H  42          1995</t>
        </is>
      </c>
      <c r="D1373" t="inlineStr">
        <is>
          <t>The healthy school handbook : conquering the sick building syndrome and other environmental hazards in and around your school / Norma L. Miller, editor.</t>
        </is>
      </c>
      <c r="F1373" t="inlineStr">
        <is>
          <t>No</t>
        </is>
      </c>
      <c r="G1373" t="inlineStr">
        <is>
          <t>1</t>
        </is>
      </c>
      <c r="H1373" t="inlineStr">
        <is>
          <t>No</t>
        </is>
      </c>
      <c r="I1373" t="inlineStr">
        <is>
          <t>No</t>
        </is>
      </c>
      <c r="J1373" t="inlineStr">
        <is>
          <t>0</t>
        </is>
      </c>
      <c r="L1373" t="inlineStr">
        <is>
          <t>Washington, D.C. : NEA Professional Library, National Education Association, 1995.</t>
        </is>
      </c>
      <c r="M1373" t="inlineStr">
        <is>
          <t>1995</t>
        </is>
      </c>
      <c r="O1373" t="inlineStr">
        <is>
          <t>eng</t>
        </is>
      </c>
      <c r="P1373" t="inlineStr">
        <is>
          <t>dcu</t>
        </is>
      </c>
      <c r="R1373" t="inlineStr">
        <is>
          <t xml:space="preserve">LB </t>
        </is>
      </c>
      <c r="S1373" t="n">
        <v>2</v>
      </c>
      <c r="T1373" t="n">
        <v>2</v>
      </c>
      <c r="U1373" t="inlineStr">
        <is>
          <t>1995-09-01</t>
        </is>
      </c>
      <c r="V1373" t="inlineStr">
        <is>
          <t>1995-09-01</t>
        </is>
      </c>
      <c r="W1373" t="inlineStr">
        <is>
          <t>1995-08-14</t>
        </is>
      </c>
      <c r="X1373" t="inlineStr">
        <is>
          <t>1995-08-14</t>
        </is>
      </c>
      <c r="Y1373" t="n">
        <v>332</v>
      </c>
      <c r="Z1373" t="n">
        <v>317</v>
      </c>
      <c r="AA1373" t="n">
        <v>319</v>
      </c>
      <c r="AB1373" t="n">
        <v>5</v>
      </c>
      <c r="AC1373" t="n">
        <v>5</v>
      </c>
      <c r="AD1373" t="n">
        <v>14</v>
      </c>
      <c r="AE1373" t="n">
        <v>14</v>
      </c>
      <c r="AF1373" t="n">
        <v>5</v>
      </c>
      <c r="AG1373" t="n">
        <v>5</v>
      </c>
      <c r="AH1373" t="n">
        <v>3</v>
      </c>
      <c r="AI1373" t="n">
        <v>3</v>
      </c>
      <c r="AJ1373" t="n">
        <v>7</v>
      </c>
      <c r="AK1373" t="n">
        <v>7</v>
      </c>
      <c r="AL1373" t="n">
        <v>3</v>
      </c>
      <c r="AM1373" t="n">
        <v>3</v>
      </c>
      <c r="AN1373" t="n">
        <v>0</v>
      </c>
      <c r="AO1373" t="n">
        <v>0</v>
      </c>
      <c r="AP1373" t="inlineStr">
        <is>
          <t>No</t>
        </is>
      </c>
      <c r="AQ1373" t="inlineStr">
        <is>
          <t>No</t>
        </is>
      </c>
      <c r="AS1373">
        <f>HYPERLINK("https://creighton-primo.hosted.exlibrisgroup.com/primo-explore/search?tab=default_tab&amp;search_scope=EVERYTHING&amp;vid=01CRU&amp;lang=en_US&amp;offset=0&amp;query=any,contains,991002462619702656","Catalog Record")</f>
        <v/>
      </c>
      <c r="AT1373">
        <f>HYPERLINK("http://www.worldcat.org/oclc/32088718","WorldCat Record")</f>
        <v/>
      </c>
      <c r="AU1373" t="inlineStr">
        <is>
          <t>55913635:eng</t>
        </is>
      </c>
      <c r="AV1373" t="inlineStr">
        <is>
          <t>32088718</t>
        </is>
      </c>
      <c r="AW1373" t="inlineStr">
        <is>
          <t>991002462619702656</t>
        </is>
      </c>
      <c r="AX1373" t="inlineStr">
        <is>
          <t>991002462619702656</t>
        </is>
      </c>
      <c r="AY1373" t="inlineStr">
        <is>
          <t>2272457800002656</t>
        </is>
      </c>
      <c r="AZ1373" t="inlineStr">
        <is>
          <t>BOOK</t>
        </is>
      </c>
      <c r="BB1373" t="inlineStr">
        <is>
          <t>9780810618633</t>
        </is>
      </c>
      <c r="BC1373" t="inlineStr">
        <is>
          <t>32285002058617</t>
        </is>
      </c>
      <c r="BD1373" t="inlineStr">
        <is>
          <t>893440169</t>
        </is>
      </c>
    </row>
    <row r="1374">
      <c r="A1374" t="inlineStr">
        <is>
          <t>No</t>
        </is>
      </c>
      <c r="B1374" t="inlineStr">
        <is>
          <t>LB3602.S8363 S24</t>
        </is>
      </c>
      <c r="C1374" t="inlineStr">
        <is>
          <t>0                      LB 3602000S  8363               S  24</t>
        </is>
      </c>
      <c r="D1374" t="inlineStr">
        <is>
          <t>SDS.</t>
        </is>
      </c>
      <c r="F1374" t="inlineStr">
        <is>
          <t>No</t>
        </is>
      </c>
      <c r="G1374" t="inlineStr">
        <is>
          <t>1</t>
        </is>
      </c>
      <c r="H1374" t="inlineStr">
        <is>
          <t>No</t>
        </is>
      </c>
      <c r="I1374" t="inlineStr">
        <is>
          <t>No</t>
        </is>
      </c>
      <c r="J1374" t="inlineStr">
        <is>
          <t>0</t>
        </is>
      </c>
      <c r="K1374" t="inlineStr">
        <is>
          <t>Sale, Kirkpatrick.</t>
        </is>
      </c>
      <c r="L1374" t="inlineStr">
        <is>
          <t>New York, Random House [1973]</t>
        </is>
      </c>
      <c r="M1374" t="inlineStr">
        <is>
          <t>1973</t>
        </is>
      </c>
      <c r="N1374" t="inlineStr">
        <is>
          <t>[1st ed.]</t>
        </is>
      </c>
      <c r="O1374" t="inlineStr">
        <is>
          <t>eng</t>
        </is>
      </c>
      <c r="P1374" t="inlineStr">
        <is>
          <t>nyu</t>
        </is>
      </c>
      <c r="R1374" t="inlineStr">
        <is>
          <t xml:space="preserve">LB </t>
        </is>
      </c>
      <c r="S1374" t="n">
        <v>7</v>
      </c>
      <c r="T1374" t="n">
        <v>7</v>
      </c>
      <c r="U1374" t="inlineStr">
        <is>
          <t>2007-09-13</t>
        </is>
      </c>
      <c r="V1374" t="inlineStr">
        <is>
          <t>2007-09-13</t>
        </is>
      </c>
      <c r="W1374" t="inlineStr">
        <is>
          <t>1992-05-06</t>
        </is>
      </c>
      <c r="X1374" t="inlineStr">
        <is>
          <t>1992-05-06</t>
        </is>
      </c>
      <c r="Y1374" t="n">
        <v>883</v>
      </c>
      <c r="Z1374" t="n">
        <v>802</v>
      </c>
      <c r="AA1374" t="n">
        <v>893</v>
      </c>
      <c r="AB1374" t="n">
        <v>6</v>
      </c>
      <c r="AC1374" t="n">
        <v>6</v>
      </c>
      <c r="AD1374" t="n">
        <v>30</v>
      </c>
      <c r="AE1374" t="n">
        <v>32</v>
      </c>
      <c r="AF1374" t="n">
        <v>11</v>
      </c>
      <c r="AG1374" t="n">
        <v>12</v>
      </c>
      <c r="AH1374" t="n">
        <v>5</v>
      </c>
      <c r="AI1374" t="n">
        <v>6</v>
      </c>
      <c r="AJ1374" t="n">
        <v>15</v>
      </c>
      <c r="AK1374" t="n">
        <v>16</v>
      </c>
      <c r="AL1374" t="n">
        <v>5</v>
      </c>
      <c r="AM1374" t="n">
        <v>5</v>
      </c>
      <c r="AN1374" t="n">
        <v>0</v>
      </c>
      <c r="AO1374" t="n">
        <v>0</v>
      </c>
      <c r="AP1374" t="inlineStr">
        <is>
          <t>No</t>
        </is>
      </c>
      <c r="AQ1374" t="inlineStr">
        <is>
          <t>Yes</t>
        </is>
      </c>
      <c r="AR1374">
        <f>HYPERLINK("http://catalog.hathitrust.org/Record/003935452","HathiTrust Record")</f>
        <v/>
      </c>
      <c r="AS1374">
        <f>HYPERLINK("https://creighton-primo.hosted.exlibrisgroup.com/primo-explore/search?tab=default_tab&amp;search_scope=EVERYTHING&amp;vid=01CRU&amp;lang=en_US&amp;offset=0&amp;query=any,contains,991002900079702656","Catalog Record")</f>
        <v/>
      </c>
      <c r="AT1374">
        <f>HYPERLINK("http://www.worldcat.org/oclc/516345","WorldCat Record")</f>
        <v/>
      </c>
      <c r="AU1374" t="inlineStr">
        <is>
          <t>1498660:eng</t>
        </is>
      </c>
      <c r="AV1374" t="inlineStr">
        <is>
          <t>516345</t>
        </is>
      </c>
      <c r="AW1374" t="inlineStr">
        <is>
          <t>991002900079702656</t>
        </is>
      </c>
      <c r="AX1374" t="inlineStr">
        <is>
          <t>991002900079702656</t>
        </is>
      </c>
      <c r="AY1374" t="inlineStr">
        <is>
          <t>2256549950002656</t>
        </is>
      </c>
      <c r="AZ1374" t="inlineStr">
        <is>
          <t>BOOK</t>
        </is>
      </c>
      <c r="BB1374" t="inlineStr">
        <is>
          <t>9780394478890</t>
        </is>
      </c>
      <c r="BC1374" t="inlineStr">
        <is>
          <t>32285001121531</t>
        </is>
      </c>
      <c r="BD1374" t="inlineStr">
        <is>
          <t>893329695</t>
        </is>
      </c>
    </row>
    <row r="1375">
      <c r="A1375" t="inlineStr">
        <is>
          <t>No</t>
        </is>
      </c>
      <c r="B1375" t="inlineStr">
        <is>
          <t>LB3605 .E537</t>
        </is>
      </c>
      <c r="C1375" t="inlineStr">
        <is>
          <t>0                      LB 3605000E  537</t>
        </is>
      </c>
      <c r="D1375" t="inlineStr">
        <is>
          <t>Encouraging development in college students / Clyde A. Parker, editor.</t>
        </is>
      </c>
      <c r="F1375" t="inlineStr">
        <is>
          <t>No</t>
        </is>
      </c>
      <c r="G1375" t="inlineStr">
        <is>
          <t>1</t>
        </is>
      </c>
      <c r="H1375" t="inlineStr">
        <is>
          <t>No</t>
        </is>
      </c>
      <c r="I1375" t="inlineStr">
        <is>
          <t>No</t>
        </is>
      </c>
      <c r="J1375" t="inlineStr">
        <is>
          <t>0</t>
        </is>
      </c>
      <c r="L1375" t="inlineStr">
        <is>
          <t>Minneapolis : University of Minnesota Press, c1978.</t>
        </is>
      </c>
      <c r="M1375" t="inlineStr">
        <is>
          <t>1978</t>
        </is>
      </c>
      <c r="O1375" t="inlineStr">
        <is>
          <t>eng</t>
        </is>
      </c>
      <c r="P1375" t="inlineStr">
        <is>
          <t>mnu</t>
        </is>
      </c>
      <c r="Q1375" t="inlineStr">
        <is>
          <t>Minnesota library on student personnel work</t>
        </is>
      </c>
      <c r="R1375" t="inlineStr">
        <is>
          <t xml:space="preserve">LB </t>
        </is>
      </c>
      <c r="S1375" t="n">
        <v>3</v>
      </c>
      <c r="T1375" t="n">
        <v>3</v>
      </c>
      <c r="U1375" t="inlineStr">
        <is>
          <t>2006-11-29</t>
        </is>
      </c>
      <c r="V1375" t="inlineStr">
        <is>
          <t>2006-11-29</t>
        </is>
      </c>
      <c r="W1375" t="inlineStr">
        <is>
          <t>1990-07-17</t>
        </is>
      </c>
      <c r="X1375" t="inlineStr">
        <is>
          <t>1990-07-17</t>
        </is>
      </c>
      <c r="Y1375" t="n">
        <v>308</v>
      </c>
      <c r="Z1375" t="n">
        <v>279</v>
      </c>
      <c r="AA1375" t="n">
        <v>279</v>
      </c>
      <c r="AB1375" t="n">
        <v>2</v>
      </c>
      <c r="AC1375" t="n">
        <v>2</v>
      </c>
      <c r="AD1375" t="n">
        <v>11</v>
      </c>
      <c r="AE1375" t="n">
        <v>11</v>
      </c>
      <c r="AF1375" t="n">
        <v>7</v>
      </c>
      <c r="AG1375" t="n">
        <v>7</v>
      </c>
      <c r="AH1375" t="n">
        <v>1</v>
      </c>
      <c r="AI1375" t="n">
        <v>1</v>
      </c>
      <c r="AJ1375" t="n">
        <v>4</v>
      </c>
      <c r="AK1375" t="n">
        <v>4</v>
      </c>
      <c r="AL1375" t="n">
        <v>1</v>
      </c>
      <c r="AM1375" t="n">
        <v>1</v>
      </c>
      <c r="AN1375" t="n">
        <v>0</v>
      </c>
      <c r="AO1375" t="n">
        <v>0</v>
      </c>
      <c r="AP1375" t="inlineStr">
        <is>
          <t>No</t>
        </is>
      </c>
      <c r="AQ1375" t="inlineStr">
        <is>
          <t>No</t>
        </is>
      </c>
      <c r="AS1375">
        <f>HYPERLINK("https://creighton-primo.hosted.exlibrisgroup.com/primo-explore/search?tab=default_tab&amp;search_scope=EVERYTHING&amp;vid=01CRU&amp;lang=en_US&amp;offset=0&amp;query=any,contains,991004567949702656","Catalog Record")</f>
        <v/>
      </c>
      <c r="AT1375">
        <f>HYPERLINK("http://www.worldcat.org/oclc/4004980","WorldCat Record")</f>
        <v/>
      </c>
      <c r="AU1375" t="inlineStr">
        <is>
          <t>13644575:eng</t>
        </is>
      </c>
      <c r="AV1375" t="inlineStr">
        <is>
          <t>4004980</t>
        </is>
      </c>
      <c r="AW1375" t="inlineStr">
        <is>
          <t>991004567949702656</t>
        </is>
      </c>
      <c r="AX1375" t="inlineStr">
        <is>
          <t>991004567949702656</t>
        </is>
      </c>
      <c r="AY1375" t="inlineStr">
        <is>
          <t>2264999980002656</t>
        </is>
      </c>
      <c r="AZ1375" t="inlineStr">
        <is>
          <t>BOOK</t>
        </is>
      </c>
      <c r="BB1375" t="inlineStr">
        <is>
          <t>9780816608393</t>
        </is>
      </c>
      <c r="BC1375" t="inlineStr">
        <is>
          <t>32285000237122</t>
        </is>
      </c>
      <c r="BD1375" t="inlineStr">
        <is>
          <t>893353452</t>
        </is>
      </c>
    </row>
    <row r="1376">
      <c r="A1376" t="inlineStr">
        <is>
          <t>No</t>
        </is>
      </c>
      <c r="B1376" t="inlineStr">
        <is>
          <t>LB3609 .P4 1999</t>
        </is>
      </c>
      <c r="C1376" t="inlineStr">
        <is>
          <t>0                      LB 3609000P  4           1999</t>
        </is>
      </c>
      <c r="D1376" t="inlineStr">
        <is>
          <t>Forms of intellectual and ethical development in the college years : a scheme / William G. Perry, Jr. ; introduction by L. Lee Knefelkamp.</t>
        </is>
      </c>
      <c r="F1376" t="inlineStr">
        <is>
          <t>No</t>
        </is>
      </c>
      <c r="G1376" t="inlineStr">
        <is>
          <t>1</t>
        </is>
      </c>
      <c r="H1376" t="inlineStr">
        <is>
          <t>No</t>
        </is>
      </c>
      <c r="I1376" t="inlineStr">
        <is>
          <t>No</t>
        </is>
      </c>
      <c r="J1376" t="inlineStr">
        <is>
          <t>0</t>
        </is>
      </c>
      <c r="K1376" t="inlineStr">
        <is>
          <t>Perry, William G., Jr., 1913-1998.</t>
        </is>
      </c>
      <c r="L1376" t="inlineStr">
        <is>
          <t>San Francisco, Calif. : Jossey-Bass Publishers, c1999.</t>
        </is>
      </c>
      <c r="M1376" t="inlineStr">
        <is>
          <t>1999</t>
        </is>
      </c>
      <c r="N1376" t="inlineStr">
        <is>
          <t>1st ed.</t>
        </is>
      </c>
      <c r="O1376" t="inlineStr">
        <is>
          <t>eng</t>
        </is>
      </c>
      <c r="P1376" t="inlineStr">
        <is>
          <t>cau</t>
        </is>
      </c>
      <c r="Q1376" t="inlineStr">
        <is>
          <t>Jossey-Bass higher and adult education series</t>
        </is>
      </c>
      <c r="R1376" t="inlineStr">
        <is>
          <t xml:space="preserve">LB </t>
        </is>
      </c>
      <c r="S1376" t="n">
        <v>2</v>
      </c>
      <c r="T1376" t="n">
        <v>2</v>
      </c>
      <c r="U1376" t="inlineStr">
        <is>
          <t>2006-08-01</t>
        </is>
      </c>
      <c r="V1376" t="inlineStr">
        <is>
          <t>2006-08-01</t>
        </is>
      </c>
      <c r="W1376" t="inlineStr">
        <is>
          <t>2003-11-24</t>
        </is>
      </c>
      <c r="X1376" t="inlineStr">
        <is>
          <t>2003-11-24</t>
        </is>
      </c>
      <c r="Y1376" t="n">
        <v>475</v>
      </c>
      <c r="Z1376" t="n">
        <v>408</v>
      </c>
      <c r="AA1376" t="n">
        <v>1047</v>
      </c>
      <c r="AB1376" t="n">
        <v>5</v>
      </c>
      <c r="AC1376" t="n">
        <v>9</v>
      </c>
      <c r="AD1376" t="n">
        <v>13</v>
      </c>
      <c r="AE1376" t="n">
        <v>50</v>
      </c>
      <c r="AF1376" t="n">
        <v>4</v>
      </c>
      <c r="AG1376" t="n">
        <v>24</v>
      </c>
      <c r="AH1376" t="n">
        <v>2</v>
      </c>
      <c r="AI1376" t="n">
        <v>8</v>
      </c>
      <c r="AJ1376" t="n">
        <v>4</v>
      </c>
      <c r="AK1376" t="n">
        <v>23</v>
      </c>
      <c r="AL1376" t="n">
        <v>4</v>
      </c>
      <c r="AM1376" t="n">
        <v>7</v>
      </c>
      <c r="AN1376" t="n">
        <v>0</v>
      </c>
      <c r="AO1376" t="n">
        <v>0</v>
      </c>
      <c r="AP1376" t="inlineStr">
        <is>
          <t>No</t>
        </is>
      </c>
      <c r="AQ1376" t="inlineStr">
        <is>
          <t>No</t>
        </is>
      </c>
      <c r="AS1376">
        <f>HYPERLINK("https://creighton-primo.hosted.exlibrisgroup.com/primo-explore/search?tab=default_tab&amp;search_scope=EVERYTHING&amp;vid=01CRU&amp;lang=en_US&amp;offset=0&amp;query=any,contains,991004188869702656","Catalog Record")</f>
        <v/>
      </c>
      <c r="AT1376">
        <f>HYPERLINK("http://www.worldcat.org/oclc/39455948","WorldCat Record")</f>
        <v/>
      </c>
      <c r="AU1376" t="inlineStr">
        <is>
          <t>309008543:eng</t>
        </is>
      </c>
      <c r="AV1376" t="inlineStr">
        <is>
          <t>39455948</t>
        </is>
      </c>
      <c r="AW1376" t="inlineStr">
        <is>
          <t>991004188869702656</t>
        </is>
      </c>
      <c r="AX1376" t="inlineStr">
        <is>
          <t>991004188869702656</t>
        </is>
      </c>
      <c r="AY1376" t="inlineStr">
        <is>
          <t>2272809630002656</t>
        </is>
      </c>
      <c r="AZ1376" t="inlineStr">
        <is>
          <t>BOOK</t>
        </is>
      </c>
      <c r="BB1376" t="inlineStr">
        <is>
          <t>9780787941185</t>
        </is>
      </c>
      <c r="BC1376" t="inlineStr">
        <is>
          <t>32285004841010</t>
        </is>
      </c>
      <c r="BD1376" t="inlineStr">
        <is>
          <t>893235165</t>
        </is>
      </c>
    </row>
    <row r="1377">
      <c r="A1377" t="inlineStr">
        <is>
          <t>No</t>
        </is>
      </c>
      <c r="B1377" t="inlineStr">
        <is>
          <t>LB3621 .C57</t>
        </is>
      </c>
      <c r="C1377" t="inlineStr">
        <is>
          <t>0                      LB 3621000C  57</t>
        </is>
      </c>
      <c r="D1377" t="inlineStr">
        <is>
          <t>Governing college student publications / J. William Click.</t>
        </is>
      </c>
      <c r="F1377" t="inlineStr">
        <is>
          <t>No</t>
        </is>
      </c>
      <c r="G1377" t="inlineStr">
        <is>
          <t>1</t>
        </is>
      </c>
      <c r="H1377" t="inlineStr">
        <is>
          <t>No</t>
        </is>
      </c>
      <c r="I1377" t="inlineStr">
        <is>
          <t>No</t>
        </is>
      </c>
      <c r="J1377" t="inlineStr">
        <is>
          <t>0</t>
        </is>
      </c>
      <c r="K1377" t="inlineStr">
        <is>
          <t>Click, J. W.</t>
        </is>
      </c>
      <c r="L1377" t="inlineStr">
        <is>
          <t>Urbana, Ill. : ERIC Clearinghouse on Reading and Communication Skills, National Institute of Education ; Athens, Ohio : available from NCCPA Publications, School of Journalism, Ohio University, 1980.</t>
        </is>
      </c>
      <c r="M1377" t="inlineStr">
        <is>
          <t>1980</t>
        </is>
      </c>
      <c r="O1377" t="inlineStr">
        <is>
          <t>eng</t>
        </is>
      </c>
      <c r="P1377" t="inlineStr">
        <is>
          <t>ilu</t>
        </is>
      </c>
      <c r="Q1377" t="inlineStr">
        <is>
          <t>NCCPA college student press series ; 1977-79</t>
        </is>
      </c>
      <c r="R1377" t="inlineStr">
        <is>
          <t xml:space="preserve">LB </t>
        </is>
      </c>
      <c r="S1377" t="n">
        <v>2</v>
      </c>
      <c r="T1377" t="n">
        <v>2</v>
      </c>
      <c r="U1377" t="inlineStr">
        <is>
          <t>2006-08-01</t>
        </is>
      </c>
      <c r="V1377" t="inlineStr">
        <is>
          <t>2006-08-01</t>
        </is>
      </c>
      <c r="W1377" t="inlineStr">
        <is>
          <t>1992-08-20</t>
        </is>
      </c>
      <c r="X1377" t="inlineStr">
        <is>
          <t>1992-08-20</t>
        </is>
      </c>
      <c r="Y1377" t="n">
        <v>72</v>
      </c>
      <c r="Z1377" t="n">
        <v>72</v>
      </c>
      <c r="AA1377" t="n">
        <v>77</v>
      </c>
      <c r="AB1377" t="n">
        <v>1</v>
      </c>
      <c r="AC1377" t="n">
        <v>1</v>
      </c>
      <c r="AD1377" t="n">
        <v>1</v>
      </c>
      <c r="AE1377" t="n">
        <v>1</v>
      </c>
      <c r="AF1377" t="n">
        <v>1</v>
      </c>
      <c r="AG1377" t="n">
        <v>1</v>
      </c>
      <c r="AH1377" t="n">
        <v>0</v>
      </c>
      <c r="AI1377" t="n">
        <v>0</v>
      </c>
      <c r="AJ1377" t="n">
        <v>0</v>
      </c>
      <c r="AK1377" t="n">
        <v>0</v>
      </c>
      <c r="AL1377" t="n">
        <v>0</v>
      </c>
      <c r="AM1377" t="n">
        <v>0</v>
      </c>
      <c r="AN1377" t="n">
        <v>0</v>
      </c>
      <c r="AO1377" t="n">
        <v>0</v>
      </c>
      <c r="AP1377" t="inlineStr">
        <is>
          <t>No</t>
        </is>
      </c>
      <c r="AQ1377" t="inlineStr">
        <is>
          <t>No</t>
        </is>
      </c>
      <c r="AS1377">
        <f>HYPERLINK("https://creighton-primo.hosted.exlibrisgroup.com/primo-explore/search?tab=default_tab&amp;search_scope=EVERYTHING&amp;vid=01CRU&amp;lang=en_US&amp;offset=0&amp;query=any,contains,991004957429702656","Catalog Record")</f>
        <v/>
      </c>
      <c r="AT1377">
        <f>HYPERLINK("http://www.worldcat.org/oclc/6281557","WorldCat Record")</f>
        <v/>
      </c>
      <c r="AU1377" t="inlineStr">
        <is>
          <t>21669670:eng</t>
        </is>
      </c>
      <c r="AV1377" t="inlineStr">
        <is>
          <t>6281557</t>
        </is>
      </c>
      <c r="AW1377" t="inlineStr">
        <is>
          <t>991004957429702656</t>
        </is>
      </c>
      <c r="AX1377" t="inlineStr">
        <is>
          <t>991004957429702656</t>
        </is>
      </c>
      <c r="AY1377" t="inlineStr">
        <is>
          <t>2257177120002656</t>
        </is>
      </c>
      <c r="AZ1377" t="inlineStr">
        <is>
          <t>BOOK</t>
        </is>
      </c>
      <c r="BC1377" t="inlineStr">
        <is>
          <t>32285001263903</t>
        </is>
      </c>
      <c r="BD1377" t="inlineStr">
        <is>
          <t>893254265</t>
        </is>
      </c>
    </row>
    <row r="1378">
      <c r="A1378" t="inlineStr">
        <is>
          <t>No</t>
        </is>
      </c>
      <c r="B1378" t="inlineStr">
        <is>
          <t>LB3635 .A33 2003</t>
        </is>
      </c>
      <c r="C1378" t="inlineStr">
        <is>
          <t>0                      LB 3635000A  33          2003</t>
        </is>
      </c>
      <c r="D1378" t="inlineStr">
        <is>
          <t>Cheerleader! Cheerleader! : an American icon / Natalie Guice Adams, Pamela J. Bettis.</t>
        </is>
      </c>
      <c r="F1378" t="inlineStr">
        <is>
          <t>No</t>
        </is>
      </c>
      <c r="G1378" t="inlineStr">
        <is>
          <t>1</t>
        </is>
      </c>
      <c r="H1378" t="inlineStr">
        <is>
          <t>No</t>
        </is>
      </c>
      <c r="I1378" t="inlineStr">
        <is>
          <t>No</t>
        </is>
      </c>
      <c r="J1378" t="inlineStr">
        <is>
          <t>0</t>
        </is>
      </c>
      <c r="K1378" t="inlineStr">
        <is>
          <t>Adams, Natalie G.</t>
        </is>
      </c>
      <c r="L1378" t="inlineStr">
        <is>
          <t>New York : Palgrave, 2003.</t>
        </is>
      </c>
      <c r="M1378" t="inlineStr">
        <is>
          <t>2003</t>
        </is>
      </c>
      <c r="O1378" t="inlineStr">
        <is>
          <t>eng</t>
        </is>
      </c>
      <c r="P1378" t="inlineStr">
        <is>
          <t>nyu</t>
        </is>
      </c>
      <c r="R1378" t="inlineStr">
        <is>
          <t xml:space="preserve">LB </t>
        </is>
      </c>
      <c r="S1378" t="n">
        <v>2</v>
      </c>
      <c r="T1378" t="n">
        <v>2</v>
      </c>
      <c r="U1378" t="inlineStr">
        <is>
          <t>2005-11-02</t>
        </is>
      </c>
      <c r="V1378" t="inlineStr">
        <is>
          <t>2005-11-02</t>
        </is>
      </c>
      <c r="W1378" t="inlineStr">
        <is>
          <t>2004-01-21</t>
        </is>
      </c>
      <c r="X1378" t="inlineStr">
        <is>
          <t>2004-01-21</t>
        </is>
      </c>
      <c r="Y1378" t="n">
        <v>608</v>
      </c>
      <c r="Z1378" t="n">
        <v>576</v>
      </c>
      <c r="AA1378" t="n">
        <v>682</v>
      </c>
      <c r="AB1378" t="n">
        <v>9</v>
      </c>
      <c r="AC1378" t="n">
        <v>9</v>
      </c>
      <c r="AD1378" t="n">
        <v>24</v>
      </c>
      <c r="AE1378" t="n">
        <v>27</v>
      </c>
      <c r="AF1378" t="n">
        <v>10</v>
      </c>
      <c r="AG1378" t="n">
        <v>12</v>
      </c>
      <c r="AH1378" t="n">
        <v>2</v>
      </c>
      <c r="AI1378" t="n">
        <v>3</v>
      </c>
      <c r="AJ1378" t="n">
        <v>8</v>
      </c>
      <c r="AK1378" t="n">
        <v>10</v>
      </c>
      <c r="AL1378" t="n">
        <v>7</v>
      </c>
      <c r="AM1378" t="n">
        <v>7</v>
      </c>
      <c r="AN1378" t="n">
        <v>0</v>
      </c>
      <c r="AO1378" t="n">
        <v>0</v>
      </c>
      <c r="AP1378" t="inlineStr">
        <is>
          <t>No</t>
        </is>
      </c>
      <c r="AQ1378" t="inlineStr">
        <is>
          <t>No</t>
        </is>
      </c>
      <c r="AS1378">
        <f>HYPERLINK("https://creighton-primo.hosted.exlibrisgroup.com/primo-explore/search?tab=default_tab&amp;search_scope=EVERYTHING&amp;vid=01CRU&amp;lang=en_US&amp;offset=0&amp;query=any,contains,991004211189702656","Catalog Record")</f>
        <v/>
      </c>
      <c r="AT1378">
        <f>HYPERLINK("http://www.worldcat.org/oclc/61677742","WorldCat Record")</f>
        <v/>
      </c>
      <c r="AU1378" t="inlineStr">
        <is>
          <t>19609068:eng</t>
        </is>
      </c>
      <c r="AV1378" t="inlineStr">
        <is>
          <t>61677742</t>
        </is>
      </c>
      <c r="AW1378" t="inlineStr">
        <is>
          <t>991004211189702656</t>
        </is>
      </c>
      <c r="AX1378" t="inlineStr">
        <is>
          <t>991004211189702656</t>
        </is>
      </c>
      <c r="AY1378" t="inlineStr">
        <is>
          <t>2257603870002656</t>
        </is>
      </c>
      <c r="AZ1378" t="inlineStr">
        <is>
          <t>BOOK</t>
        </is>
      </c>
      <c r="BB1378" t="inlineStr">
        <is>
          <t>9781403961846</t>
        </is>
      </c>
      <c r="BC1378" t="inlineStr">
        <is>
          <t>32285004635776</t>
        </is>
      </c>
      <c r="BD1378" t="inlineStr">
        <is>
          <t>893519378</t>
        </is>
      </c>
    </row>
    <row r="1379">
      <c r="A1379" t="inlineStr">
        <is>
          <t>No</t>
        </is>
      </c>
      <c r="B1379" t="inlineStr">
        <is>
          <t>LB375.L8 H8</t>
        </is>
      </c>
      <c r="C1379" t="inlineStr">
        <is>
          <t>0                      LB 0375000L  8                  H  8</t>
        </is>
      </c>
      <c r="D1379" t="inlineStr">
        <is>
          <t>Loyola and the educational system of the Jesuits, by the Rev. Thomas Hughes ...</t>
        </is>
      </c>
      <c r="F1379" t="inlineStr">
        <is>
          <t>No</t>
        </is>
      </c>
      <c r="G1379" t="inlineStr">
        <is>
          <t>1</t>
        </is>
      </c>
      <c r="H1379" t="inlineStr">
        <is>
          <t>No</t>
        </is>
      </c>
      <c r="I1379" t="inlineStr">
        <is>
          <t>No</t>
        </is>
      </c>
      <c r="J1379" t="inlineStr">
        <is>
          <t>0</t>
        </is>
      </c>
      <c r="K1379" t="inlineStr">
        <is>
          <t>Hughes, Thomas, 1849-1939.</t>
        </is>
      </c>
      <c r="L1379" t="inlineStr">
        <is>
          <t>New York, C. Scribner's sons, 1892.</t>
        </is>
      </c>
      <c r="M1379" t="inlineStr">
        <is>
          <t>1892</t>
        </is>
      </c>
      <c r="O1379" t="inlineStr">
        <is>
          <t>eng</t>
        </is>
      </c>
      <c r="P1379" t="inlineStr">
        <is>
          <t>nyu</t>
        </is>
      </c>
      <c r="Q1379" t="inlineStr">
        <is>
          <t>The Great educators</t>
        </is>
      </c>
      <c r="R1379" t="inlineStr">
        <is>
          <t xml:space="preserve">LB </t>
        </is>
      </c>
      <c r="S1379" t="n">
        <v>1</v>
      </c>
      <c r="T1379" t="n">
        <v>1</v>
      </c>
      <c r="U1379" t="inlineStr">
        <is>
          <t>2002-04-18</t>
        </is>
      </c>
      <c r="V1379" t="inlineStr">
        <is>
          <t>2002-04-18</t>
        </is>
      </c>
      <c r="W1379" t="inlineStr">
        <is>
          <t>1997-04-24</t>
        </is>
      </c>
      <c r="X1379" t="inlineStr">
        <is>
          <t>1997-04-24</t>
        </is>
      </c>
      <c r="Y1379" t="n">
        <v>327</v>
      </c>
      <c r="Z1379" t="n">
        <v>297</v>
      </c>
      <c r="AA1379" t="n">
        <v>578</v>
      </c>
      <c r="AB1379" t="n">
        <v>2</v>
      </c>
      <c r="AC1379" t="n">
        <v>6</v>
      </c>
      <c r="AD1379" t="n">
        <v>19</v>
      </c>
      <c r="AE1379" t="n">
        <v>38</v>
      </c>
      <c r="AF1379" t="n">
        <v>5</v>
      </c>
      <c r="AG1379" t="n">
        <v>16</v>
      </c>
      <c r="AH1379" t="n">
        <v>3</v>
      </c>
      <c r="AI1379" t="n">
        <v>7</v>
      </c>
      <c r="AJ1379" t="n">
        <v>14</v>
      </c>
      <c r="AK1379" t="n">
        <v>22</v>
      </c>
      <c r="AL1379" t="n">
        <v>1</v>
      </c>
      <c r="AM1379" t="n">
        <v>4</v>
      </c>
      <c r="AN1379" t="n">
        <v>0</v>
      </c>
      <c r="AO1379" t="n">
        <v>0</v>
      </c>
      <c r="AP1379" t="inlineStr">
        <is>
          <t>Yes</t>
        </is>
      </c>
      <c r="AQ1379" t="inlineStr">
        <is>
          <t>No</t>
        </is>
      </c>
      <c r="AR1379">
        <f>HYPERLINK("http://catalog.hathitrust.org/Record/001116596","HathiTrust Record")</f>
        <v/>
      </c>
      <c r="AS1379">
        <f>HYPERLINK("https://creighton-primo.hosted.exlibrisgroup.com/primo-explore/search?tab=default_tab&amp;search_scope=EVERYTHING&amp;vid=01CRU&amp;lang=en_US&amp;offset=0&amp;query=any,contains,991003893339702656","Catalog Record")</f>
        <v/>
      </c>
      <c r="AT1379">
        <f>HYPERLINK("http://www.worldcat.org/oclc/1802566","WorldCat Record")</f>
        <v/>
      </c>
      <c r="AU1379" t="inlineStr">
        <is>
          <t>1214140:eng</t>
        </is>
      </c>
      <c r="AV1379" t="inlineStr">
        <is>
          <t>1802566</t>
        </is>
      </c>
      <c r="AW1379" t="inlineStr">
        <is>
          <t>991003893339702656</t>
        </is>
      </c>
      <c r="AX1379" t="inlineStr">
        <is>
          <t>991003893339702656</t>
        </is>
      </c>
      <c r="AY1379" t="inlineStr">
        <is>
          <t>2269091270002656</t>
        </is>
      </c>
      <c r="AZ1379" t="inlineStr">
        <is>
          <t>BOOK</t>
        </is>
      </c>
      <c r="BC1379" t="inlineStr">
        <is>
          <t>32285002598166</t>
        </is>
      </c>
      <c r="BD1379" t="inlineStr">
        <is>
          <t>893693283</t>
        </is>
      </c>
    </row>
    <row r="1380">
      <c r="A1380" t="inlineStr">
        <is>
          <t>No</t>
        </is>
      </c>
      <c r="B1380" t="inlineStr">
        <is>
          <t>LB41 .B254</t>
        </is>
      </c>
      <c r="C1380" t="inlineStr">
        <is>
          <t>0                      LB 0041000B  254</t>
        </is>
      </c>
      <c r="D1380" t="inlineStr">
        <is>
          <t>The purposes of education / by Stephen Bailey. --</t>
        </is>
      </c>
      <c r="F1380" t="inlineStr">
        <is>
          <t>No</t>
        </is>
      </c>
      <c r="G1380" t="inlineStr">
        <is>
          <t>1</t>
        </is>
      </c>
      <c r="H1380" t="inlineStr">
        <is>
          <t>No</t>
        </is>
      </c>
      <c r="I1380" t="inlineStr">
        <is>
          <t>No</t>
        </is>
      </c>
      <c r="J1380" t="inlineStr">
        <is>
          <t>0</t>
        </is>
      </c>
      <c r="K1380" t="inlineStr">
        <is>
          <t>Bailey, Stephen K. (Stephen Kemp)</t>
        </is>
      </c>
      <c r="L1380" t="inlineStr">
        <is>
          <t>Bloomington, Ind. : Phi Delta Kappa Educational Foundation, c1976.</t>
        </is>
      </c>
      <c r="M1380" t="inlineStr">
        <is>
          <t>1976</t>
        </is>
      </c>
      <c r="O1380" t="inlineStr">
        <is>
          <t>eng</t>
        </is>
      </c>
      <c r="P1380" t="inlineStr">
        <is>
          <t>inu</t>
        </is>
      </c>
      <c r="Q1380" t="inlineStr">
        <is>
          <t>Perspectives in American education</t>
        </is>
      </c>
      <c r="R1380" t="inlineStr">
        <is>
          <t xml:space="preserve">LB </t>
        </is>
      </c>
      <c r="S1380" t="n">
        <v>4</v>
      </c>
      <c r="T1380" t="n">
        <v>4</v>
      </c>
      <c r="U1380" t="inlineStr">
        <is>
          <t>2007-12-01</t>
        </is>
      </c>
      <c r="V1380" t="inlineStr">
        <is>
          <t>2007-12-01</t>
        </is>
      </c>
      <c r="W1380" t="inlineStr">
        <is>
          <t>1992-10-19</t>
        </is>
      </c>
      <c r="X1380" t="inlineStr">
        <is>
          <t>1992-10-19</t>
        </is>
      </c>
      <c r="Y1380" t="n">
        <v>587</v>
      </c>
      <c r="Z1380" t="n">
        <v>530</v>
      </c>
      <c r="AA1380" t="n">
        <v>537</v>
      </c>
      <c r="AB1380" t="n">
        <v>6</v>
      </c>
      <c r="AC1380" t="n">
        <v>6</v>
      </c>
      <c r="AD1380" t="n">
        <v>24</v>
      </c>
      <c r="AE1380" t="n">
        <v>24</v>
      </c>
      <c r="AF1380" t="n">
        <v>10</v>
      </c>
      <c r="AG1380" t="n">
        <v>10</v>
      </c>
      <c r="AH1380" t="n">
        <v>4</v>
      </c>
      <c r="AI1380" t="n">
        <v>4</v>
      </c>
      <c r="AJ1380" t="n">
        <v>10</v>
      </c>
      <c r="AK1380" t="n">
        <v>10</v>
      </c>
      <c r="AL1380" t="n">
        <v>5</v>
      </c>
      <c r="AM1380" t="n">
        <v>5</v>
      </c>
      <c r="AN1380" t="n">
        <v>0</v>
      </c>
      <c r="AO1380" t="n">
        <v>0</v>
      </c>
      <c r="AP1380" t="inlineStr">
        <is>
          <t>No</t>
        </is>
      </c>
      <c r="AQ1380" t="inlineStr">
        <is>
          <t>Yes</t>
        </is>
      </c>
      <c r="AR1380">
        <f>HYPERLINK("http://catalog.hathitrust.org/Record/000731602","HathiTrust Record")</f>
        <v/>
      </c>
      <c r="AS1380">
        <f>HYPERLINK("https://creighton-primo.hosted.exlibrisgroup.com/primo-explore/search?tab=default_tab&amp;search_scope=EVERYTHING&amp;vid=01CRU&amp;lang=en_US&amp;offset=0&amp;query=any,contains,991004122729702656","Catalog Record")</f>
        <v/>
      </c>
      <c r="AT1380">
        <f>HYPERLINK("http://www.worldcat.org/oclc/2433492","WorldCat Record")</f>
        <v/>
      </c>
      <c r="AU1380" t="inlineStr">
        <is>
          <t>521241:eng</t>
        </is>
      </c>
      <c r="AV1380" t="inlineStr">
        <is>
          <t>2433492</t>
        </is>
      </c>
      <c r="AW1380" t="inlineStr">
        <is>
          <t>991004122729702656</t>
        </is>
      </c>
      <c r="AX1380" t="inlineStr">
        <is>
          <t>991004122729702656</t>
        </is>
      </c>
      <c r="AY1380" t="inlineStr">
        <is>
          <t>2263863000002656</t>
        </is>
      </c>
      <c r="AZ1380" t="inlineStr">
        <is>
          <t>BOOK</t>
        </is>
      </c>
      <c r="BB1380" t="inlineStr">
        <is>
          <t>9780873674089</t>
        </is>
      </c>
      <c r="BC1380" t="inlineStr">
        <is>
          <t>32285001351112</t>
        </is>
      </c>
      <c r="BD1380" t="inlineStr">
        <is>
          <t>893775644</t>
        </is>
      </c>
    </row>
    <row r="1381">
      <c r="A1381" t="inlineStr">
        <is>
          <t>No</t>
        </is>
      </c>
      <c r="B1381" t="inlineStr">
        <is>
          <t>LB41 .C329 2002</t>
        </is>
      </c>
      <c r="C1381" t="inlineStr">
        <is>
          <t>0                      LB 0041000C  329         2002</t>
        </is>
      </c>
      <c r="D1381" t="inlineStr">
        <is>
          <t>Educational yearning : the journey of the spirit and democratic education / edited by Thomas Oldenski &amp; Dennis Carlson.</t>
        </is>
      </c>
      <c r="F1381" t="inlineStr">
        <is>
          <t>No</t>
        </is>
      </c>
      <c r="G1381" t="inlineStr">
        <is>
          <t>1</t>
        </is>
      </c>
      <c r="H1381" t="inlineStr">
        <is>
          <t>No</t>
        </is>
      </c>
      <c r="I1381" t="inlineStr">
        <is>
          <t>No</t>
        </is>
      </c>
      <c r="J1381" t="inlineStr">
        <is>
          <t>0</t>
        </is>
      </c>
      <c r="L1381" t="inlineStr">
        <is>
          <t>New York : P. Lang, c2002.</t>
        </is>
      </c>
      <c r="M1381" t="inlineStr">
        <is>
          <t>2002</t>
        </is>
      </c>
      <c r="O1381" t="inlineStr">
        <is>
          <t>eng</t>
        </is>
      </c>
      <c r="P1381" t="inlineStr">
        <is>
          <t>nyu</t>
        </is>
      </c>
      <c r="Q1381" t="inlineStr">
        <is>
          <t>Counterpoints ; v. 38</t>
        </is>
      </c>
      <c r="R1381" t="inlineStr">
        <is>
          <t xml:space="preserve">LB </t>
        </is>
      </c>
      <c r="S1381" t="n">
        <v>5</v>
      </c>
      <c r="T1381" t="n">
        <v>5</v>
      </c>
      <c r="U1381" t="inlineStr">
        <is>
          <t>2007-12-01</t>
        </is>
      </c>
      <c r="V1381" t="inlineStr">
        <is>
          <t>2007-12-01</t>
        </is>
      </c>
      <c r="W1381" t="inlineStr">
        <is>
          <t>2002-05-13</t>
        </is>
      </c>
      <c r="X1381" t="inlineStr">
        <is>
          <t>2002-05-13</t>
        </is>
      </c>
      <c r="Y1381" t="n">
        <v>151</v>
      </c>
      <c r="Z1381" t="n">
        <v>117</v>
      </c>
      <c r="AA1381" t="n">
        <v>123</v>
      </c>
      <c r="AB1381" t="n">
        <v>1</v>
      </c>
      <c r="AC1381" t="n">
        <v>1</v>
      </c>
      <c r="AD1381" t="n">
        <v>7</v>
      </c>
      <c r="AE1381" t="n">
        <v>7</v>
      </c>
      <c r="AF1381" t="n">
        <v>3</v>
      </c>
      <c r="AG1381" t="n">
        <v>3</v>
      </c>
      <c r="AH1381" t="n">
        <v>3</v>
      </c>
      <c r="AI1381" t="n">
        <v>3</v>
      </c>
      <c r="AJ1381" t="n">
        <v>3</v>
      </c>
      <c r="AK1381" t="n">
        <v>3</v>
      </c>
      <c r="AL1381" t="n">
        <v>0</v>
      </c>
      <c r="AM1381" t="n">
        <v>0</v>
      </c>
      <c r="AN1381" t="n">
        <v>0</v>
      </c>
      <c r="AO1381" t="n">
        <v>0</v>
      </c>
      <c r="AP1381" t="inlineStr">
        <is>
          <t>No</t>
        </is>
      </c>
      <c r="AQ1381" t="inlineStr">
        <is>
          <t>Yes</t>
        </is>
      </c>
      <c r="AR1381">
        <f>HYPERLINK("http://catalog.hathitrust.org/Record/004229029","HathiTrust Record")</f>
        <v/>
      </c>
      <c r="AS1381">
        <f>HYPERLINK("https://creighton-primo.hosted.exlibrisgroup.com/primo-explore/search?tab=default_tab&amp;search_scope=EVERYTHING&amp;vid=01CRU&amp;lang=en_US&amp;offset=0&amp;query=any,contains,991003805569702656","Catalog Record")</f>
        <v/>
      </c>
      <c r="AT1381">
        <f>HYPERLINK("http://www.worldcat.org/oclc/47254213","WorldCat Record")</f>
        <v/>
      </c>
      <c r="AU1381" t="inlineStr">
        <is>
          <t>898715563:eng</t>
        </is>
      </c>
      <c r="AV1381" t="inlineStr">
        <is>
          <t>47254213</t>
        </is>
      </c>
      <c r="AW1381" t="inlineStr">
        <is>
          <t>991003805569702656</t>
        </is>
      </c>
      <c r="AX1381" t="inlineStr">
        <is>
          <t>991003805569702656</t>
        </is>
      </c>
      <c r="AY1381" t="inlineStr">
        <is>
          <t>2259847650002656</t>
        </is>
      </c>
      <c r="AZ1381" t="inlineStr">
        <is>
          <t>BOOK</t>
        </is>
      </c>
      <c r="BB1381" t="inlineStr">
        <is>
          <t>9780820434865</t>
        </is>
      </c>
      <c r="BC1381" t="inlineStr">
        <is>
          <t>32285004487152</t>
        </is>
      </c>
      <c r="BD1381" t="inlineStr">
        <is>
          <t>893353050</t>
        </is>
      </c>
    </row>
    <row r="1382">
      <c r="A1382" t="inlineStr">
        <is>
          <t>No</t>
        </is>
      </c>
      <c r="B1382" t="inlineStr">
        <is>
          <t>LB41 .D215 2001</t>
        </is>
      </c>
      <c r="C1382" t="inlineStr">
        <is>
          <t>0                      LB 0041000D  215         2001</t>
        </is>
      </c>
      <c r="D1382" t="inlineStr">
        <is>
          <t>Contemplation in liberation : a method for spiritual education in the schools / Michael Dallaire.</t>
        </is>
      </c>
      <c r="F1382" t="inlineStr">
        <is>
          <t>No</t>
        </is>
      </c>
      <c r="G1382" t="inlineStr">
        <is>
          <t>1</t>
        </is>
      </c>
      <c r="H1382" t="inlineStr">
        <is>
          <t>No</t>
        </is>
      </c>
      <c r="I1382" t="inlineStr">
        <is>
          <t>No</t>
        </is>
      </c>
      <c r="J1382" t="inlineStr">
        <is>
          <t>0</t>
        </is>
      </c>
      <c r="K1382" t="inlineStr">
        <is>
          <t>Dallaire, Michael.</t>
        </is>
      </c>
      <c r="L1382" t="inlineStr">
        <is>
          <t>Lewiston, NY : E. Mellen Press, c2001.</t>
        </is>
      </c>
      <c r="M1382" t="inlineStr">
        <is>
          <t>2001</t>
        </is>
      </c>
      <c r="O1382" t="inlineStr">
        <is>
          <t>eng</t>
        </is>
      </c>
      <c r="P1382" t="inlineStr">
        <is>
          <t>nyu</t>
        </is>
      </c>
      <c r="Q1382" t="inlineStr">
        <is>
          <t>Mellen studies in education ; v. 56</t>
        </is>
      </c>
      <c r="R1382" t="inlineStr">
        <is>
          <t xml:space="preserve">LB </t>
        </is>
      </c>
      <c r="S1382" t="n">
        <v>2</v>
      </c>
      <c r="T1382" t="n">
        <v>2</v>
      </c>
      <c r="U1382" t="inlineStr">
        <is>
          <t>2005-06-16</t>
        </is>
      </c>
      <c r="V1382" t="inlineStr">
        <is>
          <t>2005-06-16</t>
        </is>
      </c>
      <c r="W1382" t="inlineStr">
        <is>
          <t>2001-07-09</t>
        </is>
      </c>
      <c r="X1382" t="inlineStr">
        <is>
          <t>2001-07-09</t>
        </is>
      </c>
      <c r="Y1382" t="n">
        <v>85</v>
      </c>
      <c r="Z1382" t="n">
        <v>61</v>
      </c>
      <c r="AA1382" t="n">
        <v>61</v>
      </c>
      <c r="AB1382" t="n">
        <v>1</v>
      </c>
      <c r="AC1382" t="n">
        <v>1</v>
      </c>
      <c r="AD1382" t="n">
        <v>3</v>
      </c>
      <c r="AE1382" t="n">
        <v>3</v>
      </c>
      <c r="AF1382" t="n">
        <v>0</v>
      </c>
      <c r="AG1382" t="n">
        <v>0</v>
      </c>
      <c r="AH1382" t="n">
        <v>1</v>
      </c>
      <c r="AI1382" t="n">
        <v>1</v>
      </c>
      <c r="AJ1382" t="n">
        <v>2</v>
      </c>
      <c r="AK1382" t="n">
        <v>2</v>
      </c>
      <c r="AL1382" t="n">
        <v>0</v>
      </c>
      <c r="AM1382" t="n">
        <v>0</v>
      </c>
      <c r="AN1382" t="n">
        <v>0</v>
      </c>
      <c r="AO1382" t="n">
        <v>0</v>
      </c>
      <c r="AP1382" t="inlineStr">
        <is>
          <t>No</t>
        </is>
      </c>
      <c r="AQ1382" t="inlineStr">
        <is>
          <t>No</t>
        </is>
      </c>
      <c r="AS1382">
        <f>HYPERLINK("https://creighton-primo.hosted.exlibrisgroup.com/primo-explore/search?tab=default_tab&amp;search_scope=EVERYTHING&amp;vid=01CRU&amp;lang=en_US&amp;offset=0&amp;query=any,contains,991003563039702656","Catalog Record")</f>
        <v/>
      </c>
      <c r="AT1382">
        <f>HYPERLINK("http://www.worldcat.org/oclc/44818286","WorldCat Record")</f>
        <v/>
      </c>
      <c r="AU1382" t="inlineStr">
        <is>
          <t>34272874:eng</t>
        </is>
      </c>
      <c r="AV1382" t="inlineStr">
        <is>
          <t>44818286</t>
        </is>
      </c>
      <c r="AW1382" t="inlineStr">
        <is>
          <t>991003563039702656</t>
        </is>
      </c>
      <c r="AX1382" t="inlineStr">
        <is>
          <t>991003563039702656</t>
        </is>
      </c>
      <c r="AY1382" t="inlineStr">
        <is>
          <t>2255034480002656</t>
        </is>
      </c>
      <c r="AZ1382" t="inlineStr">
        <is>
          <t>BOOK</t>
        </is>
      </c>
      <c r="BB1382" t="inlineStr">
        <is>
          <t>9780773475502</t>
        </is>
      </c>
      <c r="BC1382" t="inlineStr">
        <is>
          <t>32285004330527</t>
        </is>
      </c>
      <c r="BD1382" t="inlineStr">
        <is>
          <t>893342696</t>
        </is>
      </c>
    </row>
    <row r="1383">
      <c r="A1383" t="inlineStr">
        <is>
          <t>No</t>
        </is>
      </c>
      <c r="B1383" t="inlineStr">
        <is>
          <t>LB41 .E3343</t>
        </is>
      </c>
      <c r="C1383" t="inlineStr">
        <is>
          <t>0                      LB 0041000E  3343</t>
        </is>
      </c>
      <c r="D1383" t="inlineStr">
        <is>
          <t>Education and values / Douglas Sloan, editor.</t>
        </is>
      </c>
      <c r="F1383" t="inlineStr">
        <is>
          <t>No</t>
        </is>
      </c>
      <c r="G1383" t="inlineStr">
        <is>
          <t>1</t>
        </is>
      </c>
      <c r="H1383" t="inlineStr">
        <is>
          <t>No</t>
        </is>
      </c>
      <c r="I1383" t="inlineStr">
        <is>
          <t>No</t>
        </is>
      </c>
      <c r="J1383" t="inlineStr">
        <is>
          <t>0</t>
        </is>
      </c>
      <c r="L1383" t="inlineStr">
        <is>
          <t>New York : Teachers College Press, 1980.</t>
        </is>
      </c>
      <c r="M1383" t="inlineStr">
        <is>
          <t>1980</t>
        </is>
      </c>
      <c r="O1383" t="inlineStr">
        <is>
          <t>eng</t>
        </is>
      </c>
      <c r="P1383" t="inlineStr">
        <is>
          <t>nyu</t>
        </is>
      </c>
      <c r="R1383" t="inlineStr">
        <is>
          <t xml:space="preserve">LB </t>
        </is>
      </c>
      <c r="S1383" t="n">
        <v>2</v>
      </c>
      <c r="T1383" t="n">
        <v>2</v>
      </c>
      <c r="U1383" t="inlineStr">
        <is>
          <t>2003-04-28</t>
        </is>
      </c>
      <c r="V1383" t="inlineStr">
        <is>
          <t>2003-04-28</t>
        </is>
      </c>
      <c r="W1383" t="inlineStr">
        <is>
          <t>1990-07-23</t>
        </is>
      </c>
      <c r="X1383" t="inlineStr">
        <is>
          <t>1990-07-23</t>
        </is>
      </c>
      <c r="Y1383" t="n">
        <v>508</v>
      </c>
      <c r="Z1383" t="n">
        <v>448</v>
      </c>
      <c r="AA1383" t="n">
        <v>455</v>
      </c>
      <c r="AB1383" t="n">
        <v>3</v>
      </c>
      <c r="AC1383" t="n">
        <v>3</v>
      </c>
      <c r="AD1383" t="n">
        <v>24</v>
      </c>
      <c r="AE1383" t="n">
        <v>25</v>
      </c>
      <c r="AF1383" t="n">
        <v>8</v>
      </c>
      <c r="AG1383" t="n">
        <v>8</v>
      </c>
      <c r="AH1383" t="n">
        <v>4</v>
      </c>
      <c r="AI1383" t="n">
        <v>5</v>
      </c>
      <c r="AJ1383" t="n">
        <v>14</v>
      </c>
      <c r="AK1383" t="n">
        <v>15</v>
      </c>
      <c r="AL1383" t="n">
        <v>2</v>
      </c>
      <c r="AM1383" t="n">
        <v>2</v>
      </c>
      <c r="AN1383" t="n">
        <v>0</v>
      </c>
      <c r="AO1383" t="n">
        <v>0</v>
      </c>
      <c r="AP1383" t="inlineStr">
        <is>
          <t>No</t>
        </is>
      </c>
      <c r="AQ1383" t="inlineStr">
        <is>
          <t>No</t>
        </is>
      </c>
      <c r="AS1383">
        <f>HYPERLINK("https://creighton-primo.hosted.exlibrisgroup.com/primo-explore/search?tab=default_tab&amp;search_scope=EVERYTHING&amp;vid=01CRU&amp;lang=en_US&amp;offset=0&amp;query=any,contains,991004815699702656","Catalog Record")</f>
        <v/>
      </c>
      <c r="AT1383">
        <f>HYPERLINK("http://www.worldcat.org/oclc/5310076","WorldCat Record")</f>
        <v/>
      </c>
      <c r="AU1383" t="inlineStr">
        <is>
          <t>54313710:eng</t>
        </is>
      </c>
      <c r="AV1383" t="inlineStr">
        <is>
          <t>5310076</t>
        </is>
      </c>
      <c r="AW1383" t="inlineStr">
        <is>
          <t>991004815699702656</t>
        </is>
      </c>
      <c r="AX1383" t="inlineStr">
        <is>
          <t>991004815699702656</t>
        </is>
      </c>
      <c r="AY1383" t="inlineStr">
        <is>
          <t>2264338240002656</t>
        </is>
      </c>
      <c r="AZ1383" t="inlineStr">
        <is>
          <t>BOOK</t>
        </is>
      </c>
      <c r="BB1383" t="inlineStr">
        <is>
          <t>9780807725740</t>
        </is>
      </c>
      <c r="BC1383" t="inlineStr">
        <is>
          <t>32285000247451</t>
        </is>
      </c>
      <c r="BD1383" t="inlineStr">
        <is>
          <t>893235949</t>
        </is>
      </c>
    </row>
    <row r="1384">
      <c r="A1384" t="inlineStr">
        <is>
          <t>No</t>
        </is>
      </c>
      <c r="B1384" t="inlineStr">
        <is>
          <t>LB41 .E75</t>
        </is>
      </c>
      <c r="C1384" t="inlineStr">
        <is>
          <t>0                      LB 0041000E  75</t>
        </is>
      </c>
      <c r="D1384" t="inlineStr">
        <is>
          <t>The Essential profession : contemporary issues in education / edited by Marvin B. Scott.</t>
        </is>
      </c>
      <c r="F1384" t="inlineStr">
        <is>
          <t>No</t>
        </is>
      </c>
      <c r="G1384" t="inlineStr">
        <is>
          <t>1</t>
        </is>
      </c>
      <c r="H1384" t="inlineStr">
        <is>
          <t>No</t>
        </is>
      </c>
      <c r="I1384" t="inlineStr">
        <is>
          <t>No</t>
        </is>
      </c>
      <c r="J1384" t="inlineStr">
        <is>
          <t>0</t>
        </is>
      </c>
      <c r="L1384" t="inlineStr">
        <is>
          <t>Stamford, Conn. : Greylock Publishers, c1976.</t>
        </is>
      </c>
      <c r="M1384" t="inlineStr">
        <is>
          <t>1976</t>
        </is>
      </c>
      <c r="O1384" t="inlineStr">
        <is>
          <t>eng</t>
        </is>
      </c>
      <c r="P1384" t="inlineStr">
        <is>
          <t>ctu</t>
        </is>
      </c>
      <c r="R1384" t="inlineStr">
        <is>
          <t xml:space="preserve">LB </t>
        </is>
      </c>
      <c r="S1384" t="n">
        <v>5</v>
      </c>
      <c r="T1384" t="n">
        <v>5</v>
      </c>
      <c r="U1384" t="inlineStr">
        <is>
          <t>2005-10-27</t>
        </is>
      </c>
      <c r="V1384" t="inlineStr">
        <is>
          <t>2005-10-27</t>
        </is>
      </c>
      <c r="W1384" t="inlineStr">
        <is>
          <t>1997-04-24</t>
        </is>
      </c>
      <c r="X1384" t="inlineStr">
        <is>
          <t>1997-04-24</t>
        </is>
      </c>
      <c r="Y1384" t="n">
        <v>344</v>
      </c>
      <c r="Z1384" t="n">
        <v>314</v>
      </c>
      <c r="AA1384" t="n">
        <v>328</v>
      </c>
      <c r="AB1384" t="n">
        <v>2</v>
      </c>
      <c r="AC1384" t="n">
        <v>2</v>
      </c>
      <c r="AD1384" t="n">
        <v>11</v>
      </c>
      <c r="AE1384" t="n">
        <v>12</v>
      </c>
      <c r="AF1384" t="n">
        <v>6</v>
      </c>
      <c r="AG1384" t="n">
        <v>7</v>
      </c>
      <c r="AH1384" t="n">
        <v>3</v>
      </c>
      <c r="AI1384" t="n">
        <v>3</v>
      </c>
      <c r="AJ1384" t="n">
        <v>3</v>
      </c>
      <c r="AK1384" t="n">
        <v>3</v>
      </c>
      <c r="AL1384" t="n">
        <v>1</v>
      </c>
      <c r="AM1384" t="n">
        <v>1</v>
      </c>
      <c r="AN1384" t="n">
        <v>0</v>
      </c>
      <c r="AO1384" t="n">
        <v>0</v>
      </c>
      <c r="AP1384" t="inlineStr">
        <is>
          <t>No</t>
        </is>
      </c>
      <c r="AQ1384" t="inlineStr">
        <is>
          <t>Yes</t>
        </is>
      </c>
      <c r="AR1384">
        <f>HYPERLINK("http://catalog.hathitrust.org/Record/008307013","HathiTrust Record")</f>
        <v/>
      </c>
      <c r="AS1384">
        <f>HYPERLINK("https://creighton-primo.hosted.exlibrisgroup.com/primo-explore/search?tab=default_tab&amp;search_scope=EVERYTHING&amp;vid=01CRU&amp;lang=en_US&amp;offset=0&amp;query=any,contains,991004091539702656","Catalog Record")</f>
        <v/>
      </c>
      <c r="AT1384">
        <f>HYPERLINK("http://www.worldcat.org/oclc/2345865","WorldCat Record")</f>
        <v/>
      </c>
      <c r="AU1384" t="inlineStr">
        <is>
          <t>864121483:eng</t>
        </is>
      </c>
      <c r="AV1384" t="inlineStr">
        <is>
          <t>2345865</t>
        </is>
      </c>
      <c r="AW1384" t="inlineStr">
        <is>
          <t>991004091539702656</t>
        </is>
      </c>
      <c r="AX1384" t="inlineStr">
        <is>
          <t>991004091539702656</t>
        </is>
      </c>
      <c r="AY1384" t="inlineStr">
        <is>
          <t>2262026300002656</t>
        </is>
      </c>
      <c r="AZ1384" t="inlineStr">
        <is>
          <t>BOOK</t>
        </is>
      </c>
      <c r="BB1384" t="inlineStr">
        <is>
          <t>9780892230457</t>
        </is>
      </c>
      <c r="BC1384" t="inlineStr">
        <is>
          <t>32285002597895</t>
        </is>
      </c>
      <c r="BD1384" t="inlineStr">
        <is>
          <t>893775608</t>
        </is>
      </c>
    </row>
    <row r="1385">
      <c r="A1385" t="inlineStr">
        <is>
          <t>No</t>
        </is>
      </c>
      <c r="B1385" t="inlineStr">
        <is>
          <t>LB41 .E92 1985</t>
        </is>
      </c>
      <c r="C1385" t="inlineStr">
        <is>
          <t>0                      LB 0041000E  92          1985</t>
        </is>
      </c>
      <c r="D1385" t="inlineStr">
        <is>
          <t>Excellence in education : perspectives on policy and practice / edited by Philip G. Altbach, Gail P. Kelly, Lois Weis.</t>
        </is>
      </c>
      <c r="F1385" t="inlineStr">
        <is>
          <t>No</t>
        </is>
      </c>
      <c r="G1385" t="inlineStr">
        <is>
          <t>1</t>
        </is>
      </c>
      <c r="H1385" t="inlineStr">
        <is>
          <t>No</t>
        </is>
      </c>
      <c r="I1385" t="inlineStr">
        <is>
          <t>No</t>
        </is>
      </c>
      <c r="J1385" t="inlineStr">
        <is>
          <t>0</t>
        </is>
      </c>
      <c r="L1385" t="inlineStr">
        <is>
          <t>Buffalo, N.Y. : Prometheus Books, 1985.</t>
        </is>
      </c>
      <c r="M1385" t="inlineStr">
        <is>
          <t>1985</t>
        </is>
      </c>
      <c r="O1385" t="inlineStr">
        <is>
          <t>eng</t>
        </is>
      </c>
      <c r="P1385" t="inlineStr">
        <is>
          <t>nyu</t>
        </is>
      </c>
      <c r="Q1385" t="inlineStr">
        <is>
          <t>Frontiers in education</t>
        </is>
      </c>
      <c r="R1385" t="inlineStr">
        <is>
          <t xml:space="preserve">LB </t>
        </is>
      </c>
      <c r="S1385" t="n">
        <v>2</v>
      </c>
      <c r="T1385" t="n">
        <v>2</v>
      </c>
      <c r="U1385" t="inlineStr">
        <is>
          <t>2005-02-03</t>
        </is>
      </c>
      <c r="V1385" t="inlineStr">
        <is>
          <t>2005-02-03</t>
        </is>
      </c>
      <c r="W1385" t="inlineStr">
        <is>
          <t>1992-10-19</t>
        </is>
      </c>
      <c r="X1385" t="inlineStr">
        <is>
          <t>1992-10-19</t>
        </is>
      </c>
      <c r="Y1385" t="n">
        <v>930</v>
      </c>
      <c r="Z1385" t="n">
        <v>829</v>
      </c>
      <c r="AA1385" t="n">
        <v>836</v>
      </c>
      <c r="AB1385" t="n">
        <v>8</v>
      </c>
      <c r="AC1385" t="n">
        <v>8</v>
      </c>
      <c r="AD1385" t="n">
        <v>35</v>
      </c>
      <c r="AE1385" t="n">
        <v>35</v>
      </c>
      <c r="AF1385" t="n">
        <v>13</v>
      </c>
      <c r="AG1385" t="n">
        <v>13</v>
      </c>
      <c r="AH1385" t="n">
        <v>5</v>
      </c>
      <c r="AI1385" t="n">
        <v>5</v>
      </c>
      <c r="AJ1385" t="n">
        <v>17</v>
      </c>
      <c r="AK1385" t="n">
        <v>17</v>
      </c>
      <c r="AL1385" t="n">
        <v>7</v>
      </c>
      <c r="AM1385" t="n">
        <v>7</v>
      </c>
      <c r="AN1385" t="n">
        <v>0</v>
      </c>
      <c r="AO1385" t="n">
        <v>0</v>
      </c>
      <c r="AP1385" t="inlineStr">
        <is>
          <t>No</t>
        </is>
      </c>
      <c r="AQ1385" t="inlineStr">
        <is>
          <t>Yes</t>
        </is>
      </c>
      <c r="AR1385">
        <f>HYPERLINK("http://catalog.hathitrust.org/Record/000356490","HathiTrust Record")</f>
        <v/>
      </c>
      <c r="AS1385">
        <f>HYPERLINK("https://creighton-primo.hosted.exlibrisgroup.com/primo-explore/search?tab=default_tab&amp;search_scope=EVERYTHING&amp;vid=01CRU&amp;lang=en_US&amp;offset=0&amp;query=any,contains,991000736679702656","Catalog Record")</f>
        <v/>
      </c>
      <c r="AT1385">
        <f>HYPERLINK("http://www.worldcat.org/oclc/12788233","WorldCat Record")</f>
        <v/>
      </c>
      <c r="AU1385" t="inlineStr">
        <is>
          <t>907027395:eng</t>
        </is>
      </c>
      <c r="AV1385" t="inlineStr">
        <is>
          <t>12788233</t>
        </is>
      </c>
      <c r="AW1385" t="inlineStr">
        <is>
          <t>991000736679702656</t>
        </is>
      </c>
      <c r="AX1385" t="inlineStr">
        <is>
          <t>991000736679702656</t>
        </is>
      </c>
      <c r="AY1385" t="inlineStr">
        <is>
          <t>2260816690002656</t>
        </is>
      </c>
      <c r="AZ1385" t="inlineStr">
        <is>
          <t>BOOK</t>
        </is>
      </c>
      <c r="BB1385" t="inlineStr">
        <is>
          <t>9780879753016</t>
        </is>
      </c>
      <c r="BC1385" t="inlineStr">
        <is>
          <t>32285001351179</t>
        </is>
      </c>
      <c r="BD1385" t="inlineStr">
        <is>
          <t>893614460</t>
        </is>
      </c>
    </row>
    <row r="1386">
      <c r="A1386" t="inlineStr">
        <is>
          <t>No</t>
        </is>
      </c>
      <c r="B1386" t="inlineStr">
        <is>
          <t>LB41 .F54 1998</t>
        </is>
      </c>
      <c r="C1386" t="inlineStr">
        <is>
          <t>0                      LB 0041000F  54          1998</t>
        </is>
      </c>
      <c r="D1386" t="inlineStr">
        <is>
          <t>Encounters in education / Robert E. Fitzgibbons, Raymond J. ZuWallack.</t>
        </is>
      </c>
      <c r="F1386" t="inlineStr">
        <is>
          <t>No</t>
        </is>
      </c>
      <c r="G1386" t="inlineStr">
        <is>
          <t>1</t>
        </is>
      </c>
      <c r="H1386" t="inlineStr">
        <is>
          <t>No</t>
        </is>
      </c>
      <c r="I1386" t="inlineStr">
        <is>
          <t>No</t>
        </is>
      </c>
      <c r="J1386" t="inlineStr">
        <is>
          <t>0</t>
        </is>
      </c>
      <c r="K1386" t="inlineStr">
        <is>
          <t>Fitzgibbons, Robert E.</t>
        </is>
      </c>
      <c r="L1386" t="inlineStr">
        <is>
          <t>Fort Worth : Harcourt Brace College Publishers, c1998.</t>
        </is>
      </c>
      <c r="M1386" t="inlineStr">
        <is>
          <t>1998</t>
        </is>
      </c>
      <c r="O1386" t="inlineStr">
        <is>
          <t>eng</t>
        </is>
      </c>
      <c r="P1386" t="inlineStr">
        <is>
          <t>txu</t>
        </is>
      </c>
      <c r="R1386" t="inlineStr">
        <is>
          <t xml:space="preserve">LB </t>
        </is>
      </c>
      <c r="S1386" t="n">
        <v>3</v>
      </c>
      <c r="T1386" t="n">
        <v>3</v>
      </c>
      <c r="U1386" t="inlineStr">
        <is>
          <t>2000-11-13</t>
        </is>
      </c>
      <c r="V1386" t="inlineStr">
        <is>
          <t>2000-11-13</t>
        </is>
      </c>
      <c r="W1386" t="inlineStr">
        <is>
          <t>1998-07-27</t>
        </is>
      </c>
      <c r="X1386" t="inlineStr">
        <is>
          <t>1998-07-27</t>
        </is>
      </c>
      <c r="Y1386" t="n">
        <v>84</v>
      </c>
      <c r="Z1386" t="n">
        <v>67</v>
      </c>
      <c r="AA1386" t="n">
        <v>67</v>
      </c>
      <c r="AB1386" t="n">
        <v>1</v>
      </c>
      <c r="AC1386" t="n">
        <v>1</v>
      </c>
      <c r="AD1386" t="n">
        <v>3</v>
      </c>
      <c r="AE1386" t="n">
        <v>3</v>
      </c>
      <c r="AF1386" t="n">
        <v>1</v>
      </c>
      <c r="AG1386" t="n">
        <v>1</v>
      </c>
      <c r="AH1386" t="n">
        <v>0</v>
      </c>
      <c r="AI1386" t="n">
        <v>0</v>
      </c>
      <c r="AJ1386" t="n">
        <v>3</v>
      </c>
      <c r="AK1386" t="n">
        <v>3</v>
      </c>
      <c r="AL1386" t="n">
        <v>0</v>
      </c>
      <c r="AM1386" t="n">
        <v>0</v>
      </c>
      <c r="AN1386" t="n">
        <v>0</v>
      </c>
      <c r="AO1386" t="n">
        <v>0</v>
      </c>
      <c r="AP1386" t="inlineStr">
        <is>
          <t>No</t>
        </is>
      </c>
      <c r="AQ1386" t="inlineStr">
        <is>
          <t>No</t>
        </is>
      </c>
      <c r="AS1386">
        <f>HYPERLINK("https://creighton-primo.hosted.exlibrisgroup.com/primo-explore/search?tab=default_tab&amp;search_scope=EVERYTHING&amp;vid=01CRU&amp;lang=en_US&amp;offset=0&amp;query=any,contains,991002952369702656","Catalog Record")</f>
        <v/>
      </c>
      <c r="AT1386">
        <f>HYPERLINK("http://www.worldcat.org/oclc/39350212","WorldCat Record")</f>
        <v/>
      </c>
      <c r="AU1386" t="inlineStr">
        <is>
          <t>41329073:eng</t>
        </is>
      </c>
      <c r="AV1386" t="inlineStr">
        <is>
          <t>39350212</t>
        </is>
      </c>
      <c r="AW1386" t="inlineStr">
        <is>
          <t>991002952369702656</t>
        </is>
      </c>
      <c r="AX1386" t="inlineStr">
        <is>
          <t>991002952369702656</t>
        </is>
      </c>
      <c r="AY1386" t="inlineStr">
        <is>
          <t>2263438710002656</t>
        </is>
      </c>
      <c r="AZ1386" t="inlineStr">
        <is>
          <t>BOOK</t>
        </is>
      </c>
      <c r="BB1386" t="inlineStr">
        <is>
          <t>9780155051409</t>
        </is>
      </c>
      <c r="BC1386" t="inlineStr">
        <is>
          <t>32285003446167</t>
        </is>
      </c>
      <c r="BD1386" t="inlineStr">
        <is>
          <t>893535271</t>
        </is>
      </c>
    </row>
    <row r="1387">
      <c r="A1387" t="inlineStr">
        <is>
          <t>No</t>
        </is>
      </c>
      <c r="B1387" t="inlineStr">
        <is>
          <t>LB41 .G65 1994</t>
        </is>
      </c>
      <c r="C1387" t="inlineStr">
        <is>
          <t>0                      LB 0041000G  65          1994</t>
        </is>
      </c>
      <c r="D1387" t="inlineStr">
        <is>
          <t>What schools are for / John I. Goodlad.</t>
        </is>
      </c>
      <c r="F1387" t="inlineStr">
        <is>
          <t>No</t>
        </is>
      </c>
      <c r="G1387" t="inlineStr">
        <is>
          <t>1</t>
        </is>
      </c>
      <c r="H1387" t="inlineStr">
        <is>
          <t>No</t>
        </is>
      </c>
      <c r="I1387" t="inlineStr">
        <is>
          <t>No</t>
        </is>
      </c>
      <c r="J1387" t="inlineStr">
        <is>
          <t>0</t>
        </is>
      </c>
      <c r="K1387" t="inlineStr">
        <is>
          <t>Goodlad, John I.</t>
        </is>
      </c>
      <c r="L1387" t="inlineStr">
        <is>
          <t>Bloomington, Ind. : Phi Delta Kappa Educational Foundation, c1994.</t>
        </is>
      </c>
      <c r="M1387" t="inlineStr">
        <is>
          <t>1994</t>
        </is>
      </c>
      <c r="N1387" t="inlineStr">
        <is>
          <t>2nd ed.</t>
        </is>
      </c>
      <c r="O1387" t="inlineStr">
        <is>
          <t>eng</t>
        </is>
      </c>
      <c r="P1387" t="inlineStr">
        <is>
          <t>inu</t>
        </is>
      </c>
      <c r="R1387" t="inlineStr">
        <is>
          <t xml:space="preserve">LB </t>
        </is>
      </c>
      <c r="S1387" t="n">
        <v>18</v>
      </c>
      <c r="T1387" t="n">
        <v>18</v>
      </c>
      <c r="U1387" t="inlineStr">
        <is>
          <t>2009-04-26</t>
        </is>
      </c>
      <c r="V1387" t="inlineStr">
        <is>
          <t>2009-04-26</t>
        </is>
      </c>
      <c r="W1387" t="inlineStr">
        <is>
          <t>1995-03-28</t>
        </is>
      </c>
      <c r="X1387" t="inlineStr">
        <is>
          <t>1995-03-28</t>
        </is>
      </c>
      <c r="Y1387" t="n">
        <v>482</v>
      </c>
      <c r="Z1387" t="n">
        <v>448</v>
      </c>
      <c r="AA1387" t="n">
        <v>916</v>
      </c>
      <c r="AB1387" t="n">
        <v>7</v>
      </c>
      <c r="AC1387" t="n">
        <v>12</v>
      </c>
      <c r="AD1387" t="n">
        <v>23</v>
      </c>
      <c r="AE1387" t="n">
        <v>44</v>
      </c>
      <c r="AF1387" t="n">
        <v>11</v>
      </c>
      <c r="AG1387" t="n">
        <v>20</v>
      </c>
      <c r="AH1387" t="n">
        <v>3</v>
      </c>
      <c r="AI1387" t="n">
        <v>6</v>
      </c>
      <c r="AJ1387" t="n">
        <v>8</v>
      </c>
      <c r="AK1387" t="n">
        <v>19</v>
      </c>
      <c r="AL1387" t="n">
        <v>5</v>
      </c>
      <c r="AM1387" t="n">
        <v>9</v>
      </c>
      <c r="AN1387" t="n">
        <v>0</v>
      </c>
      <c r="AO1387" t="n">
        <v>0</v>
      </c>
      <c r="AP1387" t="inlineStr">
        <is>
          <t>No</t>
        </is>
      </c>
      <c r="AQ1387" t="inlineStr">
        <is>
          <t>Yes</t>
        </is>
      </c>
      <c r="AR1387">
        <f>HYPERLINK("http://catalog.hathitrust.org/Record/002907310","HathiTrust Record")</f>
        <v/>
      </c>
      <c r="AS1387">
        <f>HYPERLINK("https://creighton-primo.hosted.exlibrisgroup.com/primo-explore/search?tab=default_tab&amp;search_scope=EVERYTHING&amp;vid=01CRU&amp;lang=en_US&amp;offset=0&amp;query=any,contains,991002401249702656","Catalog Record")</f>
        <v/>
      </c>
      <c r="AT1387">
        <f>HYPERLINK("http://www.worldcat.org/oclc/31207248","WorldCat Record")</f>
        <v/>
      </c>
      <c r="AU1387" t="inlineStr">
        <is>
          <t>19636631:eng</t>
        </is>
      </c>
      <c r="AV1387" t="inlineStr">
        <is>
          <t>31207248</t>
        </is>
      </c>
      <c r="AW1387" t="inlineStr">
        <is>
          <t>991002401249702656</t>
        </is>
      </c>
      <c r="AX1387" t="inlineStr">
        <is>
          <t>991002401249702656</t>
        </is>
      </c>
      <c r="AY1387" t="inlineStr">
        <is>
          <t>2257585540002656</t>
        </is>
      </c>
      <c r="AZ1387" t="inlineStr">
        <is>
          <t>BOOK</t>
        </is>
      </c>
      <c r="BB1387" t="inlineStr">
        <is>
          <t>9780873674676</t>
        </is>
      </c>
      <c r="BC1387" t="inlineStr">
        <is>
          <t>32285002004926</t>
        </is>
      </c>
      <c r="BD1387" t="inlineStr">
        <is>
          <t>893879874</t>
        </is>
      </c>
    </row>
    <row r="1388">
      <c r="A1388" t="inlineStr">
        <is>
          <t>No</t>
        </is>
      </c>
      <c r="B1388" t="inlineStr">
        <is>
          <t>LB41 .H679 2005</t>
        </is>
      </c>
      <c r="C1388" t="inlineStr">
        <is>
          <t>0                      LB 0041000H  679         2005</t>
        </is>
      </c>
      <c r="D1388" t="inlineStr">
        <is>
          <t>Holding values : what we mean by progressive education : essays by members of the North Dakota Study Group / edited by Brenda S. Engel with Anne C. Martin.</t>
        </is>
      </c>
      <c r="F1388" t="inlineStr">
        <is>
          <t>No</t>
        </is>
      </c>
      <c r="G1388" t="inlineStr">
        <is>
          <t>1</t>
        </is>
      </c>
      <c r="H1388" t="inlineStr">
        <is>
          <t>No</t>
        </is>
      </c>
      <c r="I1388" t="inlineStr">
        <is>
          <t>No</t>
        </is>
      </c>
      <c r="J1388" t="inlineStr">
        <is>
          <t>0</t>
        </is>
      </c>
      <c r="L1388" t="inlineStr">
        <is>
          <t>Portsmouth, NH : Heinemann, c2005.</t>
        </is>
      </c>
      <c r="M1388" t="inlineStr">
        <is>
          <t>2005</t>
        </is>
      </c>
      <c r="O1388" t="inlineStr">
        <is>
          <t>eng</t>
        </is>
      </c>
      <c r="P1388" t="inlineStr">
        <is>
          <t>nhu</t>
        </is>
      </c>
      <c r="R1388" t="inlineStr">
        <is>
          <t xml:space="preserve">LB </t>
        </is>
      </c>
      <c r="S1388" t="n">
        <v>4</v>
      </c>
      <c r="T1388" t="n">
        <v>4</v>
      </c>
      <c r="U1388" t="inlineStr">
        <is>
          <t>2008-04-22</t>
        </is>
      </c>
      <c r="V1388" t="inlineStr">
        <is>
          <t>2008-04-22</t>
        </is>
      </c>
      <c r="W1388" t="inlineStr">
        <is>
          <t>2006-05-11</t>
        </is>
      </c>
      <c r="X1388" t="inlineStr">
        <is>
          <t>2006-05-11</t>
        </is>
      </c>
      <c r="Y1388" t="n">
        <v>234</v>
      </c>
      <c r="Z1388" t="n">
        <v>206</v>
      </c>
      <c r="AA1388" t="n">
        <v>208</v>
      </c>
      <c r="AB1388" t="n">
        <v>2</v>
      </c>
      <c r="AC1388" t="n">
        <v>2</v>
      </c>
      <c r="AD1388" t="n">
        <v>6</v>
      </c>
      <c r="AE1388" t="n">
        <v>6</v>
      </c>
      <c r="AF1388" t="n">
        <v>2</v>
      </c>
      <c r="AG1388" t="n">
        <v>2</v>
      </c>
      <c r="AH1388" t="n">
        <v>1</v>
      </c>
      <c r="AI1388" t="n">
        <v>1</v>
      </c>
      <c r="AJ1388" t="n">
        <v>4</v>
      </c>
      <c r="AK1388" t="n">
        <v>4</v>
      </c>
      <c r="AL1388" t="n">
        <v>1</v>
      </c>
      <c r="AM1388" t="n">
        <v>1</v>
      </c>
      <c r="AN1388" t="n">
        <v>0</v>
      </c>
      <c r="AO1388" t="n">
        <v>0</v>
      </c>
      <c r="AP1388" t="inlineStr">
        <is>
          <t>No</t>
        </is>
      </c>
      <c r="AQ1388" t="inlineStr">
        <is>
          <t>Yes</t>
        </is>
      </c>
      <c r="AR1388">
        <f>HYPERLINK("http://catalog.hathitrust.org/Record/004979874","HathiTrust Record")</f>
        <v/>
      </c>
      <c r="AS1388">
        <f>HYPERLINK("https://creighton-primo.hosted.exlibrisgroup.com/primo-explore/search?tab=default_tab&amp;search_scope=EVERYTHING&amp;vid=01CRU&amp;lang=en_US&amp;offset=0&amp;query=any,contains,991004778059702656","Catalog Record")</f>
        <v/>
      </c>
      <c r="AT1388">
        <f>HYPERLINK("http://www.worldcat.org/oclc/56963846","WorldCat Record")</f>
        <v/>
      </c>
      <c r="AU1388" t="inlineStr">
        <is>
          <t>864049810:eng</t>
        </is>
      </c>
      <c r="AV1388" t="inlineStr">
        <is>
          <t>56963846</t>
        </is>
      </c>
      <c r="AW1388" t="inlineStr">
        <is>
          <t>991004778059702656</t>
        </is>
      </c>
      <c r="AX1388" t="inlineStr">
        <is>
          <t>991004778059702656</t>
        </is>
      </c>
      <c r="AY1388" t="inlineStr">
        <is>
          <t>2263406690002656</t>
        </is>
      </c>
      <c r="AZ1388" t="inlineStr">
        <is>
          <t>BOOK</t>
        </is>
      </c>
      <c r="BB1388" t="inlineStr">
        <is>
          <t>9780325007243</t>
        </is>
      </c>
      <c r="BC1388" t="inlineStr">
        <is>
          <t>32285005186142</t>
        </is>
      </c>
      <c r="BD1388" t="inlineStr">
        <is>
          <t>893520042</t>
        </is>
      </c>
    </row>
    <row r="1389">
      <c r="A1389" t="inlineStr">
        <is>
          <t>No</t>
        </is>
      </c>
      <c r="B1389" t="inlineStr">
        <is>
          <t>LB41 .J3 1991</t>
        </is>
      </c>
      <c r="C1389" t="inlineStr">
        <is>
          <t>0                      LB 0041000J  3           1991</t>
        </is>
      </c>
      <c r="D1389" t="inlineStr">
        <is>
          <t>The role of the teacher in the 21st century : an insider's view / by Mary Renck Jalongo.</t>
        </is>
      </c>
      <c r="F1389" t="inlineStr">
        <is>
          <t>No</t>
        </is>
      </c>
      <c r="G1389" t="inlineStr">
        <is>
          <t>1</t>
        </is>
      </c>
      <c r="H1389" t="inlineStr">
        <is>
          <t>No</t>
        </is>
      </c>
      <c r="I1389" t="inlineStr">
        <is>
          <t>No</t>
        </is>
      </c>
      <c r="J1389" t="inlineStr">
        <is>
          <t>0</t>
        </is>
      </c>
      <c r="K1389" t="inlineStr">
        <is>
          <t>Jalongo, Mary Renck.</t>
        </is>
      </c>
      <c r="L1389" t="inlineStr">
        <is>
          <t>Bloomington, Ind. : National Educational Service, c1991.</t>
        </is>
      </c>
      <c r="M1389" t="inlineStr">
        <is>
          <t>1991</t>
        </is>
      </c>
      <c r="O1389" t="inlineStr">
        <is>
          <t>eng</t>
        </is>
      </c>
      <c r="P1389" t="inlineStr">
        <is>
          <t>inu</t>
        </is>
      </c>
      <c r="R1389" t="inlineStr">
        <is>
          <t xml:space="preserve">LB </t>
        </is>
      </c>
      <c r="S1389" t="n">
        <v>10</v>
      </c>
      <c r="T1389" t="n">
        <v>10</v>
      </c>
      <c r="U1389" t="inlineStr">
        <is>
          <t>2008-09-22</t>
        </is>
      </c>
      <c r="V1389" t="inlineStr">
        <is>
          <t>2008-09-22</t>
        </is>
      </c>
      <c r="W1389" t="inlineStr">
        <is>
          <t>1992-11-17</t>
        </is>
      </c>
      <c r="X1389" t="inlineStr">
        <is>
          <t>1992-11-17</t>
        </is>
      </c>
      <c r="Y1389" t="n">
        <v>129</v>
      </c>
      <c r="Z1389" t="n">
        <v>117</v>
      </c>
      <c r="AA1389" t="n">
        <v>122</v>
      </c>
      <c r="AB1389" t="n">
        <v>2</v>
      </c>
      <c r="AC1389" t="n">
        <v>2</v>
      </c>
      <c r="AD1389" t="n">
        <v>7</v>
      </c>
      <c r="AE1389" t="n">
        <v>7</v>
      </c>
      <c r="AF1389" t="n">
        <v>3</v>
      </c>
      <c r="AG1389" t="n">
        <v>3</v>
      </c>
      <c r="AH1389" t="n">
        <v>1</v>
      </c>
      <c r="AI1389" t="n">
        <v>1</v>
      </c>
      <c r="AJ1389" t="n">
        <v>4</v>
      </c>
      <c r="AK1389" t="n">
        <v>4</v>
      </c>
      <c r="AL1389" t="n">
        <v>1</v>
      </c>
      <c r="AM1389" t="n">
        <v>1</v>
      </c>
      <c r="AN1389" t="n">
        <v>0</v>
      </c>
      <c r="AO1389" t="n">
        <v>0</v>
      </c>
      <c r="AP1389" t="inlineStr">
        <is>
          <t>No</t>
        </is>
      </c>
      <c r="AQ1389" t="inlineStr">
        <is>
          <t>No</t>
        </is>
      </c>
      <c r="AS1389">
        <f>HYPERLINK("https://creighton-primo.hosted.exlibrisgroup.com/primo-explore/search?tab=default_tab&amp;search_scope=EVERYTHING&amp;vid=01CRU&amp;lang=en_US&amp;offset=0&amp;query=any,contains,991001944769702656","Catalog Record")</f>
        <v/>
      </c>
      <c r="AT1389">
        <f>HYPERLINK("http://www.worldcat.org/oclc/24564309","WorldCat Record")</f>
        <v/>
      </c>
      <c r="AU1389" t="inlineStr">
        <is>
          <t>330138814:eng</t>
        </is>
      </c>
      <c r="AV1389" t="inlineStr">
        <is>
          <t>24564309</t>
        </is>
      </c>
      <c r="AW1389" t="inlineStr">
        <is>
          <t>991001944769702656</t>
        </is>
      </c>
      <c r="AX1389" t="inlineStr">
        <is>
          <t>991001944769702656</t>
        </is>
      </c>
      <c r="AY1389" t="inlineStr">
        <is>
          <t>2263212840002656</t>
        </is>
      </c>
      <c r="AZ1389" t="inlineStr">
        <is>
          <t>BOOK</t>
        </is>
      </c>
      <c r="BB1389" t="inlineStr">
        <is>
          <t>9781879639003</t>
        </is>
      </c>
      <c r="BC1389" t="inlineStr">
        <is>
          <t>32285001425817</t>
        </is>
      </c>
      <c r="BD1389" t="inlineStr">
        <is>
          <t>893866616</t>
        </is>
      </c>
    </row>
    <row r="1390">
      <c r="A1390" t="inlineStr">
        <is>
          <t>No</t>
        </is>
      </c>
      <c r="B1390" t="inlineStr">
        <is>
          <t>LB41 .P572 1998</t>
        </is>
      </c>
      <c r="C1390" t="inlineStr">
        <is>
          <t>0                      LB 0041000P  572         1998</t>
        </is>
      </c>
      <c r="D1390" t="inlineStr">
        <is>
          <t>Philosophers on education : historical perspectives / edited by Amélie Oksenberg Rorty.</t>
        </is>
      </c>
      <c r="F1390" t="inlineStr">
        <is>
          <t>No</t>
        </is>
      </c>
      <c r="G1390" t="inlineStr">
        <is>
          <t>1</t>
        </is>
      </c>
      <c r="H1390" t="inlineStr">
        <is>
          <t>No</t>
        </is>
      </c>
      <c r="I1390" t="inlineStr">
        <is>
          <t>No</t>
        </is>
      </c>
      <c r="J1390" t="inlineStr">
        <is>
          <t>0</t>
        </is>
      </c>
      <c r="L1390" t="inlineStr">
        <is>
          <t>London ; New York : Routledge, 1998.</t>
        </is>
      </c>
      <c r="M1390" t="inlineStr">
        <is>
          <t>1998</t>
        </is>
      </c>
      <c r="O1390" t="inlineStr">
        <is>
          <t>eng</t>
        </is>
      </c>
      <c r="P1390" t="inlineStr">
        <is>
          <t>enk</t>
        </is>
      </c>
      <c r="R1390" t="inlineStr">
        <is>
          <t xml:space="preserve">LB </t>
        </is>
      </c>
      <c r="S1390" t="n">
        <v>15</v>
      </c>
      <c r="T1390" t="n">
        <v>15</v>
      </c>
      <c r="U1390" t="inlineStr">
        <is>
          <t>2010-07-28</t>
        </is>
      </c>
      <c r="V1390" t="inlineStr">
        <is>
          <t>2010-07-28</t>
        </is>
      </c>
      <c r="W1390" t="inlineStr">
        <is>
          <t>1998-12-10</t>
        </is>
      </c>
      <c r="X1390" t="inlineStr">
        <is>
          <t>1998-12-10</t>
        </is>
      </c>
      <c r="Y1390" t="n">
        <v>426</v>
      </c>
      <c r="Z1390" t="n">
        <v>272</v>
      </c>
      <c r="AA1390" t="n">
        <v>316</v>
      </c>
      <c r="AB1390" t="n">
        <v>3</v>
      </c>
      <c r="AC1390" t="n">
        <v>3</v>
      </c>
      <c r="AD1390" t="n">
        <v>15</v>
      </c>
      <c r="AE1390" t="n">
        <v>15</v>
      </c>
      <c r="AF1390" t="n">
        <v>4</v>
      </c>
      <c r="AG1390" t="n">
        <v>4</v>
      </c>
      <c r="AH1390" t="n">
        <v>6</v>
      </c>
      <c r="AI1390" t="n">
        <v>6</v>
      </c>
      <c r="AJ1390" t="n">
        <v>7</v>
      </c>
      <c r="AK1390" t="n">
        <v>7</v>
      </c>
      <c r="AL1390" t="n">
        <v>2</v>
      </c>
      <c r="AM1390" t="n">
        <v>2</v>
      </c>
      <c r="AN1390" t="n">
        <v>0</v>
      </c>
      <c r="AO1390" t="n">
        <v>0</v>
      </c>
      <c r="AP1390" t="inlineStr">
        <is>
          <t>No</t>
        </is>
      </c>
      <c r="AQ1390" t="inlineStr">
        <is>
          <t>No</t>
        </is>
      </c>
      <c r="AS1390">
        <f>HYPERLINK("https://creighton-primo.hosted.exlibrisgroup.com/primo-explore/search?tab=default_tab&amp;search_scope=EVERYTHING&amp;vid=01CRU&amp;lang=en_US&amp;offset=0&amp;query=any,contains,991002897919702656","Catalog Record")</f>
        <v/>
      </c>
      <c r="AT1390">
        <f>HYPERLINK("http://www.worldcat.org/oclc/38200132","WorldCat Record")</f>
        <v/>
      </c>
      <c r="AU1390" t="inlineStr">
        <is>
          <t>1060419155:eng</t>
        </is>
      </c>
      <c r="AV1390" t="inlineStr">
        <is>
          <t>38200132</t>
        </is>
      </c>
      <c r="AW1390" t="inlineStr">
        <is>
          <t>991002897919702656</t>
        </is>
      </c>
      <c r="AX1390" t="inlineStr">
        <is>
          <t>991002897919702656</t>
        </is>
      </c>
      <c r="AY1390" t="inlineStr">
        <is>
          <t>2262671650002656</t>
        </is>
      </c>
      <c r="AZ1390" t="inlineStr">
        <is>
          <t>BOOK</t>
        </is>
      </c>
      <c r="BB1390" t="inlineStr">
        <is>
          <t>9780415191302</t>
        </is>
      </c>
      <c r="BC1390" t="inlineStr">
        <is>
          <t>32285003505483</t>
        </is>
      </c>
      <c r="BD1390" t="inlineStr">
        <is>
          <t>893352580</t>
        </is>
      </c>
    </row>
    <row r="1391">
      <c r="A1391" t="inlineStr">
        <is>
          <t>No</t>
        </is>
      </c>
      <c r="B1391" t="inlineStr">
        <is>
          <t>LB41 .S554 1987</t>
        </is>
      </c>
      <c r="C1391" t="inlineStr">
        <is>
          <t>0                      LB 0041000S  554         1987</t>
        </is>
      </c>
      <c r="D1391" t="inlineStr">
        <is>
          <t>A pedagogy for liberation : dialogues on transforming education / Ira Shor &amp; Paulo Freire.</t>
        </is>
      </c>
      <c r="F1391" t="inlineStr">
        <is>
          <t>No</t>
        </is>
      </c>
      <c r="G1391" t="inlineStr">
        <is>
          <t>1</t>
        </is>
      </c>
      <c r="H1391" t="inlineStr">
        <is>
          <t>No</t>
        </is>
      </c>
      <c r="I1391" t="inlineStr">
        <is>
          <t>No</t>
        </is>
      </c>
      <c r="J1391" t="inlineStr">
        <is>
          <t>0</t>
        </is>
      </c>
      <c r="K1391" t="inlineStr">
        <is>
          <t>Shor, Ira, 1945-</t>
        </is>
      </c>
      <c r="L1391" t="inlineStr">
        <is>
          <t>South Hadley, Mass. : Bergin &amp; Garvey Publishers, 1987.</t>
        </is>
      </c>
      <c r="M1391" t="inlineStr">
        <is>
          <t>1987</t>
        </is>
      </c>
      <c r="O1391" t="inlineStr">
        <is>
          <t>eng</t>
        </is>
      </c>
      <c r="P1391" t="inlineStr">
        <is>
          <t>mau</t>
        </is>
      </c>
      <c r="R1391" t="inlineStr">
        <is>
          <t xml:space="preserve">LB </t>
        </is>
      </c>
      <c r="S1391" t="n">
        <v>9</v>
      </c>
      <c r="T1391" t="n">
        <v>9</v>
      </c>
      <c r="U1391" t="inlineStr">
        <is>
          <t>2004-12-01</t>
        </is>
      </c>
      <c r="V1391" t="inlineStr">
        <is>
          <t>2004-12-01</t>
        </is>
      </c>
      <c r="W1391" t="inlineStr">
        <is>
          <t>1996-04-22</t>
        </is>
      </c>
      <c r="X1391" t="inlineStr">
        <is>
          <t>1996-04-22</t>
        </is>
      </c>
      <c r="Y1391" t="n">
        <v>898</v>
      </c>
      <c r="Z1391" t="n">
        <v>689</v>
      </c>
      <c r="AA1391" t="n">
        <v>698</v>
      </c>
      <c r="AB1391" t="n">
        <v>4</v>
      </c>
      <c r="AC1391" t="n">
        <v>4</v>
      </c>
      <c r="AD1391" t="n">
        <v>35</v>
      </c>
      <c r="AE1391" t="n">
        <v>35</v>
      </c>
      <c r="AF1391" t="n">
        <v>16</v>
      </c>
      <c r="AG1391" t="n">
        <v>16</v>
      </c>
      <c r="AH1391" t="n">
        <v>7</v>
      </c>
      <c r="AI1391" t="n">
        <v>7</v>
      </c>
      <c r="AJ1391" t="n">
        <v>18</v>
      </c>
      <c r="AK1391" t="n">
        <v>18</v>
      </c>
      <c r="AL1391" t="n">
        <v>3</v>
      </c>
      <c r="AM1391" t="n">
        <v>3</v>
      </c>
      <c r="AN1391" t="n">
        <v>0</v>
      </c>
      <c r="AO1391" t="n">
        <v>0</v>
      </c>
      <c r="AP1391" t="inlineStr">
        <is>
          <t>No</t>
        </is>
      </c>
      <c r="AQ1391" t="inlineStr">
        <is>
          <t>Yes</t>
        </is>
      </c>
      <c r="AR1391">
        <f>HYPERLINK("http://catalog.hathitrust.org/Record/000597210","HathiTrust Record")</f>
        <v/>
      </c>
      <c r="AS1391">
        <f>HYPERLINK("https://creighton-primo.hosted.exlibrisgroup.com/primo-explore/search?tab=default_tab&amp;search_scope=EVERYTHING&amp;vid=01CRU&amp;lang=en_US&amp;offset=0&amp;query=any,contains,991000883669702656","Catalog Record")</f>
        <v/>
      </c>
      <c r="AT1391">
        <f>HYPERLINK("http://www.worldcat.org/oclc/13859747","WorldCat Record")</f>
        <v/>
      </c>
      <c r="AU1391" t="inlineStr">
        <is>
          <t>377497154:eng</t>
        </is>
      </c>
      <c r="AV1391" t="inlineStr">
        <is>
          <t>13859747</t>
        </is>
      </c>
      <c r="AW1391" t="inlineStr">
        <is>
          <t>991000883669702656</t>
        </is>
      </c>
      <c r="AX1391" t="inlineStr">
        <is>
          <t>991000883669702656</t>
        </is>
      </c>
      <c r="AY1391" t="inlineStr">
        <is>
          <t>2268171870002656</t>
        </is>
      </c>
      <c r="AZ1391" t="inlineStr">
        <is>
          <t>BOOK</t>
        </is>
      </c>
      <c r="BB1391" t="inlineStr">
        <is>
          <t>9780897891042</t>
        </is>
      </c>
      <c r="BC1391" t="inlineStr">
        <is>
          <t>32285002155595</t>
        </is>
      </c>
      <c r="BD1391" t="inlineStr">
        <is>
          <t>893502902</t>
        </is>
      </c>
    </row>
    <row r="1392">
      <c r="A1392" t="inlineStr">
        <is>
          <t>No</t>
        </is>
      </c>
      <c r="B1392" t="inlineStr">
        <is>
          <t>LB41 .S789 1988</t>
        </is>
      </c>
      <c r="C1392" t="inlineStr">
        <is>
          <t>0                      LB 0041000S  789         1988</t>
        </is>
      </c>
      <c r="D1392" t="inlineStr">
        <is>
          <t>Essays in philosophy and education / Laurence J. Stott.</t>
        </is>
      </c>
      <c r="F1392" t="inlineStr">
        <is>
          <t>No</t>
        </is>
      </c>
      <c r="G1392" t="inlineStr">
        <is>
          <t>1</t>
        </is>
      </c>
      <c r="H1392" t="inlineStr">
        <is>
          <t>No</t>
        </is>
      </c>
      <c r="I1392" t="inlineStr">
        <is>
          <t>No</t>
        </is>
      </c>
      <c r="J1392" t="inlineStr">
        <is>
          <t>0</t>
        </is>
      </c>
      <c r="K1392" t="inlineStr">
        <is>
          <t>Stott, Laurence J., 1935-</t>
        </is>
      </c>
      <c r="L1392" t="inlineStr">
        <is>
          <t>Lanham, MD : University Press of America, c1988.</t>
        </is>
      </c>
      <c r="M1392" t="inlineStr">
        <is>
          <t>1988</t>
        </is>
      </c>
      <c r="O1392" t="inlineStr">
        <is>
          <t>eng</t>
        </is>
      </c>
      <c r="P1392" t="inlineStr">
        <is>
          <t>mdu</t>
        </is>
      </c>
      <c r="R1392" t="inlineStr">
        <is>
          <t xml:space="preserve">LB </t>
        </is>
      </c>
      <c r="S1392" t="n">
        <v>1</v>
      </c>
      <c r="T1392" t="n">
        <v>1</v>
      </c>
      <c r="U1392" t="inlineStr">
        <is>
          <t>2001-03-26</t>
        </is>
      </c>
      <c r="V1392" t="inlineStr">
        <is>
          <t>2001-03-26</t>
        </is>
      </c>
      <c r="W1392" t="inlineStr">
        <is>
          <t>1992-10-19</t>
        </is>
      </c>
      <c r="X1392" t="inlineStr">
        <is>
          <t>1992-10-19</t>
        </is>
      </c>
      <c r="Y1392" t="n">
        <v>183</v>
      </c>
      <c r="Z1392" t="n">
        <v>142</v>
      </c>
      <c r="AA1392" t="n">
        <v>149</v>
      </c>
      <c r="AB1392" t="n">
        <v>2</v>
      </c>
      <c r="AC1392" t="n">
        <v>2</v>
      </c>
      <c r="AD1392" t="n">
        <v>6</v>
      </c>
      <c r="AE1392" t="n">
        <v>6</v>
      </c>
      <c r="AF1392" t="n">
        <v>1</v>
      </c>
      <c r="AG1392" t="n">
        <v>1</v>
      </c>
      <c r="AH1392" t="n">
        <v>0</v>
      </c>
      <c r="AI1392" t="n">
        <v>0</v>
      </c>
      <c r="AJ1392" t="n">
        <v>4</v>
      </c>
      <c r="AK1392" t="n">
        <v>4</v>
      </c>
      <c r="AL1392" t="n">
        <v>1</v>
      </c>
      <c r="AM1392" t="n">
        <v>1</v>
      </c>
      <c r="AN1392" t="n">
        <v>0</v>
      </c>
      <c r="AO1392" t="n">
        <v>0</v>
      </c>
      <c r="AP1392" t="inlineStr">
        <is>
          <t>No</t>
        </is>
      </c>
      <c r="AQ1392" t="inlineStr">
        <is>
          <t>Yes</t>
        </is>
      </c>
      <c r="AR1392">
        <f>HYPERLINK("http://catalog.hathitrust.org/Record/000925104","HathiTrust Record")</f>
        <v/>
      </c>
      <c r="AS1392">
        <f>HYPERLINK("https://creighton-primo.hosted.exlibrisgroup.com/primo-explore/search?tab=default_tab&amp;search_scope=EVERYTHING&amp;vid=01CRU&amp;lang=en_US&amp;offset=0&amp;query=any,contains,991001281969702656","Catalog Record")</f>
        <v/>
      </c>
      <c r="AT1392">
        <f>HYPERLINK("http://www.worldcat.org/oclc/17918695","WorldCat Record")</f>
        <v/>
      </c>
      <c r="AU1392" t="inlineStr">
        <is>
          <t>16534873:eng</t>
        </is>
      </c>
      <c r="AV1392" t="inlineStr">
        <is>
          <t>17918695</t>
        </is>
      </c>
      <c r="AW1392" t="inlineStr">
        <is>
          <t>991001281969702656</t>
        </is>
      </c>
      <c r="AX1392" t="inlineStr">
        <is>
          <t>991001281969702656</t>
        </is>
      </c>
      <c r="AY1392" t="inlineStr">
        <is>
          <t>2270698330002656</t>
        </is>
      </c>
      <c r="AZ1392" t="inlineStr">
        <is>
          <t>BOOK</t>
        </is>
      </c>
      <c r="BB1392" t="inlineStr">
        <is>
          <t>9780819170408</t>
        </is>
      </c>
      <c r="BC1392" t="inlineStr">
        <is>
          <t>32285001351260</t>
        </is>
      </c>
      <c r="BD1392" t="inlineStr">
        <is>
          <t>893891456</t>
        </is>
      </c>
    </row>
    <row r="1393">
      <c r="A1393" t="inlineStr">
        <is>
          <t>No</t>
        </is>
      </c>
      <c r="B1393" t="inlineStr">
        <is>
          <t>LB41 .W62</t>
        </is>
      </c>
      <c r="C1393" t="inlineStr">
        <is>
          <t>0                      LB 0041000W  62</t>
        </is>
      </c>
      <c r="D1393" t="inlineStr">
        <is>
          <t>Education; a conceptual and empirical approach [by] Mary Alice White [and] Jan Duker.</t>
        </is>
      </c>
      <c r="F1393" t="inlineStr">
        <is>
          <t>No</t>
        </is>
      </c>
      <c r="G1393" t="inlineStr">
        <is>
          <t>1</t>
        </is>
      </c>
      <c r="H1393" t="inlineStr">
        <is>
          <t>No</t>
        </is>
      </c>
      <c r="I1393" t="inlineStr">
        <is>
          <t>No</t>
        </is>
      </c>
      <c r="J1393" t="inlineStr">
        <is>
          <t>0</t>
        </is>
      </c>
      <c r="K1393" t="inlineStr">
        <is>
          <t>White, Mary Alice.</t>
        </is>
      </c>
      <c r="L1393" t="inlineStr">
        <is>
          <t>New York, Holt, Rinehart and Winston [1973]</t>
        </is>
      </c>
      <c r="M1393" t="inlineStr">
        <is>
          <t>1973</t>
        </is>
      </c>
      <c r="O1393" t="inlineStr">
        <is>
          <t>eng</t>
        </is>
      </c>
      <c r="P1393" t="inlineStr">
        <is>
          <t>nyu</t>
        </is>
      </c>
      <c r="R1393" t="inlineStr">
        <is>
          <t xml:space="preserve">LB </t>
        </is>
      </c>
      <c r="S1393" t="n">
        <v>1</v>
      </c>
      <c r="T1393" t="n">
        <v>1</v>
      </c>
      <c r="U1393" t="inlineStr">
        <is>
          <t>2005-09-07</t>
        </is>
      </c>
      <c r="V1393" t="inlineStr">
        <is>
          <t>2005-09-07</t>
        </is>
      </c>
      <c r="W1393" t="inlineStr">
        <is>
          <t>1997-04-24</t>
        </is>
      </c>
      <c r="X1393" t="inlineStr">
        <is>
          <t>1997-04-24</t>
        </is>
      </c>
      <c r="Y1393" t="n">
        <v>304</v>
      </c>
      <c r="Z1393" t="n">
        <v>259</v>
      </c>
      <c r="AA1393" t="n">
        <v>263</v>
      </c>
      <c r="AB1393" t="n">
        <v>2</v>
      </c>
      <c r="AC1393" t="n">
        <v>2</v>
      </c>
      <c r="AD1393" t="n">
        <v>10</v>
      </c>
      <c r="AE1393" t="n">
        <v>10</v>
      </c>
      <c r="AF1393" t="n">
        <v>3</v>
      </c>
      <c r="AG1393" t="n">
        <v>3</v>
      </c>
      <c r="AH1393" t="n">
        <v>1</v>
      </c>
      <c r="AI1393" t="n">
        <v>1</v>
      </c>
      <c r="AJ1393" t="n">
        <v>6</v>
      </c>
      <c r="AK1393" t="n">
        <v>6</v>
      </c>
      <c r="AL1393" t="n">
        <v>1</v>
      </c>
      <c r="AM1393" t="n">
        <v>1</v>
      </c>
      <c r="AN1393" t="n">
        <v>0</v>
      </c>
      <c r="AO1393" t="n">
        <v>0</v>
      </c>
      <c r="AP1393" t="inlineStr">
        <is>
          <t>No</t>
        </is>
      </c>
      <c r="AQ1393" t="inlineStr">
        <is>
          <t>No</t>
        </is>
      </c>
      <c r="AS1393">
        <f>HYPERLINK("https://creighton-primo.hosted.exlibrisgroup.com/primo-explore/search?tab=default_tab&amp;search_scope=EVERYTHING&amp;vid=01CRU&amp;lang=en_US&amp;offset=0&amp;query=any,contains,991003065989702656","Catalog Record")</f>
        <v/>
      </c>
      <c r="AT1393">
        <f>HYPERLINK("http://www.worldcat.org/oclc/622468","WorldCat Record")</f>
        <v/>
      </c>
      <c r="AU1393" t="inlineStr">
        <is>
          <t>902453275:eng</t>
        </is>
      </c>
      <c r="AV1393" t="inlineStr">
        <is>
          <t>622468</t>
        </is>
      </c>
      <c r="AW1393" t="inlineStr">
        <is>
          <t>991003065989702656</t>
        </is>
      </c>
      <c r="AX1393" t="inlineStr">
        <is>
          <t>991003065989702656</t>
        </is>
      </c>
      <c r="AY1393" t="inlineStr">
        <is>
          <t>2256997650002656</t>
        </is>
      </c>
      <c r="AZ1393" t="inlineStr">
        <is>
          <t>BOOK</t>
        </is>
      </c>
      <c r="BB1393" t="inlineStr">
        <is>
          <t>9780030802096</t>
        </is>
      </c>
      <c r="BC1393" t="inlineStr">
        <is>
          <t>32285002597978</t>
        </is>
      </c>
      <c r="BD1393" t="inlineStr">
        <is>
          <t>893874393</t>
        </is>
      </c>
    </row>
    <row r="1394">
      <c r="A1394" t="inlineStr">
        <is>
          <t>No</t>
        </is>
      </c>
      <c r="B1394" t="inlineStr">
        <is>
          <t>LB45 .K36</t>
        </is>
      </c>
      <c r="C1394" t="inlineStr">
        <is>
          <t>0                      LB 0045000K  36</t>
        </is>
      </c>
      <c r="D1394" t="inlineStr">
        <is>
          <t>The myth of cultural deprivation. Edited with an introd. by Nell Keddie.</t>
        </is>
      </c>
      <c r="F1394" t="inlineStr">
        <is>
          <t>No</t>
        </is>
      </c>
      <c r="G1394" t="inlineStr">
        <is>
          <t>1</t>
        </is>
      </c>
      <c r="H1394" t="inlineStr">
        <is>
          <t>No</t>
        </is>
      </c>
      <c r="I1394" t="inlineStr">
        <is>
          <t>No</t>
        </is>
      </c>
      <c r="J1394" t="inlineStr">
        <is>
          <t>0</t>
        </is>
      </c>
      <c r="K1394" t="inlineStr">
        <is>
          <t>Keddie, Nell, compiler.</t>
        </is>
      </c>
      <c r="L1394" t="inlineStr">
        <is>
          <t>[Harmondsworth, Eng., Baltimore, Md., Penguin Books, 1973]</t>
        </is>
      </c>
      <c r="M1394" t="inlineStr">
        <is>
          <t>1973</t>
        </is>
      </c>
      <c r="O1394" t="inlineStr">
        <is>
          <t>eng</t>
        </is>
      </c>
      <c r="P1394" t="inlineStr">
        <is>
          <t>enk</t>
        </is>
      </c>
      <c r="Q1394" t="inlineStr">
        <is>
          <t>Penguin Education</t>
        </is>
      </c>
      <c r="R1394" t="inlineStr">
        <is>
          <t xml:space="preserve">LB </t>
        </is>
      </c>
      <c r="S1394" t="n">
        <v>1</v>
      </c>
      <c r="T1394" t="n">
        <v>1</v>
      </c>
      <c r="U1394" t="inlineStr">
        <is>
          <t>2005-05-03</t>
        </is>
      </c>
      <c r="V1394" t="inlineStr">
        <is>
          <t>2005-05-03</t>
        </is>
      </c>
      <c r="W1394" t="inlineStr">
        <is>
          <t>1997-04-24</t>
        </is>
      </c>
      <c r="X1394" t="inlineStr">
        <is>
          <t>1997-04-24</t>
        </is>
      </c>
      <c r="Y1394" t="n">
        <v>206</v>
      </c>
      <c r="Z1394" t="n">
        <v>198</v>
      </c>
      <c r="AA1394" t="n">
        <v>200</v>
      </c>
      <c r="AB1394" t="n">
        <v>3</v>
      </c>
      <c r="AC1394" t="n">
        <v>3</v>
      </c>
      <c r="AD1394" t="n">
        <v>8</v>
      </c>
      <c r="AE1394" t="n">
        <v>8</v>
      </c>
      <c r="AF1394" t="n">
        <v>2</v>
      </c>
      <c r="AG1394" t="n">
        <v>2</v>
      </c>
      <c r="AH1394" t="n">
        <v>2</v>
      </c>
      <c r="AI1394" t="n">
        <v>2</v>
      </c>
      <c r="AJ1394" t="n">
        <v>4</v>
      </c>
      <c r="AK1394" t="n">
        <v>4</v>
      </c>
      <c r="AL1394" t="n">
        <v>2</v>
      </c>
      <c r="AM1394" t="n">
        <v>2</v>
      </c>
      <c r="AN1394" t="n">
        <v>0</v>
      </c>
      <c r="AO1394" t="n">
        <v>0</v>
      </c>
      <c r="AP1394" t="inlineStr">
        <is>
          <t>No</t>
        </is>
      </c>
      <c r="AQ1394" t="inlineStr">
        <is>
          <t>Yes</t>
        </is>
      </c>
      <c r="AR1394">
        <f>HYPERLINK("http://catalog.hathitrust.org/Record/101145387","HathiTrust Record")</f>
        <v/>
      </c>
      <c r="AS1394">
        <f>HYPERLINK("https://creighton-primo.hosted.exlibrisgroup.com/primo-explore/search?tab=default_tab&amp;search_scope=EVERYTHING&amp;vid=01CRU&amp;lang=en_US&amp;offset=0&amp;query=any,contains,991003295449702656","Catalog Record")</f>
        <v/>
      </c>
      <c r="AT1394">
        <f>HYPERLINK("http://www.worldcat.org/oclc/817701","WorldCat Record")</f>
        <v/>
      </c>
      <c r="AU1394" t="inlineStr">
        <is>
          <t>3902278898:eng</t>
        </is>
      </c>
      <c r="AV1394" t="inlineStr">
        <is>
          <t>817701</t>
        </is>
      </c>
      <c r="AW1394" t="inlineStr">
        <is>
          <t>991003295449702656</t>
        </is>
      </c>
      <c r="AX1394" t="inlineStr">
        <is>
          <t>991003295449702656</t>
        </is>
      </c>
      <c r="AY1394" t="inlineStr">
        <is>
          <t>2269826230002656</t>
        </is>
      </c>
      <c r="AZ1394" t="inlineStr">
        <is>
          <t>BOOK</t>
        </is>
      </c>
      <c r="BB1394" t="inlineStr">
        <is>
          <t>9780140803501</t>
        </is>
      </c>
      <c r="BC1394" t="inlineStr">
        <is>
          <t>32285002597994</t>
        </is>
      </c>
      <c r="BD1394" t="inlineStr">
        <is>
          <t>893428645</t>
        </is>
      </c>
    </row>
    <row r="1395">
      <c r="A1395" t="inlineStr">
        <is>
          <t>No</t>
        </is>
      </c>
      <c r="B1395" t="inlineStr">
        <is>
          <t>LB45 .P35 2001</t>
        </is>
      </c>
      <c r="C1395" t="inlineStr">
        <is>
          <t>0                      LB 0045000P  35          2001</t>
        </is>
      </c>
      <c r="D1395" t="inlineStr">
        <is>
          <t>Cultural foundations of education / Young Pai, Susan A. Adler.</t>
        </is>
      </c>
      <c r="F1395" t="inlineStr">
        <is>
          <t>No</t>
        </is>
      </c>
      <c r="G1395" t="inlineStr">
        <is>
          <t>1</t>
        </is>
      </c>
      <c r="H1395" t="inlineStr">
        <is>
          <t>No</t>
        </is>
      </c>
      <c r="I1395" t="inlineStr">
        <is>
          <t>No</t>
        </is>
      </c>
      <c r="J1395" t="inlineStr">
        <is>
          <t>0</t>
        </is>
      </c>
      <c r="K1395" t="inlineStr">
        <is>
          <t>Pai, Young, 1929-</t>
        </is>
      </c>
      <c r="L1395" t="inlineStr">
        <is>
          <t>Upper Saddle River, N.J. : Merrill, c2001.</t>
        </is>
      </c>
      <c r="M1395" t="inlineStr">
        <is>
          <t>2001</t>
        </is>
      </c>
      <c r="N1395" t="inlineStr">
        <is>
          <t>3rd ed.</t>
        </is>
      </c>
      <c r="O1395" t="inlineStr">
        <is>
          <t>eng</t>
        </is>
      </c>
      <c r="P1395" t="inlineStr">
        <is>
          <t>nju</t>
        </is>
      </c>
      <c r="R1395" t="inlineStr">
        <is>
          <t xml:space="preserve">LB </t>
        </is>
      </c>
      <c r="S1395" t="n">
        <v>4</v>
      </c>
      <c r="T1395" t="n">
        <v>4</v>
      </c>
      <c r="U1395" t="inlineStr">
        <is>
          <t>2005-11-16</t>
        </is>
      </c>
      <c r="V1395" t="inlineStr">
        <is>
          <t>2005-11-16</t>
        </is>
      </c>
      <c r="W1395" t="inlineStr">
        <is>
          <t>2001-10-03</t>
        </is>
      </c>
      <c r="X1395" t="inlineStr">
        <is>
          <t>2001-10-03</t>
        </is>
      </c>
      <c r="Y1395" t="n">
        <v>182</v>
      </c>
      <c r="Z1395" t="n">
        <v>151</v>
      </c>
      <c r="AA1395" t="n">
        <v>435</v>
      </c>
      <c r="AB1395" t="n">
        <v>1</v>
      </c>
      <c r="AC1395" t="n">
        <v>4</v>
      </c>
      <c r="AD1395" t="n">
        <v>5</v>
      </c>
      <c r="AE1395" t="n">
        <v>14</v>
      </c>
      <c r="AF1395" t="n">
        <v>3</v>
      </c>
      <c r="AG1395" t="n">
        <v>3</v>
      </c>
      <c r="AH1395" t="n">
        <v>1</v>
      </c>
      <c r="AI1395" t="n">
        <v>3</v>
      </c>
      <c r="AJ1395" t="n">
        <v>2</v>
      </c>
      <c r="AK1395" t="n">
        <v>8</v>
      </c>
      <c r="AL1395" t="n">
        <v>0</v>
      </c>
      <c r="AM1395" t="n">
        <v>3</v>
      </c>
      <c r="AN1395" t="n">
        <v>0</v>
      </c>
      <c r="AO1395" t="n">
        <v>0</v>
      </c>
      <c r="AP1395" t="inlineStr">
        <is>
          <t>No</t>
        </is>
      </c>
      <c r="AQ1395" t="inlineStr">
        <is>
          <t>Yes</t>
        </is>
      </c>
      <c r="AR1395">
        <f>HYPERLINK("http://catalog.hathitrust.org/Record/004352889","HathiTrust Record")</f>
        <v/>
      </c>
      <c r="AS1395">
        <f>HYPERLINK("https://creighton-primo.hosted.exlibrisgroup.com/primo-explore/search?tab=default_tab&amp;search_scope=EVERYTHING&amp;vid=01CRU&amp;lang=en_US&amp;offset=0&amp;query=any,contains,991003609359702656","Catalog Record")</f>
        <v/>
      </c>
      <c r="AT1395">
        <f>HYPERLINK("http://www.worldcat.org/oclc/43810929","WorldCat Record")</f>
        <v/>
      </c>
      <c r="AU1395" t="inlineStr">
        <is>
          <t>14462986:eng</t>
        </is>
      </c>
      <c r="AV1395" t="inlineStr">
        <is>
          <t>43810929</t>
        </is>
      </c>
      <c r="AW1395" t="inlineStr">
        <is>
          <t>991003609359702656</t>
        </is>
      </c>
      <c r="AX1395" t="inlineStr">
        <is>
          <t>991003609359702656</t>
        </is>
      </c>
      <c r="AY1395" t="inlineStr">
        <is>
          <t>2269527710002656</t>
        </is>
      </c>
      <c r="AZ1395" t="inlineStr">
        <is>
          <t>BOOK</t>
        </is>
      </c>
      <c r="BB1395" t="inlineStr">
        <is>
          <t>9780130852557</t>
        </is>
      </c>
      <c r="BC1395" t="inlineStr">
        <is>
          <t>32285004395058</t>
        </is>
      </c>
      <c r="BD1395" t="inlineStr">
        <is>
          <t>893692917</t>
        </is>
      </c>
    </row>
    <row r="1396">
      <c r="A1396" t="inlineStr">
        <is>
          <t>No</t>
        </is>
      </c>
      <c r="B1396" t="inlineStr">
        <is>
          <t>LB475.L6 A3 1964</t>
        </is>
      </c>
      <c r="C1396" t="inlineStr">
        <is>
          <t>0                      LB 0475000L  6                  A  3           1964</t>
        </is>
      </c>
      <c r="D1396" t="inlineStr">
        <is>
          <t>Some thoughts concerning education / abridged and edited, with an introd. and commentary by F. W. Garforth.</t>
        </is>
      </c>
      <c r="F1396" t="inlineStr">
        <is>
          <t>No</t>
        </is>
      </c>
      <c r="G1396" t="inlineStr">
        <is>
          <t>1</t>
        </is>
      </c>
      <c r="H1396" t="inlineStr">
        <is>
          <t>No</t>
        </is>
      </c>
      <c r="I1396" t="inlineStr">
        <is>
          <t>No</t>
        </is>
      </c>
      <c r="J1396" t="inlineStr">
        <is>
          <t>0</t>
        </is>
      </c>
      <c r="K1396" t="inlineStr">
        <is>
          <t>Locke, John, 1632-1704.</t>
        </is>
      </c>
      <c r="L1396" t="inlineStr">
        <is>
          <t>Woodbury, N.Y. : Barron's Educational Series, [1964]</t>
        </is>
      </c>
      <c r="M1396" t="inlineStr">
        <is>
          <t>1964</t>
        </is>
      </c>
      <c r="O1396" t="inlineStr">
        <is>
          <t>eng</t>
        </is>
      </c>
      <c r="P1396" t="inlineStr">
        <is>
          <t xml:space="preserve">xx </t>
        </is>
      </c>
      <c r="R1396" t="inlineStr">
        <is>
          <t xml:space="preserve">LB </t>
        </is>
      </c>
      <c r="S1396" t="n">
        <v>10</v>
      </c>
      <c r="T1396" t="n">
        <v>10</v>
      </c>
      <c r="U1396" t="inlineStr">
        <is>
          <t>2007-11-02</t>
        </is>
      </c>
      <c r="V1396" t="inlineStr">
        <is>
          <t>2007-11-02</t>
        </is>
      </c>
      <c r="W1396" t="inlineStr">
        <is>
          <t>1999-09-07</t>
        </is>
      </c>
      <c r="X1396" t="inlineStr">
        <is>
          <t>1999-09-07</t>
        </is>
      </c>
      <c r="Y1396" t="n">
        <v>435</v>
      </c>
      <c r="Z1396" t="n">
        <v>395</v>
      </c>
      <c r="AA1396" t="n">
        <v>2042</v>
      </c>
      <c r="AB1396" t="n">
        <v>6</v>
      </c>
      <c r="AC1396" t="n">
        <v>25</v>
      </c>
      <c r="AD1396" t="n">
        <v>20</v>
      </c>
      <c r="AE1396" t="n">
        <v>66</v>
      </c>
      <c r="AF1396" t="n">
        <v>6</v>
      </c>
      <c r="AG1396" t="n">
        <v>25</v>
      </c>
      <c r="AH1396" t="n">
        <v>5</v>
      </c>
      <c r="AI1396" t="n">
        <v>11</v>
      </c>
      <c r="AJ1396" t="n">
        <v>8</v>
      </c>
      <c r="AK1396" t="n">
        <v>25</v>
      </c>
      <c r="AL1396" t="n">
        <v>5</v>
      </c>
      <c r="AM1396" t="n">
        <v>17</v>
      </c>
      <c r="AN1396" t="n">
        <v>0</v>
      </c>
      <c r="AO1396" t="n">
        <v>1</v>
      </c>
      <c r="AP1396" t="inlineStr">
        <is>
          <t>No</t>
        </is>
      </c>
      <c r="AQ1396" t="inlineStr">
        <is>
          <t>Yes</t>
        </is>
      </c>
      <c r="AR1396">
        <f>HYPERLINK("http://catalog.hathitrust.org/Record/006503296","HathiTrust Record")</f>
        <v/>
      </c>
      <c r="AS1396">
        <f>HYPERLINK("https://creighton-primo.hosted.exlibrisgroup.com/primo-explore/search?tab=default_tab&amp;search_scope=EVERYTHING&amp;vid=01CRU&amp;lang=en_US&amp;offset=0&amp;query=any,contains,991002370759702656","Catalog Record")</f>
        <v/>
      </c>
      <c r="AT1396">
        <f>HYPERLINK("http://www.worldcat.org/oclc/326861","WorldCat Record")</f>
        <v/>
      </c>
      <c r="AU1396" t="inlineStr">
        <is>
          <t>4916776685:eng</t>
        </is>
      </c>
      <c r="AV1396" t="inlineStr">
        <is>
          <t>326861</t>
        </is>
      </c>
      <c r="AW1396" t="inlineStr">
        <is>
          <t>991002370759702656</t>
        </is>
      </c>
      <c r="AX1396" t="inlineStr">
        <is>
          <t>991002370759702656</t>
        </is>
      </c>
      <c r="AY1396" t="inlineStr">
        <is>
          <t>2271981150002656</t>
        </is>
      </c>
      <c r="AZ1396" t="inlineStr">
        <is>
          <t>BOOK</t>
        </is>
      </c>
      <c r="BC1396" t="inlineStr">
        <is>
          <t>32285003264727</t>
        </is>
      </c>
      <c r="BD1396" t="inlineStr">
        <is>
          <t>893685287</t>
        </is>
      </c>
    </row>
    <row r="1397">
      <c r="A1397" t="inlineStr">
        <is>
          <t>No</t>
        </is>
      </c>
      <c r="B1397" t="inlineStr">
        <is>
          <t>LB5 .F3 no.156</t>
        </is>
      </c>
      <c r="C1397" t="inlineStr">
        <is>
          <t>0                      LB 0005000F  3                                                       no.156</t>
        </is>
      </c>
      <c r="D1397" t="inlineStr">
        <is>
          <t>Title IX : implications for education of women / by Frank D. Aquila.</t>
        </is>
      </c>
      <c r="E1397" t="inlineStr">
        <is>
          <t>no.156*</t>
        </is>
      </c>
      <c r="F1397" t="inlineStr">
        <is>
          <t>No</t>
        </is>
      </c>
      <c r="G1397" t="inlineStr">
        <is>
          <t>1</t>
        </is>
      </c>
      <c r="H1397" t="inlineStr">
        <is>
          <t>No</t>
        </is>
      </c>
      <c r="I1397" t="inlineStr">
        <is>
          <t>No</t>
        </is>
      </c>
      <c r="J1397" t="inlineStr">
        <is>
          <t>0</t>
        </is>
      </c>
      <c r="K1397" t="inlineStr">
        <is>
          <t>Aquila, Frank D.</t>
        </is>
      </c>
      <c r="L1397" t="inlineStr">
        <is>
          <t>Bloomington, Ind. : Phi Delta Kappa Educational Foundation, 1981.</t>
        </is>
      </c>
      <c r="M1397" t="inlineStr">
        <is>
          <t>1981</t>
        </is>
      </c>
      <c r="O1397" t="inlineStr">
        <is>
          <t>eng</t>
        </is>
      </c>
      <c r="P1397" t="inlineStr">
        <is>
          <t>inu</t>
        </is>
      </c>
      <c r="Q1397" t="inlineStr">
        <is>
          <t>Fastback (Bloomington, Ind.) ; 156</t>
        </is>
      </c>
      <c r="R1397" t="inlineStr">
        <is>
          <t xml:space="preserve">LB </t>
        </is>
      </c>
      <c r="S1397" t="n">
        <v>12</v>
      </c>
      <c r="T1397" t="n">
        <v>12</v>
      </c>
      <c r="U1397" t="inlineStr">
        <is>
          <t>2007-02-10</t>
        </is>
      </c>
      <c r="V1397" t="inlineStr">
        <is>
          <t>2007-02-10</t>
        </is>
      </c>
      <c r="W1397" t="inlineStr">
        <is>
          <t>1992-08-21</t>
        </is>
      </c>
      <c r="X1397" t="inlineStr">
        <is>
          <t>1992-08-21</t>
        </is>
      </c>
      <c r="Y1397" t="n">
        <v>263</v>
      </c>
      <c r="Z1397" t="n">
        <v>245</v>
      </c>
      <c r="AA1397" t="n">
        <v>252</v>
      </c>
      <c r="AB1397" t="n">
        <v>5</v>
      </c>
      <c r="AC1397" t="n">
        <v>5</v>
      </c>
      <c r="AD1397" t="n">
        <v>11</v>
      </c>
      <c r="AE1397" t="n">
        <v>11</v>
      </c>
      <c r="AF1397" t="n">
        <v>3</v>
      </c>
      <c r="AG1397" t="n">
        <v>3</v>
      </c>
      <c r="AH1397" t="n">
        <v>2</v>
      </c>
      <c r="AI1397" t="n">
        <v>2</v>
      </c>
      <c r="AJ1397" t="n">
        <v>4</v>
      </c>
      <c r="AK1397" t="n">
        <v>4</v>
      </c>
      <c r="AL1397" t="n">
        <v>4</v>
      </c>
      <c r="AM1397" t="n">
        <v>4</v>
      </c>
      <c r="AN1397" t="n">
        <v>0</v>
      </c>
      <c r="AO1397" t="n">
        <v>0</v>
      </c>
      <c r="AP1397" t="inlineStr">
        <is>
          <t>No</t>
        </is>
      </c>
      <c r="AQ1397" t="inlineStr">
        <is>
          <t>Yes</t>
        </is>
      </c>
      <c r="AR1397">
        <f>HYPERLINK("http://catalog.hathitrust.org/Record/009908858","HathiTrust Record")</f>
        <v/>
      </c>
      <c r="AS1397">
        <f>HYPERLINK("https://creighton-primo.hosted.exlibrisgroup.com/primo-explore/search?tab=default_tab&amp;search_scope=EVERYTHING&amp;vid=01CRU&amp;lang=en_US&amp;offset=0&amp;query=any,contains,991005121149702656","Catalog Record")</f>
        <v/>
      </c>
      <c r="AT1397">
        <f>HYPERLINK("http://www.worldcat.org/oclc/8806598","WorldCat Record")</f>
        <v/>
      </c>
      <c r="AU1397" t="inlineStr">
        <is>
          <t>919284726:eng</t>
        </is>
      </c>
      <c r="AV1397" t="inlineStr">
        <is>
          <t>8806598</t>
        </is>
      </c>
      <c r="AW1397" t="inlineStr">
        <is>
          <t>991005121149702656</t>
        </is>
      </c>
      <c r="AX1397" t="inlineStr">
        <is>
          <t>991005121149702656</t>
        </is>
      </c>
      <c r="AY1397" t="inlineStr">
        <is>
          <t>2258432410002656</t>
        </is>
      </c>
      <c r="AZ1397" t="inlineStr">
        <is>
          <t>BOOK</t>
        </is>
      </c>
      <c r="BB1397" t="inlineStr">
        <is>
          <t>9780873671569</t>
        </is>
      </c>
      <c r="BC1397" t="inlineStr">
        <is>
          <t>32285001280329</t>
        </is>
      </c>
      <c r="BD1397" t="inlineStr">
        <is>
          <t>893594506</t>
        </is>
      </c>
    </row>
    <row r="1398">
      <c r="A1398" t="inlineStr">
        <is>
          <t>No</t>
        </is>
      </c>
      <c r="B1398" t="inlineStr">
        <is>
          <t>LB5 .N25 v. 101 pt. 1</t>
        </is>
      </c>
      <c r="C1398" t="inlineStr">
        <is>
          <t>0                      LB 0005000N  25                                                      v. 101 pt. 1</t>
        </is>
      </c>
      <c r="D1398" t="inlineStr">
        <is>
          <t>The educational leadership challenge : redefining leadership for the 21st century / edited by Joseph Murphy.</t>
        </is>
      </c>
      <c r="E1398" t="inlineStr">
        <is>
          <t>V. 101 PT. 1</t>
        </is>
      </c>
      <c r="F1398" t="inlineStr">
        <is>
          <t>No</t>
        </is>
      </c>
      <c r="G1398" t="inlineStr">
        <is>
          <t>1</t>
        </is>
      </c>
      <c r="H1398" t="inlineStr">
        <is>
          <t>No</t>
        </is>
      </c>
      <c r="I1398" t="inlineStr">
        <is>
          <t>No</t>
        </is>
      </c>
      <c r="J1398" t="inlineStr">
        <is>
          <t>0</t>
        </is>
      </c>
      <c r="L1398" t="inlineStr">
        <is>
          <t>Chicago : NSSE : Distributed by University of Chicago Press, 2002.</t>
        </is>
      </c>
      <c r="M1398" t="inlineStr">
        <is>
          <t>2002</t>
        </is>
      </c>
      <c r="O1398" t="inlineStr">
        <is>
          <t>eng</t>
        </is>
      </c>
      <c r="P1398" t="inlineStr">
        <is>
          <t>ilu</t>
        </is>
      </c>
      <c r="Q1398" t="inlineStr">
        <is>
          <t>One hundred-first yearbook of the National Society for the Study of Education, 0077-5762 ; pt. 1</t>
        </is>
      </c>
      <c r="R1398" t="inlineStr">
        <is>
          <t xml:space="preserve">LB </t>
        </is>
      </c>
      <c r="S1398" t="n">
        <v>5</v>
      </c>
      <c r="T1398" t="n">
        <v>5</v>
      </c>
      <c r="U1398" t="inlineStr">
        <is>
          <t>2008-04-22</t>
        </is>
      </c>
      <c r="V1398" t="inlineStr">
        <is>
          <t>2008-04-22</t>
        </is>
      </c>
      <c r="W1398" t="inlineStr">
        <is>
          <t>2002-07-25</t>
        </is>
      </c>
      <c r="X1398" t="inlineStr">
        <is>
          <t>2002-07-25</t>
        </is>
      </c>
      <c r="Y1398" t="n">
        <v>827</v>
      </c>
      <c r="Z1398" t="n">
        <v>714</v>
      </c>
      <c r="AA1398" t="n">
        <v>716</v>
      </c>
      <c r="AB1398" t="n">
        <v>10</v>
      </c>
      <c r="AC1398" t="n">
        <v>10</v>
      </c>
      <c r="AD1398" t="n">
        <v>46</v>
      </c>
      <c r="AE1398" t="n">
        <v>46</v>
      </c>
      <c r="AF1398" t="n">
        <v>20</v>
      </c>
      <c r="AG1398" t="n">
        <v>20</v>
      </c>
      <c r="AH1398" t="n">
        <v>9</v>
      </c>
      <c r="AI1398" t="n">
        <v>9</v>
      </c>
      <c r="AJ1398" t="n">
        <v>18</v>
      </c>
      <c r="AK1398" t="n">
        <v>18</v>
      </c>
      <c r="AL1398" t="n">
        <v>9</v>
      </c>
      <c r="AM1398" t="n">
        <v>9</v>
      </c>
      <c r="AN1398" t="n">
        <v>0</v>
      </c>
      <c r="AO1398" t="n">
        <v>0</v>
      </c>
      <c r="AP1398" t="inlineStr">
        <is>
          <t>No</t>
        </is>
      </c>
      <c r="AQ1398" t="inlineStr">
        <is>
          <t>Yes</t>
        </is>
      </c>
      <c r="AR1398">
        <f>HYPERLINK("http://catalog.hathitrust.org/Record/003786522","HathiTrust Record")</f>
        <v/>
      </c>
      <c r="AS1398">
        <f>HYPERLINK("https://creighton-primo.hosted.exlibrisgroup.com/primo-explore/search?tab=default_tab&amp;search_scope=EVERYTHING&amp;vid=01CRU&amp;lang=en_US&amp;offset=0&amp;query=any,contains,991003843969702656","Catalog Record")</f>
        <v/>
      </c>
      <c r="AT1398">
        <f>HYPERLINK("http://www.worldcat.org/oclc/49888062","WorldCat Record")</f>
        <v/>
      </c>
      <c r="AU1398" t="inlineStr">
        <is>
          <t>840166790:eng</t>
        </is>
      </c>
      <c r="AV1398" t="inlineStr">
        <is>
          <t>49888062</t>
        </is>
      </c>
      <c r="AW1398" t="inlineStr">
        <is>
          <t>991003843969702656</t>
        </is>
      </c>
      <c r="AX1398" t="inlineStr">
        <is>
          <t>991003843969702656</t>
        </is>
      </c>
      <c r="AY1398" t="inlineStr">
        <is>
          <t>2272344080002656</t>
        </is>
      </c>
      <c r="AZ1398" t="inlineStr">
        <is>
          <t>BOOK</t>
        </is>
      </c>
      <c r="BC1398" t="inlineStr">
        <is>
          <t>32285004499371</t>
        </is>
      </c>
      <c r="BD1398" t="inlineStr">
        <is>
          <t>893705691</t>
        </is>
      </c>
    </row>
    <row r="1399">
      <c r="A1399" t="inlineStr">
        <is>
          <t>No</t>
        </is>
      </c>
      <c r="B1399" t="inlineStr">
        <is>
          <t>LB5 .N25 v. 101 pt. 2</t>
        </is>
      </c>
      <c r="C1399" t="inlineStr">
        <is>
          <t>0                      LB 0005000N  25                                                      v. 101 pt. 2</t>
        </is>
      </c>
      <c r="D1399" t="inlineStr">
        <is>
          <t>Educating at-risk students / edited by Sam Stringfield and Deborah Land.</t>
        </is>
      </c>
      <c r="E1399" t="inlineStr">
        <is>
          <t>V. 101 PT. 2</t>
        </is>
      </c>
      <c r="F1399" t="inlineStr">
        <is>
          <t>No</t>
        </is>
      </c>
      <c r="G1399" t="inlineStr">
        <is>
          <t>1</t>
        </is>
      </c>
      <c r="H1399" t="inlineStr">
        <is>
          <t>No</t>
        </is>
      </c>
      <c r="I1399" t="inlineStr">
        <is>
          <t>No</t>
        </is>
      </c>
      <c r="J1399" t="inlineStr">
        <is>
          <t>0</t>
        </is>
      </c>
      <c r="L1399" t="inlineStr">
        <is>
          <t>Chicago : NSSE : Distributed by University of Chicago Press, 2002.</t>
        </is>
      </c>
      <c r="M1399" t="inlineStr">
        <is>
          <t>2002</t>
        </is>
      </c>
      <c r="O1399" t="inlineStr">
        <is>
          <t>eng</t>
        </is>
      </c>
      <c r="P1399" t="inlineStr">
        <is>
          <t>ilu</t>
        </is>
      </c>
      <c r="Q1399" t="inlineStr">
        <is>
          <t>One hundred-first Yearbook of the National Society for the Study of Education, 0077-5762 ; pt. 2</t>
        </is>
      </c>
      <c r="R1399" t="inlineStr">
        <is>
          <t xml:space="preserve">LB </t>
        </is>
      </c>
      <c r="S1399" t="n">
        <v>4</v>
      </c>
      <c r="T1399" t="n">
        <v>4</v>
      </c>
      <c r="U1399" t="inlineStr">
        <is>
          <t>2008-11-05</t>
        </is>
      </c>
      <c r="V1399" t="inlineStr">
        <is>
          <t>2008-11-05</t>
        </is>
      </c>
      <c r="W1399" t="inlineStr">
        <is>
          <t>2002-07-25</t>
        </is>
      </c>
      <c r="X1399" t="inlineStr">
        <is>
          <t>2002-07-25</t>
        </is>
      </c>
      <c r="Y1399" t="n">
        <v>799</v>
      </c>
      <c r="Z1399" t="n">
        <v>709</v>
      </c>
      <c r="AA1399" t="n">
        <v>715</v>
      </c>
      <c r="AB1399" t="n">
        <v>10</v>
      </c>
      <c r="AC1399" t="n">
        <v>10</v>
      </c>
      <c r="AD1399" t="n">
        <v>45</v>
      </c>
      <c r="AE1399" t="n">
        <v>45</v>
      </c>
      <c r="AF1399" t="n">
        <v>18</v>
      </c>
      <c r="AG1399" t="n">
        <v>18</v>
      </c>
      <c r="AH1399" t="n">
        <v>9</v>
      </c>
      <c r="AI1399" t="n">
        <v>9</v>
      </c>
      <c r="AJ1399" t="n">
        <v>19</v>
      </c>
      <c r="AK1399" t="n">
        <v>19</v>
      </c>
      <c r="AL1399" t="n">
        <v>9</v>
      </c>
      <c r="AM1399" t="n">
        <v>9</v>
      </c>
      <c r="AN1399" t="n">
        <v>0</v>
      </c>
      <c r="AO1399" t="n">
        <v>0</v>
      </c>
      <c r="AP1399" t="inlineStr">
        <is>
          <t>No</t>
        </is>
      </c>
      <c r="AQ1399" t="inlineStr">
        <is>
          <t>Yes</t>
        </is>
      </c>
      <c r="AR1399">
        <f>HYPERLINK("http://catalog.hathitrust.org/Record/003786523","HathiTrust Record")</f>
        <v/>
      </c>
      <c r="AS1399">
        <f>HYPERLINK("https://creighton-primo.hosted.exlibrisgroup.com/primo-explore/search?tab=default_tab&amp;search_scope=EVERYTHING&amp;vid=01CRU&amp;lang=en_US&amp;offset=0&amp;query=any,contains,991003843939702656","Catalog Record")</f>
        <v/>
      </c>
      <c r="AT1399">
        <f>HYPERLINK("http://www.worldcat.org/oclc/49888477","WorldCat Record")</f>
        <v/>
      </c>
      <c r="AU1399" t="inlineStr">
        <is>
          <t>3770182853:eng</t>
        </is>
      </c>
      <c r="AV1399" t="inlineStr">
        <is>
          <t>49888477</t>
        </is>
      </c>
      <c r="AW1399" t="inlineStr">
        <is>
          <t>991003843939702656</t>
        </is>
      </c>
      <c r="AX1399" t="inlineStr">
        <is>
          <t>991003843939702656</t>
        </is>
      </c>
      <c r="AY1399" t="inlineStr">
        <is>
          <t>2272418180002656</t>
        </is>
      </c>
      <c r="AZ1399" t="inlineStr">
        <is>
          <t>BOOK</t>
        </is>
      </c>
      <c r="BC1399" t="inlineStr">
        <is>
          <t>32285004499389</t>
        </is>
      </c>
      <c r="BD1399" t="inlineStr">
        <is>
          <t>893499777</t>
        </is>
      </c>
    </row>
    <row r="1400">
      <c r="A1400" t="inlineStr">
        <is>
          <t>No</t>
        </is>
      </c>
      <c r="B1400" t="inlineStr">
        <is>
          <t>LB5 .N25 v. 102 pt. 1</t>
        </is>
      </c>
      <c r="C1400" t="inlineStr">
        <is>
          <t>0                      LB 0005000N  25                                                      v. 102 pt. 1</t>
        </is>
      </c>
      <c r="D1400" t="inlineStr">
        <is>
          <t>American educational governance on trial : change and challenges / edited by William Lowe Boyd and Debra Miretzky.</t>
        </is>
      </c>
      <c r="E1400" t="inlineStr">
        <is>
          <t>V. 102 PT. 1</t>
        </is>
      </c>
      <c r="F1400" t="inlineStr">
        <is>
          <t>No</t>
        </is>
      </c>
      <c r="G1400" t="inlineStr">
        <is>
          <t>1</t>
        </is>
      </c>
      <c r="H1400" t="inlineStr">
        <is>
          <t>No</t>
        </is>
      </c>
      <c r="I1400" t="inlineStr">
        <is>
          <t>No</t>
        </is>
      </c>
      <c r="J1400" t="inlineStr">
        <is>
          <t>0</t>
        </is>
      </c>
      <c r="L1400" t="inlineStr">
        <is>
          <t>Chicago, Ill. : National Society for the Study of Education : Distributed by the University of Chicago Press, 2003</t>
        </is>
      </c>
      <c r="M1400" t="inlineStr">
        <is>
          <t>2003</t>
        </is>
      </c>
      <c r="O1400" t="inlineStr">
        <is>
          <t>eng</t>
        </is>
      </c>
      <c r="P1400" t="inlineStr">
        <is>
          <t>ilu</t>
        </is>
      </c>
      <c r="Q1400" t="inlineStr">
        <is>
          <t>Yearbook of the National Society for the Study of Education, 0077-5762 ; 102nd, pt. 1</t>
        </is>
      </c>
      <c r="R1400" t="inlineStr">
        <is>
          <t xml:space="preserve">LB </t>
        </is>
      </c>
      <c r="S1400" t="n">
        <v>1</v>
      </c>
      <c r="T1400" t="n">
        <v>1</v>
      </c>
      <c r="U1400" t="inlineStr">
        <is>
          <t>2003-07-30</t>
        </is>
      </c>
      <c r="V1400" t="inlineStr">
        <is>
          <t>2003-07-30</t>
        </is>
      </c>
      <c r="W1400" t="inlineStr">
        <is>
          <t>2003-07-30</t>
        </is>
      </c>
      <c r="X1400" t="inlineStr">
        <is>
          <t>2003-07-30</t>
        </is>
      </c>
      <c r="Y1400" t="n">
        <v>752</v>
      </c>
      <c r="Z1400" t="n">
        <v>665</v>
      </c>
      <c r="AA1400" t="n">
        <v>673</v>
      </c>
      <c r="AB1400" t="n">
        <v>10</v>
      </c>
      <c r="AC1400" t="n">
        <v>10</v>
      </c>
      <c r="AD1400" t="n">
        <v>48</v>
      </c>
      <c r="AE1400" t="n">
        <v>48</v>
      </c>
      <c r="AF1400" t="n">
        <v>22</v>
      </c>
      <c r="AG1400" t="n">
        <v>22</v>
      </c>
      <c r="AH1400" t="n">
        <v>10</v>
      </c>
      <c r="AI1400" t="n">
        <v>10</v>
      </c>
      <c r="AJ1400" t="n">
        <v>19</v>
      </c>
      <c r="AK1400" t="n">
        <v>19</v>
      </c>
      <c r="AL1400" t="n">
        <v>9</v>
      </c>
      <c r="AM1400" t="n">
        <v>9</v>
      </c>
      <c r="AN1400" t="n">
        <v>0</v>
      </c>
      <c r="AO1400" t="n">
        <v>0</v>
      </c>
      <c r="AP1400" t="inlineStr">
        <is>
          <t>No</t>
        </is>
      </c>
      <c r="AQ1400" t="inlineStr">
        <is>
          <t>No</t>
        </is>
      </c>
      <c r="AS1400">
        <f>HYPERLINK("https://creighton-primo.hosted.exlibrisgroup.com/primo-explore/search?tab=default_tab&amp;search_scope=EVERYTHING&amp;vid=01CRU&amp;lang=en_US&amp;offset=0&amp;query=any,contains,991004094089702656","Catalog Record")</f>
        <v/>
      </c>
      <c r="AT1400">
        <f>HYPERLINK("http://www.worldcat.org/oclc/52346101","WorldCat Record")</f>
        <v/>
      </c>
      <c r="AU1400" t="inlineStr">
        <is>
          <t>795466384:eng</t>
        </is>
      </c>
      <c r="AV1400" t="inlineStr">
        <is>
          <t>52346101</t>
        </is>
      </c>
      <c r="AW1400" t="inlineStr">
        <is>
          <t>991004094089702656</t>
        </is>
      </c>
      <c r="AX1400" t="inlineStr">
        <is>
          <t>991004094089702656</t>
        </is>
      </c>
      <c r="AY1400" t="inlineStr">
        <is>
          <t>2270954620002656</t>
        </is>
      </c>
      <c r="AZ1400" t="inlineStr">
        <is>
          <t>BOOK</t>
        </is>
      </c>
      <c r="BB1400" t="inlineStr">
        <is>
          <t>9780226069708</t>
        </is>
      </c>
      <c r="BC1400" t="inlineStr">
        <is>
          <t>32285004757786</t>
        </is>
      </c>
      <c r="BD1400" t="inlineStr">
        <is>
          <t>893875668</t>
        </is>
      </c>
    </row>
    <row r="1401">
      <c r="A1401" t="inlineStr">
        <is>
          <t>No</t>
        </is>
      </c>
      <c r="B1401" t="inlineStr">
        <is>
          <t>LB5 .N25 v. 103 pt. 1</t>
        </is>
      </c>
      <c r="C1401" t="inlineStr">
        <is>
          <t>0                      LB 0005000N  25                                                      v. 103 pt. 1</t>
        </is>
      </c>
      <c r="D1401" t="inlineStr">
        <is>
          <t>Developing the teacher workforce / edited by Mark A. Smylie and Debra Miretzky.</t>
        </is>
      </c>
      <c r="E1401" t="inlineStr">
        <is>
          <t>V. 103 PT. 1</t>
        </is>
      </c>
      <c r="F1401" t="inlineStr">
        <is>
          <t>No</t>
        </is>
      </c>
      <c r="G1401" t="inlineStr">
        <is>
          <t>1</t>
        </is>
      </c>
      <c r="H1401" t="inlineStr">
        <is>
          <t>No</t>
        </is>
      </c>
      <c r="I1401" t="inlineStr">
        <is>
          <t>No</t>
        </is>
      </c>
      <c r="J1401" t="inlineStr">
        <is>
          <t>0</t>
        </is>
      </c>
      <c r="L1401" t="inlineStr">
        <is>
          <t>Chicago : NSSE : Distributed by the University of Chicago Press, c2004.</t>
        </is>
      </c>
      <c r="M1401" t="inlineStr">
        <is>
          <t>2004</t>
        </is>
      </c>
      <c r="O1401" t="inlineStr">
        <is>
          <t>eng</t>
        </is>
      </c>
      <c r="P1401" t="inlineStr">
        <is>
          <t>ilu</t>
        </is>
      </c>
      <c r="Q1401" t="inlineStr">
        <is>
          <t>103rd yearbook of the National Society for the Study of Education, 0077-5762 ; pt. 1</t>
        </is>
      </c>
      <c r="R1401" t="inlineStr">
        <is>
          <t xml:space="preserve">LB </t>
        </is>
      </c>
      <c r="S1401" t="n">
        <v>5</v>
      </c>
      <c r="T1401" t="n">
        <v>5</v>
      </c>
      <c r="U1401" t="inlineStr">
        <is>
          <t>2009-03-15</t>
        </is>
      </c>
      <c r="V1401" t="inlineStr">
        <is>
          <t>2009-03-15</t>
        </is>
      </c>
      <c r="W1401" t="inlineStr">
        <is>
          <t>2004-09-01</t>
        </is>
      </c>
      <c r="X1401" t="inlineStr">
        <is>
          <t>2004-09-01</t>
        </is>
      </c>
      <c r="Y1401" t="n">
        <v>732</v>
      </c>
      <c r="Z1401" t="n">
        <v>647</v>
      </c>
      <c r="AA1401" t="n">
        <v>648</v>
      </c>
      <c r="AB1401" t="n">
        <v>11</v>
      </c>
      <c r="AC1401" t="n">
        <v>11</v>
      </c>
      <c r="AD1401" t="n">
        <v>45</v>
      </c>
      <c r="AE1401" t="n">
        <v>45</v>
      </c>
      <c r="AF1401" t="n">
        <v>20</v>
      </c>
      <c r="AG1401" t="n">
        <v>20</v>
      </c>
      <c r="AH1401" t="n">
        <v>8</v>
      </c>
      <c r="AI1401" t="n">
        <v>8</v>
      </c>
      <c r="AJ1401" t="n">
        <v>19</v>
      </c>
      <c r="AK1401" t="n">
        <v>19</v>
      </c>
      <c r="AL1401" t="n">
        <v>9</v>
      </c>
      <c r="AM1401" t="n">
        <v>9</v>
      </c>
      <c r="AN1401" t="n">
        <v>0</v>
      </c>
      <c r="AO1401" t="n">
        <v>0</v>
      </c>
      <c r="AP1401" t="inlineStr">
        <is>
          <t>No</t>
        </is>
      </c>
      <c r="AQ1401" t="inlineStr">
        <is>
          <t>No</t>
        </is>
      </c>
      <c r="AS1401">
        <f>HYPERLINK("https://creighton-primo.hosted.exlibrisgroup.com/primo-explore/search?tab=default_tab&amp;search_scope=EVERYTHING&amp;vid=01CRU&amp;lang=en_US&amp;offset=0&amp;query=any,contains,991004354509702656","Catalog Record")</f>
        <v/>
      </c>
      <c r="AT1401">
        <f>HYPERLINK("http://www.worldcat.org/oclc/55855163","WorldCat Record")</f>
        <v/>
      </c>
      <c r="AU1401" t="inlineStr">
        <is>
          <t>510258878:eng</t>
        </is>
      </c>
      <c r="AV1401" t="inlineStr">
        <is>
          <t>55855163</t>
        </is>
      </c>
      <c r="AW1401" t="inlineStr">
        <is>
          <t>991004354509702656</t>
        </is>
      </c>
      <c r="AX1401" t="inlineStr">
        <is>
          <t>991004354509702656</t>
        </is>
      </c>
      <c r="AY1401" t="inlineStr">
        <is>
          <t>2271869300002656</t>
        </is>
      </c>
      <c r="AZ1401" t="inlineStr">
        <is>
          <t>BOOK</t>
        </is>
      </c>
      <c r="BB1401" t="inlineStr">
        <is>
          <t>9780226767185</t>
        </is>
      </c>
      <c r="BC1401" t="inlineStr">
        <is>
          <t>32285004985239</t>
        </is>
      </c>
      <c r="BD1401" t="inlineStr">
        <is>
          <t>893235383</t>
        </is>
      </c>
    </row>
    <row r="1402">
      <c r="A1402" t="inlineStr">
        <is>
          <t>No</t>
        </is>
      </c>
      <c r="B1402" t="inlineStr">
        <is>
          <t>LB5 .N25 v.100 pt.2</t>
        </is>
      </c>
      <c r="C1402" t="inlineStr">
        <is>
          <t>0                      LB 0005000N  25                                                      v.100 pt.2</t>
        </is>
      </c>
      <c r="D1402" t="inlineStr">
        <is>
          <t>From the capitol to the classroom : standards-based reform in the states / edited by Susan H. Fuhrman.</t>
        </is>
      </c>
      <c r="E1402" t="inlineStr">
        <is>
          <t>V. 100 PT. 2</t>
        </is>
      </c>
      <c r="F1402" t="inlineStr">
        <is>
          <t>No</t>
        </is>
      </c>
      <c r="G1402" t="inlineStr">
        <is>
          <t>1</t>
        </is>
      </c>
      <c r="H1402" t="inlineStr">
        <is>
          <t>No</t>
        </is>
      </c>
      <c r="I1402" t="inlineStr">
        <is>
          <t>No</t>
        </is>
      </c>
      <c r="J1402" t="inlineStr">
        <is>
          <t>0</t>
        </is>
      </c>
      <c r="L1402" t="inlineStr">
        <is>
          <t>Chicago : National Society for the Study of Education : Distributed by the University of Chicago Press, c2001.</t>
        </is>
      </c>
      <c r="M1402" t="inlineStr">
        <is>
          <t>2001</t>
        </is>
      </c>
      <c r="O1402" t="inlineStr">
        <is>
          <t>eng</t>
        </is>
      </c>
      <c r="P1402" t="inlineStr">
        <is>
          <t>ilu</t>
        </is>
      </c>
      <c r="Q1402" t="inlineStr">
        <is>
          <t>Yearbook of the National Society for the Study of Education, 0077-5762 ; 100th, pt. 2</t>
        </is>
      </c>
      <c r="R1402" t="inlineStr">
        <is>
          <t xml:space="preserve">LB </t>
        </is>
      </c>
      <c r="S1402" t="n">
        <v>2</v>
      </c>
      <c r="T1402" t="n">
        <v>2</v>
      </c>
      <c r="U1402" t="inlineStr">
        <is>
          <t>2001-08-06</t>
        </is>
      </c>
      <c r="V1402" t="inlineStr">
        <is>
          <t>2001-08-06</t>
        </is>
      </c>
      <c r="W1402" t="inlineStr">
        <is>
          <t>2001-07-19</t>
        </is>
      </c>
      <c r="X1402" t="inlineStr">
        <is>
          <t>2001-07-19</t>
        </is>
      </c>
      <c r="Y1402" t="n">
        <v>796</v>
      </c>
      <c r="Z1402" t="n">
        <v>707</v>
      </c>
      <c r="AA1402" t="n">
        <v>713</v>
      </c>
      <c r="AB1402" t="n">
        <v>10</v>
      </c>
      <c r="AC1402" t="n">
        <v>10</v>
      </c>
      <c r="AD1402" t="n">
        <v>48</v>
      </c>
      <c r="AE1402" t="n">
        <v>48</v>
      </c>
      <c r="AF1402" t="n">
        <v>21</v>
      </c>
      <c r="AG1402" t="n">
        <v>21</v>
      </c>
      <c r="AH1402" t="n">
        <v>9</v>
      </c>
      <c r="AI1402" t="n">
        <v>9</v>
      </c>
      <c r="AJ1402" t="n">
        <v>20</v>
      </c>
      <c r="AK1402" t="n">
        <v>20</v>
      </c>
      <c r="AL1402" t="n">
        <v>9</v>
      </c>
      <c r="AM1402" t="n">
        <v>9</v>
      </c>
      <c r="AN1402" t="n">
        <v>0</v>
      </c>
      <c r="AO1402" t="n">
        <v>0</v>
      </c>
      <c r="AP1402" t="inlineStr">
        <is>
          <t>No</t>
        </is>
      </c>
      <c r="AQ1402" t="inlineStr">
        <is>
          <t>No</t>
        </is>
      </c>
      <c r="AS1402">
        <f>HYPERLINK("https://creighton-primo.hosted.exlibrisgroup.com/primo-explore/search?tab=default_tab&amp;search_scope=EVERYTHING&amp;vid=01CRU&amp;lang=en_US&amp;offset=0&amp;query=any,contains,991003563229702656","Catalog Record")</f>
        <v/>
      </c>
      <c r="AT1402">
        <f>HYPERLINK("http://www.worldcat.org/oclc/46815686","WorldCat Record")</f>
        <v/>
      </c>
      <c r="AU1402" t="inlineStr">
        <is>
          <t>837080410:eng</t>
        </is>
      </c>
      <c r="AV1402" t="inlineStr">
        <is>
          <t>46815686</t>
        </is>
      </c>
      <c r="AW1402" t="inlineStr">
        <is>
          <t>991003563229702656</t>
        </is>
      </c>
      <c r="AX1402" t="inlineStr">
        <is>
          <t>991003563229702656</t>
        </is>
      </c>
      <c r="AY1402" t="inlineStr">
        <is>
          <t>2257510640002656</t>
        </is>
      </c>
      <c r="AZ1402" t="inlineStr">
        <is>
          <t>BOOK</t>
        </is>
      </c>
      <c r="BB1402" t="inlineStr">
        <is>
          <t>9780226601731</t>
        </is>
      </c>
      <c r="BC1402" t="inlineStr">
        <is>
          <t>32285004333893</t>
        </is>
      </c>
      <c r="BD1402" t="inlineStr">
        <is>
          <t>893598705</t>
        </is>
      </c>
    </row>
    <row r="1403">
      <c r="A1403" t="inlineStr">
        <is>
          <t>No</t>
        </is>
      </c>
      <c r="B1403" t="inlineStr">
        <is>
          <t>LB5 .N25 v.99, pt.2</t>
        </is>
      </c>
      <c r="C1403" t="inlineStr">
        <is>
          <t>0                      LB 0005000N  25                                                      v.99, pt.2</t>
        </is>
      </c>
      <c r="D1403" t="inlineStr">
        <is>
          <t>American education : yesterday, today, and tomorrow / edited by Thomas L. Good ; editor for the society, Margaret Early.</t>
        </is>
      </c>
      <c r="E1403" t="inlineStr">
        <is>
          <t>V. 99 PT. 2</t>
        </is>
      </c>
      <c r="F1403" t="inlineStr">
        <is>
          <t>No</t>
        </is>
      </c>
      <c r="G1403" t="inlineStr">
        <is>
          <t>1</t>
        </is>
      </c>
      <c r="H1403" t="inlineStr">
        <is>
          <t>No</t>
        </is>
      </c>
      <c r="I1403" t="inlineStr">
        <is>
          <t>No</t>
        </is>
      </c>
      <c r="J1403" t="inlineStr">
        <is>
          <t>0</t>
        </is>
      </c>
      <c r="L1403" t="inlineStr">
        <is>
          <t>Chicago, Ill. : National Society for the Study of Education : Distributed by the University of Chicago Press, 2000.</t>
        </is>
      </c>
      <c r="M1403" t="inlineStr">
        <is>
          <t>2000</t>
        </is>
      </c>
      <c r="O1403" t="inlineStr">
        <is>
          <t>eng</t>
        </is>
      </c>
      <c r="P1403" t="inlineStr">
        <is>
          <t>ilu</t>
        </is>
      </c>
      <c r="Q1403" t="inlineStr">
        <is>
          <t>Yearbook of the National Society for the Study of Education, 0077-5762 ; 99th, pt. 2</t>
        </is>
      </c>
      <c r="R1403" t="inlineStr">
        <is>
          <t xml:space="preserve">LB </t>
        </is>
      </c>
      <c r="S1403" t="n">
        <v>3</v>
      </c>
      <c r="T1403" t="n">
        <v>3</v>
      </c>
      <c r="U1403" t="inlineStr">
        <is>
          <t>2008-02-04</t>
        </is>
      </c>
      <c r="V1403" t="inlineStr">
        <is>
          <t>2008-02-04</t>
        </is>
      </c>
      <c r="W1403" t="inlineStr">
        <is>
          <t>2001-04-10</t>
        </is>
      </c>
      <c r="X1403" t="inlineStr">
        <is>
          <t>2001-04-10</t>
        </is>
      </c>
      <c r="Y1403" t="n">
        <v>805</v>
      </c>
      <c r="Z1403" t="n">
        <v>729</v>
      </c>
      <c r="AA1403" t="n">
        <v>731</v>
      </c>
      <c r="AB1403" t="n">
        <v>10</v>
      </c>
      <c r="AC1403" t="n">
        <v>10</v>
      </c>
      <c r="AD1403" t="n">
        <v>47</v>
      </c>
      <c r="AE1403" t="n">
        <v>47</v>
      </c>
      <c r="AF1403" t="n">
        <v>21</v>
      </c>
      <c r="AG1403" t="n">
        <v>21</v>
      </c>
      <c r="AH1403" t="n">
        <v>8</v>
      </c>
      <c r="AI1403" t="n">
        <v>8</v>
      </c>
      <c r="AJ1403" t="n">
        <v>20</v>
      </c>
      <c r="AK1403" t="n">
        <v>20</v>
      </c>
      <c r="AL1403" t="n">
        <v>9</v>
      </c>
      <c r="AM1403" t="n">
        <v>9</v>
      </c>
      <c r="AN1403" t="n">
        <v>0</v>
      </c>
      <c r="AO1403" t="n">
        <v>0</v>
      </c>
      <c r="AP1403" t="inlineStr">
        <is>
          <t>No</t>
        </is>
      </c>
      <c r="AQ1403" t="inlineStr">
        <is>
          <t>Yes</t>
        </is>
      </c>
      <c r="AR1403">
        <f>HYPERLINK("http://catalog.hathitrust.org/Record/003564414","HathiTrust Record")</f>
        <v/>
      </c>
      <c r="AS1403">
        <f>HYPERLINK("https://creighton-primo.hosted.exlibrisgroup.com/primo-explore/search?tab=default_tab&amp;search_scope=EVERYTHING&amp;vid=01CRU&amp;lang=en_US&amp;offset=0&amp;query=any,contains,991003522849702656","Catalog Record")</f>
        <v/>
      </c>
      <c r="AT1403">
        <f>HYPERLINK("http://www.worldcat.org/oclc/44079420","WorldCat Record")</f>
        <v/>
      </c>
      <c r="AU1403" t="inlineStr">
        <is>
          <t>138890603:eng</t>
        </is>
      </c>
      <c r="AV1403" t="inlineStr">
        <is>
          <t>44079420</t>
        </is>
      </c>
      <c r="AW1403" t="inlineStr">
        <is>
          <t>991003522849702656</t>
        </is>
      </c>
      <c r="AX1403" t="inlineStr">
        <is>
          <t>991003522849702656</t>
        </is>
      </c>
      <c r="AY1403" t="inlineStr">
        <is>
          <t>2269379090002656</t>
        </is>
      </c>
      <c r="AZ1403" t="inlineStr">
        <is>
          <t>BOOK</t>
        </is>
      </c>
      <c r="BB1403" t="inlineStr">
        <is>
          <t>9780226601717</t>
        </is>
      </c>
      <c r="BC1403" t="inlineStr">
        <is>
          <t>32285004311337</t>
        </is>
      </c>
      <c r="BD1403" t="inlineStr">
        <is>
          <t>893774832</t>
        </is>
      </c>
    </row>
    <row r="1404">
      <c r="A1404" t="inlineStr">
        <is>
          <t>No</t>
        </is>
      </c>
      <c r="B1404" t="inlineStr">
        <is>
          <t>LB675 .M517</t>
        </is>
      </c>
      <c r="C1404" t="inlineStr">
        <is>
          <t>0                      LB 0675000M  517</t>
        </is>
      </c>
      <c r="D1404" t="inlineStr">
        <is>
          <t>John Stuart Mill on education. Edited, with an introd. and notes, by Francis W. Garforth.</t>
        </is>
      </c>
      <c r="F1404" t="inlineStr">
        <is>
          <t>No</t>
        </is>
      </c>
      <c r="G1404" t="inlineStr">
        <is>
          <t>1</t>
        </is>
      </c>
      <c r="H1404" t="inlineStr">
        <is>
          <t>No</t>
        </is>
      </c>
      <c r="I1404" t="inlineStr">
        <is>
          <t>No</t>
        </is>
      </c>
      <c r="J1404" t="inlineStr">
        <is>
          <t>0</t>
        </is>
      </c>
      <c r="K1404" t="inlineStr">
        <is>
          <t>Mill, John Stuart, 1806-1873.</t>
        </is>
      </c>
      <c r="L1404" t="inlineStr">
        <is>
          <t>New York, Teachers College Press, Columbia University [1971]</t>
        </is>
      </c>
      <c r="M1404" t="inlineStr">
        <is>
          <t>1971</t>
        </is>
      </c>
      <c r="O1404" t="inlineStr">
        <is>
          <t>eng</t>
        </is>
      </c>
      <c r="P1404" t="inlineStr">
        <is>
          <t>nyu</t>
        </is>
      </c>
      <c r="Q1404" t="inlineStr">
        <is>
          <t>Classics in education ; no. 43</t>
        </is>
      </c>
      <c r="R1404" t="inlineStr">
        <is>
          <t xml:space="preserve">LB </t>
        </is>
      </c>
      <c r="S1404" t="n">
        <v>1</v>
      </c>
      <c r="T1404" t="n">
        <v>1</v>
      </c>
      <c r="U1404" t="inlineStr">
        <is>
          <t>2002-03-19</t>
        </is>
      </c>
      <c r="V1404" t="inlineStr">
        <is>
          <t>2002-03-19</t>
        </is>
      </c>
      <c r="W1404" t="inlineStr">
        <is>
          <t>1997-04-24</t>
        </is>
      </c>
      <c r="X1404" t="inlineStr">
        <is>
          <t>1997-04-24</t>
        </is>
      </c>
      <c r="Y1404" t="n">
        <v>602</v>
      </c>
      <c r="Z1404" t="n">
        <v>522</v>
      </c>
      <c r="AA1404" t="n">
        <v>529</v>
      </c>
      <c r="AB1404" t="n">
        <v>4</v>
      </c>
      <c r="AC1404" t="n">
        <v>4</v>
      </c>
      <c r="AD1404" t="n">
        <v>30</v>
      </c>
      <c r="AE1404" t="n">
        <v>30</v>
      </c>
      <c r="AF1404" t="n">
        <v>14</v>
      </c>
      <c r="AG1404" t="n">
        <v>14</v>
      </c>
      <c r="AH1404" t="n">
        <v>6</v>
      </c>
      <c r="AI1404" t="n">
        <v>6</v>
      </c>
      <c r="AJ1404" t="n">
        <v>13</v>
      </c>
      <c r="AK1404" t="n">
        <v>13</v>
      </c>
      <c r="AL1404" t="n">
        <v>3</v>
      </c>
      <c r="AM1404" t="n">
        <v>3</v>
      </c>
      <c r="AN1404" t="n">
        <v>0</v>
      </c>
      <c r="AO1404" t="n">
        <v>0</v>
      </c>
      <c r="AP1404" t="inlineStr">
        <is>
          <t>No</t>
        </is>
      </c>
      <c r="AQ1404" t="inlineStr">
        <is>
          <t>Yes</t>
        </is>
      </c>
      <c r="AR1404">
        <f>HYPERLINK("http://catalog.hathitrust.org/Record/001067065","HathiTrust Record")</f>
        <v/>
      </c>
      <c r="AS1404">
        <f>HYPERLINK("https://creighton-primo.hosted.exlibrisgroup.com/primo-explore/search?tab=default_tab&amp;search_scope=EVERYTHING&amp;vid=01CRU&amp;lang=en_US&amp;offset=0&amp;query=any,contains,991001229629702656","Catalog Record")</f>
        <v/>
      </c>
      <c r="AT1404">
        <f>HYPERLINK("http://www.worldcat.org/oclc/202401","WorldCat Record")</f>
        <v/>
      </c>
      <c r="AU1404" t="inlineStr">
        <is>
          <t>1256919:eng</t>
        </is>
      </c>
      <c r="AV1404" t="inlineStr">
        <is>
          <t>202401</t>
        </is>
      </c>
      <c r="AW1404" t="inlineStr">
        <is>
          <t>991001229629702656</t>
        </is>
      </c>
      <c r="AX1404" t="inlineStr">
        <is>
          <t>991001229629702656</t>
        </is>
      </c>
      <c r="AY1404" t="inlineStr">
        <is>
          <t>2258842030002656</t>
        </is>
      </c>
      <c r="AZ1404" t="inlineStr">
        <is>
          <t>BOOK</t>
        </is>
      </c>
      <c r="BC1404" t="inlineStr">
        <is>
          <t>32285002598406</t>
        </is>
      </c>
      <c r="BD1404" t="inlineStr">
        <is>
          <t>893503219</t>
        </is>
      </c>
    </row>
    <row r="1405">
      <c r="A1405" t="inlineStr">
        <is>
          <t>No</t>
        </is>
      </c>
      <c r="B1405" t="inlineStr">
        <is>
          <t>LB675 .T6 1982</t>
        </is>
      </c>
      <c r="C1405" t="inlineStr">
        <is>
          <t>0                      LB 0675000T  6           1982</t>
        </is>
      </c>
      <c r="D1405" t="inlineStr">
        <is>
          <t>Tolstoy on education : Tolstoy's educational writings 1861-62 / selected and edited by Alan Pinch and Michael Armstrong and translated by Alan Pinch.</t>
        </is>
      </c>
      <c r="F1405" t="inlineStr">
        <is>
          <t>No</t>
        </is>
      </c>
      <c r="G1405" t="inlineStr">
        <is>
          <t>1</t>
        </is>
      </c>
      <c r="H1405" t="inlineStr">
        <is>
          <t>No</t>
        </is>
      </c>
      <c r="I1405" t="inlineStr">
        <is>
          <t>No</t>
        </is>
      </c>
      <c r="J1405" t="inlineStr">
        <is>
          <t>0</t>
        </is>
      </c>
      <c r="K1405" t="inlineStr">
        <is>
          <t>Tolstoy, Leo, graf, 1828-1910.</t>
        </is>
      </c>
      <c r="L1405" t="inlineStr">
        <is>
          <t>Rutherford, [N.J.] : Fairleigh Dickinson University Press, c1982.</t>
        </is>
      </c>
      <c r="M1405" t="inlineStr">
        <is>
          <t>1982</t>
        </is>
      </c>
      <c r="O1405" t="inlineStr">
        <is>
          <t>eng</t>
        </is>
      </c>
      <c r="P1405" t="inlineStr">
        <is>
          <t>nju</t>
        </is>
      </c>
      <c r="R1405" t="inlineStr">
        <is>
          <t xml:space="preserve">LB </t>
        </is>
      </c>
      <c r="S1405" t="n">
        <v>2</v>
      </c>
      <c r="T1405" t="n">
        <v>2</v>
      </c>
      <c r="U1405" t="inlineStr">
        <is>
          <t>2004-03-28</t>
        </is>
      </c>
      <c r="V1405" t="inlineStr">
        <is>
          <t>2004-03-28</t>
        </is>
      </c>
      <c r="W1405" t="inlineStr">
        <is>
          <t>1990-07-02</t>
        </is>
      </c>
      <c r="X1405" t="inlineStr">
        <is>
          <t>1990-07-02</t>
        </is>
      </c>
      <c r="Y1405" t="n">
        <v>317</v>
      </c>
      <c r="Z1405" t="n">
        <v>278</v>
      </c>
      <c r="AA1405" t="n">
        <v>293</v>
      </c>
      <c r="AB1405" t="n">
        <v>3</v>
      </c>
      <c r="AC1405" t="n">
        <v>3</v>
      </c>
      <c r="AD1405" t="n">
        <v>12</v>
      </c>
      <c r="AE1405" t="n">
        <v>12</v>
      </c>
      <c r="AF1405" t="n">
        <v>3</v>
      </c>
      <c r="AG1405" t="n">
        <v>3</v>
      </c>
      <c r="AH1405" t="n">
        <v>4</v>
      </c>
      <c r="AI1405" t="n">
        <v>4</v>
      </c>
      <c r="AJ1405" t="n">
        <v>7</v>
      </c>
      <c r="AK1405" t="n">
        <v>7</v>
      </c>
      <c r="AL1405" t="n">
        <v>2</v>
      </c>
      <c r="AM1405" t="n">
        <v>2</v>
      </c>
      <c r="AN1405" t="n">
        <v>0</v>
      </c>
      <c r="AO1405" t="n">
        <v>0</v>
      </c>
      <c r="AP1405" t="inlineStr">
        <is>
          <t>No</t>
        </is>
      </c>
      <c r="AQ1405" t="inlineStr">
        <is>
          <t>Yes</t>
        </is>
      </c>
      <c r="AR1405">
        <f>HYPERLINK("http://catalog.hathitrust.org/Record/000147301","HathiTrust Record")</f>
        <v/>
      </c>
      <c r="AS1405">
        <f>HYPERLINK("https://creighton-primo.hosted.exlibrisgroup.com/primo-explore/search?tab=default_tab&amp;search_scope=EVERYTHING&amp;vid=01CRU&amp;lang=en_US&amp;offset=0&amp;query=any,contains,991005186919702656","Catalog Record")</f>
        <v/>
      </c>
      <c r="AT1405">
        <f>HYPERLINK("http://www.worldcat.org/oclc/7976955","WorldCat Record")</f>
        <v/>
      </c>
      <c r="AU1405" t="inlineStr">
        <is>
          <t>4926775602:eng</t>
        </is>
      </c>
      <c r="AV1405" t="inlineStr">
        <is>
          <t>7976955</t>
        </is>
      </c>
      <c r="AW1405" t="inlineStr">
        <is>
          <t>991005186919702656</t>
        </is>
      </c>
      <c r="AX1405" t="inlineStr">
        <is>
          <t>991005186919702656</t>
        </is>
      </c>
      <c r="AY1405" t="inlineStr">
        <is>
          <t>2262156410002656</t>
        </is>
      </c>
      <c r="AZ1405" t="inlineStr">
        <is>
          <t>BOOK</t>
        </is>
      </c>
      <c r="BB1405" t="inlineStr">
        <is>
          <t>9780838631218</t>
        </is>
      </c>
      <c r="BC1405" t="inlineStr">
        <is>
          <t>32285000220391</t>
        </is>
      </c>
      <c r="BD1405" t="inlineStr">
        <is>
          <t>893600772</t>
        </is>
      </c>
    </row>
    <row r="1406">
      <c r="A1406" t="inlineStr">
        <is>
          <t>No</t>
        </is>
      </c>
      <c r="B1406" t="inlineStr">
        <is>
          <t>LB675.M5172 G37 1979</t>
        </is>
      </c>
      <c r="C1406" t="inlineStr">
        <is>
          <t>0                      LB 0675000M  5172               G  37          1979</t>
        </is>
      </c>
      <c r="D1406" t="inlineStr">
        <is>
          <t>John Stuart Mill's theory of education / F. W. Garforth.</t>
        </is>
      </c>
      <c r="F1406" t="inlineStr">
        <is>
          <t>No</t>
        </is>
      </c>
      <c r="G1406" t="inlineStr">
        <is>
          <t>1</t>
        </is>
      </c>
      <c r="H1406" t="inlineStr">
        <is>
          <t>No</t>
        </is>
      </c>
      <c r="I1406" t="inlineStr">
        <is>
          <t>No</t>
        </is>
      </c>
      <c r="J1406" t="inlineStr">
        <is>
          <t>0</t>
        </is>
      </c>
      <c r="K1406" t="inlineStr">
        <is>
          <t>Garforth, F. W. (Francis William), 1917-</t>
        </is>
      </c>
      <c r="L1406" t="inlineStr">
        <is>
          <t>New York : Barnes &amp; Noble, 1979.</t>
        </is>
      </c>
      <c r="M1406" t="inlineStr">
        <is>
          <t>1979</t>
        </is>
      </c>
      <c r="O1406" t="inlineStr">
        <is>
          <t>eng</t>
        </is>
      </c>
      <c r="P1406" t="inlineStr">
        <is>
          <t>nyu</t>
        </is>
      </c>
      <c r="R1406" t="inlineStr">
        <is>
          <t xml:space="preserve">LB </t>
        </is>
      </c>
      <c r="S1406" t="n">
        <v>4</v>
      </c>
      <c r="T1406" t="n">
        <v>4</v>
      </c>
      <c r="U1406" t="inlineStr">
        <is>
          <t>2002-03-19</t>
        </is>
      </c>
      <c r="V1406" t="inlineStr">
        <is>
          <t>2002-03-19</t>
        </is>
      </c>
      <c r="W1406" t="inlineStr">
        <is>
          <t>1990-07-02</t>
        </is>
      </c>
      <c r="X1406" t="inlineStr">
        <is>
          <t>1990-07-02</t>
        </is>
      </c>
      <c r="Y1406" t="n">
        <v>568</v>
      </c>
      <c r="Z1406" t="n">
        <v>510</v>
      </c>
      <c r="AA1406" t="n">
        <v>532</v>
      </c>
      <c r="AB1406" t="n">
        <v>2</v>
      </c>
      <c r="AC1406" t="n">
        <v>2</v>
      </c>
      <c r="AD1406" t="n">
        <v>21</v>
      </c>
      <c r="AE1406" t="n">
        <v>21</v>
      </c>
      <c r="AF1406" t="n">
        <v>6</v>
      </c>
      <c r="AG1406" t="n">
        <v>6</v>
      </c>
      <c r="AH1406" t="n">
        <v>8</v>
      </c>
      <c r="AI1406" t="n">
        <v>8</v>
      </c>
      <c r="AJ1406" t="n">
        <v>13</v>
      </c>
      <c r="AK1406" t="n">
        <v>13</v>
      </c>
      <c r="AL1406" t="n">
        <v>1</v>
      </c>
      <c r="AM1406" t="n">
        <v>1</v>
      </c>
      <c r="AN1406" t="n">
        <v>0</v>
      </c>
      <c r="AO1406" t="n">
        <v>0</v>
      </c>
      <c r="AP1406" t="inlineStr">
        <is>
          <t>No</t>
        </is>
      </c>
      <c r="AQ1406" t="inlineStr">
        <is>
          <t>Yes</t>
        </is>
      </c>
      <c r="AR1406">
        <f>HYPERLINK("http://catalog.hathitrust.org/Record/000728864","HathiTrust Record")</f>
        <v/>
      </c>
      <c r="AS1406">
        <f>HYPERLINK("https://creighton-primo.hosted.exlibrisgroup.com/primo-explore/search?tab=default_tab&amp;search_scope=EVERYTHING&amp;vid=01CRU&amp;lang=en_US&amp;offset=0&amp;query=any,contains,991004681379702656","Catalog Record")</f>
        <v/>
      </c>
      <c r="AT1406">
        <f>HYPERLINK("http://www.worldcat.org/oclc/4569972","WorldCat Record")</f>
        <v/>
      </c>
      <c r="AU1406" t="inlineStr">
        <is>
          <t>14844175:eng</t>
        </is>
      </c>
      <c r="AV1406" t="inlineStr">
        <is>
          <t>4569972</t>
        </is>
      </c>
      <c r="AW1406" t="inlineStr">
        <is>
          <t>991004681379702656</t>
        </is>
      </c>
      <c r="AX1406" t="inlineStr">
        <is>
          <t>991004681379702656</t>
        </is>
      </c>
      <c r="AY1406" t="inlineStr">
        <is>
          <t>2256881800002656</t>
        </is>
      </c>
      <c r="AZ1406" t="inlineStr">
        <is>
          <t>BOOK</t>
        </is>
      </c>
      <c r="BB1406" t="inlineStr">
        <is>
          <t>9780064923323</t>
        </is>
      </c>
      <c r="BC1406" t="inlineStr">
        <is>
          <t>32285000220359</t>
        </is>
      </c>
      <c r="BD1406" t="inlineStr">
        <is>
          <t>893519932</t>
        </is>
      </c>
    </row>
    <row r="1407">
      <c r="A1407" t="inlineStr">
        <is>
          <t>No</t>
        </is>
      </c>
      <c r="B1407" t="inlineStr">
        <is>
          <t>LB675.M54 G36</t>
        </is>
      </c>
      <c r="C1407" t="inlineStr">
        <is>
          <t>0                      LB 0675000M  54                 G  36</t>
        </is>
      </c>
      <c r="D1407" t="inlineStr">
        <is>
          <t>Educative democracy : John Stuart Mill on education in society / F. W. Garforth.</t>
        </is>
      </c>
      <c r="F1407" t="inlineStr">
        <is>
          <t>No</t>
        </is>
      </c>
      <c r="G1407" t="inlineStr">
        <is>
          <t>1</t>
        </is>
      </c>
      <c r="H1407" t="inlineStr">
        <is>
          <t>No</t>
        </is>
      </c>
      <c r="I1407" t="inlineStr">
        <is>
          <t>No</t>
        </is>
      </c>
      <c r="J1407" t="inlineStr">
        <is>
          <t>0</t>
        </is>
      </c>
      <c r="K1407" t="inlineStr">
        <is>
          <t>Garforth, F. W. (Francis William), 1917-</t>
        </is>
      </c>
      <c r="L1407" t="inlineStr">
        <is>
          <t>Oxford ; New York : Published for the University of Hull by Oxford University Press, 1980.</t>
        </is>
      </c>
      <c r="M1407" t="inlineStr">
        <is>
          <t>1980</t>
        </is>
      </c>
      <c r="O1407" t="inlineStr">
        <is>
          <t>eng</t>
        </is>
      </c>
      <c r="P1407" t="inlineStr">
        <is>
          <t>enk</t>
        </is>
      </c>
      <c r="Q1407" t="inlineStr">
        <is>
          <t>University of Hull publications</t>
        </is>
      </c>
      <c r="R1407" t="inlineStr">
        <is>
          <t xml:space="preserve">LB </t>
        </is>
      </c>
      <c r="S1407" t="n">
        <v>2</v>
      </c>
      <c r="T1407" t="n">
        <v>2</v>
      </c>
      <c r="U1407" t="inlineStr">
        <is>
          <t>1998-02-12</t>
        </is>
      </c>
      <c r="V1407" t="inlineStr">
        <is>
          <t>1998-02-12</t>
        </is>
      </c>
      <c r="W1407" t="inlineStr">
        <is>
          <t>1990-07-02</t>
        </is>
      </c>
      <c r="X1407" t="inlineStr">
        <is>
          <t>1990-07-02</t>
        </is>
      </c>
      <c r="Y1407" t="n">
        <v>383</v>
      </c>
      <c r="Z1407" t="n">
        <v>257</v>
      </c>
      <c r="AA1407" t="n">
        <v>264</v>
      </c>
      <c r="AB1407" t="n">
        <v>2</v>
      </c>
      <c r="AC1407" t="n">
        <v>2</v>
      </c>
      <c r="AD1407" t="n">
        <v>12</v>
      </c>
      <c r="AE1407" t="n">
        <v>12</v>
      </c>
      <c r="AF1407" t="n">
        <v>3</v>
      </c>
      <c r="AG1407" t="n">
        <v>3</v>
      </c>
      <c r="AH1407" t="n">
        <v>4</v>
      </c>
      <c r="AI1407" t="n">
        <v>4</v>
      </c>
      <c r="AJ1407" t="n">
        <v>6</v>
      </c>
      <c r="AK1407" t="n">
        <v>6</v>
      </c>
      <c r="AL1407" t="n">
        <v>1</v>
      </c>
      <c r="AM1407" t="n">
        <v>1</v>
      </c>
      <c r="AN1407" t="n">
        <v>0</v>
      </c>
      <c r="AO1407" t="n">
        <v>0</v>
      </c>
      <c r="AP1407" t="inlineStr">
        <is>
          <t>No</t>
        </is>
      </c>
      <c r="AQ1407" t="inlineStr">
        <is>
          <t>Yes</t>
        </is>
      </c>
      <c r="AR1407">
        <f>HYPERLINK("http://catalog.hathitrust.org/Record/000096613","HathiTrust Record")</f>
        <v/>
      </c>
      <c r="AS1407">
        <f>HYPERLINK("https://creighton-primo.hosted.exlibrisgroup.com/primo-explore/search?tab=default_tab&amp;search_scope=EVERYTHING&amp;vid=01CRU&amp;lang=en_US&amp;offset=0&amp;query=any,contains,991004940129702656","Catalog Record")</f>
        <v/>
      </c>
      <c r="AT1407">
        <f>HYPERLINK("http://www.worldcat.org/oclc/6176195","WorldCat Record")</f>
        <v/>
      </c>
      <c r="AU1407" t="inlineStr">
        <is>
          <t>229917916:eng</t>
        </is>
      </c>
      <c r="AV1407" t="inlineStr">
        <is>
          <t>6176195</t>
        </is>
      </c>
      <c r="AW1407" t="inlineStr">
        <is>
          <t>991004940129702656</t>
        </is>
      </c>
      <c r="AX1407" t="inlineStr">
        <is>
          <t>991004940129702656</t>
        </is>
      </c>
      <c r="AY1407" t="inlineStr">
        <is>
          <t>2258134050002656</t>
        </is>
      </c>
      <c r="AZ1407" t="inlineStr">
        <is>
          <t>BOOK</t>
        </is>
      </c>
      <c r="BB1407" t="inlineStr">
        <is>
          <t>9780197134382</t>
        </is>
      </c>
      <c r="BC1407" t="inlineStr">
        <is>
          <t>32285000220367</t>
        </is>
      </c>
      <c r="BD1407" t="inlineStr">
        <is>
          <t>893418178</t>
        </is>
      </c>
    </row>
    <row r="1408">
      <c r="A1408" t="inlineStr">
        <is>
          <t>No</t>
        </is>
      </c>
      <c r="B1408" t="inlineStr">
        <is>
          <t>LB675.T6 T63</t>
        </is>
      </c>
      <c r="C1408" t="inlineStr">
        <is>
          <t>0                      LB 0675000T  6                  T  63</t>
        </is>
      </c>
      <c r="D1408" t="inlineStr">
        <is>
          <t>Tolstoy on education. Translated from the Russian by Leo Wiener. With an introd. by Reginald D. Archambault.</t>
        </is>
      </c>
      <c r="F1408" t="inlineStr">
        <is>
          <t>No</t>
        </is>
      </c>
      <c r="G1408" t="inlineStr">
        <is>
          <t>1</t>
        </is>
      </c>
      <c r="H1408" t="inlineStr">
        <is>
          <t>No</t>
        </is>
      </c>
      <c r="I1408" t="inlineStr">
        <is>
          <t>No</t>
        </is>
      </c>
      <c r="J1408" t="inlineStr">
        <is>
          <t>0</t>
        </is>
      </c>
      <c r="K1408" t="inlineStr">
        <is>
          <t>Tolstoy, Leo, graf, 1828-1910.</t>
        </is>
      </c>
      <c r="L1408" t="inlineStr">
        <is>
          <t>Chicago, University of Chicago Press [1967]</t>
        </is>
      </c>
      <c r="M1408" t="inlineStr">
        <is>
          <t>1967</t>
        </is>
      </c>
      <c r="O1408" t="inlineStr">
        <is>
          <t>eng</t>
        </is>
      </c>
      <c r="P1408" t="inlineStr">
        <is>
          <t>ilu</t>
        </is>
      </c>
      <c r="R1408" t="inlineStr">
        <is>
          <t xml:space="preserve">LB </t>
        </is>
      </c>
      <c r="S1408" t="n">
        <v>1</v>
      </c>
      <c r="T1408" t="n">
        <v>1</v>
      </c>
      <c r="U1408" t="inlineStr">
        <is>
          <t>2008-02-02</t>
        </is>
      </c>
      <c r="V1408" t="inlineStr">
        <is>
          <t>2008-02-02</t>
        </is>
      </c>
      <c r="W1408" t="inlineStr">
        <is>
          <t>1997-04-24</t>
        </is>
      </c>
      <c r="X1408" t="inlineStr">
        <is>
          <t>1997-04-24</t>
        </is>
      </c>
      <c r="Y1408" t="n">
        <v>804</v>
      </c>
      <c r="Z1408" t="n">
        <v>672</v>
      </c>
      <c r="AA1408" t="n">
        <v>682</v>
      </c>
      <c r="AB1408" t="n">
        <v>3</v>
      </c>
      <c r="AC1408" t="n">
        <v>3</v>
      </c>
      <c r="AD1408" t="n">
        <v>29</v>
      </c>
      <c r="AE1408" t="n">
        <v>29</v>
      </c>
      <c r="AF1408" t="n">
        <v>12</v>
      </c>
      <c r="AG1408" t="n">
        <v>12</v>
      </c>
      <c r="AH1408" t="n">
        <v>8</v>
      </c>
      <c r="AI1408" t="n">
        <v>8</v>
      </c>
      <c r="AJ1408" t="n">
        <v>16</v>
      </c>
      <c r="AK1408" t="n">
        <v>16</v>
      </c>
      <c r="AL1408" t="n">
        <v>2</v>
      </c>
      <c r="AM1408" t="n">
        <v>2</v>
      </c>
      <c r="AN1408" t="n">
        <v>0</v>
      </c>
      <c r="AO1408" t="n">
        <v>0</v>
      </c>
      <c r="AP1408" t="inlineStr">
        <is>
          <t>No</t>
        </is>
      </c>
      <c r="AQ1408" t="inlineStr">
        <is>
          <t>Yes</t>
        </is>
      </c>
      <c r="AR1408">
        <f>HYPERLINK("http://catalog.hathitrust.org/Record/001117381","HathiTrust Record")</f>
        <v/>
      </c>
      <c r="AS1408">
        <f>HYPERLINK("https://creighton-primo.hosted.exlibrisgroup.com/primo-explore/search?tab=default_tab&amp;search_scope=EVERYTHING&amp;vid=01CRU&amp;lang=en_US&amp;offset=0&amp;query=any,contains,991001057359702656","Catalog Record")</f>
        <v/>
      </c>
      <c r="AT1408">
        <f>HYPERLINK("http://www.worldcat.org/oclc/177527","WorldCat Record")</f>
        <v/>
      </c>
      <c r="AU1408" t="inlineStr">
        <is>
          <t>571572:eng</t>
        </is>
      </c>
      <c r="AV1408" t="inlineStr">
        <is>
          <t>177527</t>
        </is>
      </c>
      <c r="AW1408" t="inlineStr">
        <is>
          <t>991001057359702656</t>
        </is>
      </c>
      <c r="AX1408" t="inlineStr">
        <is>
          <t>991001057359702656</t>
        </is>
      </c>
      <c r="AY1408" t="inlineStr">
        <is>
          <t>2268180230002656</t>
        </is>
      </c>
      <c r="AZ1408" t="inlineStr">
        <is>
          <t>BOOK</t>
        </is>
      </c>
      <c r="BC1408" t="inlineStr">
        <is>
          <t>32285002598422</t>
        </is>
      </c>
      <c r="BD1408" t="inlineStr">
        <is>
          <t>893509336</t>
        </is>
      </c>
    </row>
    <row r="1409">
      <c r="A1409" t="inlineStr">
        <is>
          <t>No</t>
        </is>
      </c>
      <c r="B1409" t="inlineStr">
        <is>
          <t>LB7 .A658</t>
        </is>
      </c>
      <c r="C1409" t="inlineStr">
        <is>
          <t>0                      LB 0007000A  658</t>
        </is>
      </c>
      <c r="D1409" t="inlineStr">
        <is>
          <t>Approaches to values in education, by Michael Belok [and others]</t>
        </is>
      </c>
      <c r="F1409" t="inlineStr">
        <is>
          <t>No</t>
        </is>
      </c>
      <c r="G1409" t="inlineStr">
        <is>
          <t>1</t>
        </is>
      </c>
      <c r="H1409" t="inlineStr">
        <is>
          <t>No</t>
        </is>
      </c>
      <c r="I1409" t="inlineStr">
        <is>
          <t>No</t>
        </is>
      </c>
      <c r="J1409" t="inlineStr">
        <is>
          <t>0</t>
        </is>
      </c>
      <c r="L1409" t="inlineStr">
        <is>
          <t>Dubuque, Iowa, W. C. Brown Co. [c1966]</t>
        </is>
      </c>
      <c r="M1409" t="inlineStr">
        <is>
          <t>1966</t>
        </is>
      </c>
      <c r="O1409" t="inlineStr">
        <is>
          <t>eng</t>
        </is>
      </c>
      <c r="P1409" t="inlineStr">
        <is>
          <t>iau</t>
        </is>
      </c>
      <c r="R1409" t="inlineStr">
        <is>
          <t xml:space="preserve">LB </t>
        </is>
      </c>
      <c r="S1409" t="n">
        <v>3</v>
      </c>
      <c r="T1409" t="n">
        <v>3</v>
      </c>
      <c r="U1409" t="inlineStr">
        <is>
          <t>2000-04-19</t>
        </is>
      </c>
      <c r="V1409" t="inlineStr">
        <is>
          <t>2000-04-19</t>
        </is>
      </c>
      <c r="W1409" t="inlineStr">
        <is>
          <t>1997-04-24</t>
        </is>
      </c>
      <c r="X1409" t="inlineStr">
        <is>
          <t>1997-04-24</t>
        </is>
      </c>
      <c r="Y1409" t="n">
        <v>395</v>
      </c>
      <c r="Z1409" t="n">
        <v>343</v>
      </c>
      <c r="AA1409" t="n">
        <v>345</v>
      </c>
      <c r="AB1409" t="n">
        <v>4</v>
      </c>
      <c r="AC1409" t="n">
        <v>4</v>
      </c>
      <c r="AD1409" t="n">
        <v>19</v>
      </c>
      <c r="AE1409" t="n">
        <v>19</v>
      </c>
      <c r="AF1409" t="n">
        <v>6</v>
      </c>
      <c r="AG1409" t="n">
        <v>6</v>
      </c>
      <c r="AH1409" t="n">
        <v>5</v>
      </c>
      <c r="AI1409" t="n">
        <v>5</v>
      </c>
      <c r="AJ1409" t="n">
        <v>11</v>
      </c>
      <c r="AK1409" t="n">
        <v>11</v>
      </c>
      <c r="AL1409" t="n">
        <v>3</v>
      </c>
      <c r="AM1409" t="n">
        <v>3</v>
      </c>
      <c r="AN1409" t="n">
        <v>0</v>
      </c>
      <c r="AO1409" t="n">
        <v>0</v>
      </c>
      <c r="AP1409" t="inlineStr">
        <is>
          <t>No</t>
        </is>
      </c>
      <c r="AQ1409" t="inlineStr">
        <is>
          <t>Yes</t>
        </is>
      </c>
      <c r="AR1409">
        <f>HYPERLINK("http://catalog.hathitrust.org/Record/001066667","HathiTrust Record")</f>
        <v/>
      </c>
      <c r="AS1409">
        <f>HYPERLINK("https://creighton-primo.hosted.exlibrisgroup.com/primo-explore/search?tab=default_tab&amp;search_scope=EVERYTHING&amp;vid=01CRU&amp;lang=en_US&amp;offset=0&amp;query=any,contains,991001058039702656","Catalog Record")</f>
        <v/>
      </c>
      <c r="AT1409">
        <f>HYPERLINK("http://www.worldcat.org/oclc/177759","WorldCat Record")</f>
        <v/>
      </c>
      <c r="AU1409" t="inlineStr">
        <is>
          <t>1314982:eng</t>
        </is>
      </c>
      <c r="AV1409" t="inlineStr">
        <is>
          <t>177759</t>
        </is>
      </c>
      <c r="AW1409" t="inlineStr">
        <is>
          <t>991001058039702656</t>
        </is>
      </c>
      <c r="AX1409" t="inlineStr">
        <is>
          <t>991001058039702656</t>
        </is>
      </c>
      <c r="AY1409" t="inlineStr">
        <is>
          <t>2266340640002656</t>
        </is>
      </c>
      <c r="AZ1409" t="inlineStr">
        <is>
          <t>BOOK</t>
        </is>
      </c>
      <c r="BC1409" t="inlineStr">
        <is>
          <t>32285002597655</t>
        </is>
      </c>
      <c r="BD1409" t="inlineStr">
        <is>
          <t>893426286</t>
        </is>
      </c>
    </row>
    <row r="1410">
      <c r="A1410" t="inlineStr">
        <is>
          <t>No</t>
        </is>
      </c>
      <c r="B1410" t="inlineStr">
        <is>
          <t>LB7 .B84</t>
        </is>
      </c>
      <c r="C1410" t="inlineStr">
        <is>
          <t>0                      LB 0007000B  84</t>
        </is>
      </c>
      <c r="D1410" t="inlineStr">
        <is>
          <t>Philosophy of education : essays and commentaries / edited by Hobert W. Burns, Charles J. Brauner ; foreword by Robert H. Beck.</t>
        </is>
      </c>
      <c r="F1410" t="inlineStr">
        <is>
          <t>No</t>
        </is>
      </c>
      <c r="G1410" t="inlineStr">
        <is>
          <t>1</t>
        </is>
      </c>
      <c r="H1410" t="inlineStr">
        <is>
          <t>No</t>
        </is>
      </c>
      <c r="I1410" t="inlineStr">
        <is>
          <t>No</t>
        </is>
      </c>
      <c r="J1410" t="inlineStr">
        <is>
          <t>0</t>
        </is>
      </c>
      <c r="L1410" t="inlineStr">
        <is>
          <t>New York : Ronald Press Company, [1962]</t>
        </is>
      </c>
      <c r="M1410" t="inlineStr">
        <is>
          <t>1962</t>
        </is>
      </c>
      <c r="O1410" t="inlineStr">
        <is>
          <t>eng</t>
        </is>
      </c>
      <c r="P1410" t="inlineStr">
        <is>
          <t>nyu</t>
        </is>
      </c>
      <c r="R1410" t="inlineStr">
        <is>
          <t xml:space="preserve">LB </t>
        </is>
      </c>
      <c r="S1410" t="n">
        <v>1</v>
      </c>
      <c r="T1410" t="n">
        <v>1</v>
      </c>
      <c r="U1410" t="inlineStr">
        <is>
          <t>2007-05-11</t>
        </is>
      </c>
      <c r="V1410" t="inlineStr">
        <is>
          <t>2007-05-11</t>
        </is>
      </c>
      <c r="W1410" t="inlineStr">
        <is>
          <t>1997-04-24</t>
        </is>
      </c>
      <c r="X1410" t="inlineStr">
        <is>
          <t>1997-04-24</t>
        </is>
      </c>
      <c r="Y1410" t="n">
        <v>614</v>
      </c>
      <c r="Z1410" t="n">
        <v>509</v>
      </c>
      <c r="AA1410" t="n">
        <v>511</v>
      </c>
      <c r="AB1410" t="n">
        <v>5</v>
      </c>
      <c r="AC1410" t="n">
        <v>5</v>
      </c>
      <c r="AD1410" t="n">
        <v>21</v>
      </c>
      <c r="AE1410" t="n">
        <v>21</v>
      </c>
      <c r="AF1410" t="n">
        <v>8</v>
      </c>
      <c r="AG1410" t="n">
        <v>8</v>
      </c>
      <c r="AH1410" t="n">
        <v>5</v>
      </c>
      <c r="AI1410" t="n">
        <v>5</v>
      </c>
      <c r="AJ1410" t="n">
        <v>8</v>
      </c>
      <c r="AK1410" t="n">
        <v>8</v>
      </c>
      <c r="AL1410" t="n">
        <v>4</v>
      </c>
      <c r="AM1410" t="n">
        <v>4</v>
      </c>
      <c r="AN1410" t="n">
        <v>0</v>
      </c>
      <c r="AO1410" t="n">
        <v>0</v>
      </c>
      <c r="AP1410" t="inlineStr">
        <is>
          <t>No</t>
        </is>
      </c>
      <c r="AQ1410" t="inlineStr">
        <is>
          <t>No</t>
        </is>
      </c>
      <c r="AR1410">
        <f>HYPERLINK("http://catalog.hathitrust.org/Record/001066670","HathiTrust Record")</f>
        <v/>
      </c>
      <c r="AS1410">
        <f>HYPERLINK("https://creighton-primo.hosted.exlibrisgroup.com/primo-explore/search?tab=default_tab&amp;search_scope=EVERYTHING&amp;vid=01CRU&amp;lang=en_US&amp;offset=0&amp;query=any,contains,991001058949702656","Catalog Record")</f>
        <v/>
      </c>
      <c r="AT1410">
        <f>HYPERLINK("http://www.worldcat.org/oclc/177940","WorldCat Record")</f>
        <v/>
      </c>
      <c r="AU1410" t="inlineStr">
        <is>
          <t>189550532:eng</t>
        </is>
      </c>
      <c r="AV1410" t="inlineStr">
        <is>
          <t>177940</t>
        </is>
      </c>
      <c r="AW1410" t="inlineStr">
        <is>
          <t>991001058949702656</t>
        </is>
      </c>
      <c r="AX1410" t="inlineStr">
        <is>
          <t>991001058949702656</t>
        </is>
      </c>
      <c r="AY1410" t="inlineStr">
        <is>
          <t>2266318590002656</t>
        </is>
      </c>
      <c r="AZ1410" t="inlineStr">
        <is>
          <t>BOOK</t>
        </is>
      </c>
      <c r="BC1410" t="inlineStr">
        <is>
          <t>32285002597689</t>
        </is>
      </c>
      <c r="BD1410" t="inlineStr">
        <is>
          <t>893708956</t>
        </is>
      </c>
    </row>
    <row r="1411">
      <c r="A1411" t="inlineStr">
        <is>
          <t>No</t>
        </is>
      </c>
      <c r="B1411" t="inlineStr">
        <is>
          <t>LB775 .M727 1964</t>
        </is>
      </c>
      <c r="C1411" t="inlineStr">
        <is>
          <t>0                      LB 0775000M  727         1964</t>
        </is>
      </c>
      <c r="D1411" t="inlineStr">
        <is>
          <t>Dr. Montessori's own handbook / Maria Montessori.</t>
        </is>
      </c>
      <c r="F1411" t="inlineStr">
        <is>
          <t>No</t>
        </is>
      </c>
      <c r="G1411" t="inlineStr">
        <is>
          <t>1</t>
        </is>
      </c>
      <c r="H1411" t="inlineStr">
        <is>
          <t>No</t>
        </is>
      </c>
      <c r="I1411" t="inlineStr">
        <is>
          <t>No</t>
        </is>
      </c>
      <c r="J1411" t="inlineStr">
        <is>
          <t>0</t>
        </is>
      </c>
      <c r="K1411" t="inlineStr">
        <is>
          <t>Montessori, Maria, 1870-1952.</t>
        </is>
      </c>
      <c r="L1411" t="inlineStr">
        <is>
          <t>Cambridge, Mass., R. Bentley, 1964, c1914.</t>
        </is>
      </c>
      <c r="M1411" t="inlineStr">
        <is>
          <t>1964</t>
        </is>
      </c>
      <c r="O1411" t="inlineStr">
        <is>
          <t>eng</t>
        </is>
      </c>
      <c r="P1411" t="inlineStr">
        <is>
          <t>mau</t>
        </is>
      </c>
      <c r="R1411" t="inlineStr">
        <is>
          <t xml:space="preserve">LB </t>
        </is>
      </c>
      <c r="S1411" t="n">
        <v>3</v>
      </c>
      <c r="T1411" t="n">
        <v>3</v>
      </c>
      <c r="U1411" t="inlineStr">
        <is>
          <t>2000-10-25</t>
        </is>
      </c>
      <c r="V1411" t="inlineStr">
        <is>
          <t>2000-10-25</t>
        </is>
      </c>
      <c r="W1411" t="inlineStr">
        <is>
          <t>1992-10-19</t>
        </is>
      </c>
      <c r="X1411" t="inlineStr">
        <is>
          <t>1992-10-19</t>
        </is>
      </c>
      <c r="Y1411" t="n">
        <v>513</v>
      </c>
      <c r="Z1411" t="n">
        <v>472</v>
      </c>
      <c r="AA1411" t="n">
        <v>1756</v>
      </c>
      <c r="AB1411" t="n">
        <v>3</v>
      </c>
      <c r="AC1411" t="n">
        <v>13</v>
      </c>
      <c r="AD1411" t="n">
        <v>22</v>
      </c>
      <c r="AE1411" t="n">
        <v>53</v>
      </c>
      <c r="AF1411" t="n">
        <v>12</v>
      </c>
      <c r="AG1411" t="n">
        <v>29</v>
      </c>
      <c r="AH1411" t="n">
        <v>4</v>
      </c>
      <c r="AI1411" t="n">
        <v>9</v>
      </c>
      <c r="AJ1411" t="n">
        <v>10</v>
      </c>
      <c r="AK1411" t="n">
        <v>21</v>
      </c>
      <c r="AL1411" t="n">
        <v>2</v>
      </c>
      <c r="AM1411" t="n">
        <v>8</v>
      </c>
      <c r="AN1411" t="n">
        <v>0</v>
      </c>
      <c r="AO1411" t="n">
        <v>0</v>
      </c>
      <c r="AP1411" t="inlineStr">
        <is>
          <t>Yes</t>
        </is>
      </c>
      <c r="AQ1411" t="inlineStr">
        <is>
          <t>No</t>
        </is>
      </c>
      <c r="AR1411">
        <f>HYPERLINK("http://catalog.hathitrust.org/Record/002138986","HathiTrust Record")</f>
        <v/>
      </c>
      <c r="AS1411">
        <f>HYPERLINK("https://creighton-primo.hosted.exlibrisgroup.com/primo-explore/search?tab=default_tab&amp;search_scope=EVERYTHING&amp;vid=01CRU&amp;lang=en_US&amp;offset=0&amp;query=any,contains,991003021909702656","Catalog Record")</f>
        <v/>
      </c>
      <c r="AT1411">
        <f>HYPERLINK("http://www.worldcat.org/oclc/586509","WorldCat Record")</f>
        <v/>
      </c>
      <c r="AU1411" t="inlineStr">
        <is>
          <t>3375203844:eng</t>
        </is>
      </c>
      <c r="AV1411" t="inlineStr">
        <is>
          <t>586509</t>
        </is>
      </c>
      <c r="AW1411" t="inlineStr">
        <is>
          <t>991003021909702656</t>
        </is>
      </c>
      <c r="AX1411" t="inlineStr">
        <is>
          <t>991003021909702656</t>
        </is>
      </c>
      <c r="AY1411" t="inlineStr">
        <is>
          <t>2269061230002656</t>
        </is>
      </c>
      <c r="AZ1411" t="inlineStr">
        <is>
          <t>BOOK</t>
        </is>
      </c>
      <c r="BC1411" t="inlineStr">
        <is>
          <t>32285001351534</t>
        </is>
      </c>
      <c r="BD1411" t="inlineStr">
        <is>
          <t>893317570</t>
        </is>
      </c>
    </row>
    <row r="1412">
      <c r="A1412" t="inlineStr">
        <is>
          <t>No</t>
        </is>
      </c>
      <c r="B1412" t="inlineStr">
        <is>
          <t>LB775 .R372 1958</t>
        </is>
      </c>
      <c r="C1412" t="inlineStr">
        <is>
          <t>0                      LB 0775000R  372         1958</t>
        </is>
      </c>
      <c r="D1412" t="inlineStr">
        <is>
          <t>Education through art / by Herbert Read.</t>
        </is>
      </c>
      <c r="F1412" t="inlineStr">
        <is>
          <t>No</t>
        </is>
      </c>
      <c r="G1412" t="inlineStr">
        <is>
          <t>1</t>
        </is>
      </c>
      <c r="H1412" t="inlineStr">
        <is>
          <t>No</t>
        </is>
      </c>
      <c r="I1412" t="inlineStr">
        <is>
          <t>No</t>
        </is>
      </c>
      <c r="J1412" t="inlineStr">
        <is>
          <t>0</t>
        </is>
      </c>
      <c r="K1412" t="inlineStr">
        <is>
          <t>Read, Herbert, 1893-1968.</t>
        </is>
      </c>
      <c r="L1412" t="inlineStr">
        <is>
          <t>New York : Pantheon Books, [c1958]</t>
        </is>
      </c>
      <c r="M1412" t="inlineStr">
        <is>
          <t>1958</t>
        </is>
      </c>
      <c r="N1412" t="inlineStr">
        <is>
          <t>[3d rev. ed.]</t>
        </is>
      </c>
      <c r="O1412" t="inlineStr">
        <is>
          <t>eng</t>
        </is>
      </c>
      <c r="P1412" t="inlineStr">
        <is>
          <t>nyu</t>
        </is>
      </c>
      <c r="R1412" t="inlineStr">
        <is>
          <t xml:space="preserve">LB </t>
        </is>
      </c>
      <c r="S1412" t="n">
        <v>6</v>
      </c>
      <c r="T1412" t="n">
        <v>6</v>
      </c>
      <c r="U1412" t="inlineStr">
        <is>
          <t>2010-01-19</t>
        </is>
      </c>
      <c r="V1412" t="inlineStr">
        <is>
          <t>2010-01-19</t>
        </is>
      </c>
      <c r="W1412" t="inlineStr">
        <is>
          <t>1990-04-04</t>
        </is>
      </c>
      <c r="X1412" t="inlineStr">
        <is>
          <t>1990-04-04</t>
        </is>
      </c>
      <c r="Y1412" t="n">
        <v>398</v>
      </c>
      <c r="Z1412" t="n">
        <v>379</v>
      </c>
      <c r="AA1412" t="n">
        <v>1015</v>
      </c>
      <c r="AB1412" t="n">
        <v>2</v>
      </c>
      <c r="AC1412" t="n">
        <v>9</v>
      </c>
      <c r="AD1412" t="n">
        <v>14</v>
      </c>
      <c r="AE1412" t="n">
        <v>38</v>
      </c>
      <c r="AF1412" t="n">
        <v>6</v>
      </c>
      <c r="AG1412" t="n">
        <v>15</v>
      </c>
      <c r="AH1412" t="n">
        <v>3</v>
      </c>
      <c r="AI1412" t="n">
        <v>6</v>
      </c>
      <c r="AJ1412" t="n">
        <v>7</v>
      </c>
      <c r="AK1412" t="n">
        <v>17</v>
      </c>
      <c r="AL1412" t="n">
        <v>1</v>
      </c>
      <c r="AM1412" t="n">
        <v>8</v>
      </c>
      <c r="AN1412" t="n">
        <v>0</v>
      </c>
      <c r="AO1412" t="n">
        <v>0</v>
      </c>
      <c r="AP1412" t="inlineStr">
        <is>
          <t>No</t>
        </is>
      </c>
      <c r="AQ1412" t="inlineStr">
        <is>
          <t>Yes</t>
        </is>
      </c>
      <c r="AR1412">
        <f>HYPERLINK("http://catalog.hathitrust.org/Record/000209348","HathiTrust Record")</f>
        <v/>
      </c>
      <c r="AS1412">
        <f>HYPERLINK("https://creighton-primo.hosted.exlibrisgroup.com/primo-explore/search?tab=default_tab&amp;search_scope=EVERYTHING&amp;vid=01CRU&amp;lang=en_US&amp;offset=0&amp;query=any,contains,991003388839702656","Catalog Record")</f>
        <v/>
      </c>
      <c r="AT1412">
        <f>HYPERLINK("http://www.worldcat.org/oclc/926009","WorldCat Record")</f>
        <v/>
      </c>
      <c r="AU1412" t="inlineStr">
        <is>
          <t>132181242:eng</t>
        </is>
      </c>
      <c r="AV1412" t="inlineStr">
        <is>
          <t>926009</t>
        </is>
      </c>
      <c r="AW1412" t="inlineStr">
        <is>
          <t>991003388839702656</t>
        </is>
      </c>
      <c r="AX1412" t="inlineStr">
        <is>
          <t>991003388839702656</t>
        </is>
      </c>
      <c r="AY1412" t="inlineStr">
        <is>
          <t>2262961330002656</t>
        </is>
      </c>
      <c r="AZ1412" t="inlineStr">
        <is>
          <t>BOOK</t>
        </is>
      </c>
      <c r="BC1412" t="inlineStr">
        <is>
          <t>32285000109545</t>
        </is>
      </c>
      <c r="BD1412" t="inlineStr">
        <is>
          <t>893686504</t>
        </is>
      </c>
    </row>
    <row r="1413">
      <c r="A1413" t="inlineStr">
        <is>
          <t>No</t>
        </is>
      </c>
      <c r="B1413" t="inlineStr">
        <is>
          <t>LB775.M8 O665</t>
        </is>
      </c>
      <c r="C1413" t="inlineStr">
        <is>
          <t>0                      LB 0775000M  8                  O  665</t>
        </is>
      </c>
      <c r="D1413" t="inlineStr">
        <is>
          <t>Montessori : her method and the movement : what you need to know / edited by R. C. Orem.</t>
        </is>
      </c>
      <c r="F1413" t="inlineStr">
        <is>
          <t>No</t>
        </is>
      </c>
      <c r="G1413" t="inlineStr">
        <is>
          <t>1</t>
        </is>
      </c>
      <c r="H1413" t="inlineStr">
        <is>
          <t>No</t>
        </is>
      </c>
      <c r="I1413" t="inlineStr">
        <is>
          <t>No</t>
        </is>
      </c>
      <c r="J1413" t="inlineStr">
        <is>
          <t>0</t>
        </is>
      </c>
      <c r="K1413" t="inlineStr">
        <is>
          <t>Orem, R. C. (Reginald Calvert)</t>
        </is>
      </c>
      <c r="L1413" t="inlineStr">
        <is>
          <t>New York : Putnam, [1974]</t>
        </is>
      </c>
      <c r="M1413" t="inlineStr">
        <is>
          <t>1974</t>
        </is>
      </c>
      <c r="O1413" t="inlineStr">
        <is>
          <t>eng</t>
        </is>
      </c>
      <c r="P1413" t="inlineStr">
        <is>
          <t>nyu</t>
        </is>
      </c>
      <c r="R1413" t="inlineStr">
        <is>
          <t xml:space="preserve">LB </t>
        </is>
      </c>
      <c r="S1413" t="n">
        <v>6</v>
      </c>
      <c r="T1413" t="n">
        <v>6</v>
      </c>
      <c r="U1413" t="inlineStr">
        <is>
          <t>2010-07-28</t>
        </is>
      </c>
      <c r="V1413" t="inlineStr">
        <is>
          <t>2010-07-28</t>
        </is>
      </c>
      <c r="W1413" t="inlineStr">
        <is>
          <t>1997-04-24</t>
        </is>
      </c>
      <c r="X1413" t="inlineStr">
        <is>
          <t>1997-04-24</t>
        </is>
      </c>
      <c r="Y1413" t="n">
        <v>791</v>
      </c>
      <c r="Z1413" t="n">
        <v>726</v>
      </c>
      <c r="AA1413" t="n">
        <v>728</v>
      </c>
      <c r="AB1413" t="n">
        <v>6</v>
      </c>
      <c r="AC1413" t="n">
        <v>6</v>
      </c>
      <c r="AD1413" t="n">
        <v>18</v>
      </c>
      <c r="AE1413" t="n">
        <v>18</v>
      </c>
      <c r="AF1413" t="n">
        <v>7</v>
      </c>
      <c r="AG1413" t="n">
        <v>7</v>
      </c>
      <c r="AH1413" t="n">
        <v>4</v>
      </c>
      <c r="AI1413" t="n">
        <v>4</v>
      </c>
      <c r="AJ1413" t="n">
        <v>6</v>
      </c>
      <c r="AK1413" t="n">
        <v>6</v>
      </c>
      <c r="AL1413" t="n">
        <v>4</v>
      </c>
      <c r="AM1413" t="n">
        <v>4</v>
      </c>
      <c r="AN1413" t="n">
        <v>0</v>
      </c>
      <c r="AO1413" t="n">
        <v>0</v>
      </c>
      <c r="AP1413" t="inlineStr">
        <is>
          <t>No</t>
        </is>
      </c>
      <c r="AQ1413" t="inlineStr">
        <is>
          <t>Yes</t>
        </is>
      </c>
      <c r="AR1413">
        <f>HYPERLINK("http://catalog.hathitrust.org/Record/001067239","HathiTrust Record")</f>
        <v/>
      </c>
      <c r="AS1413">
        <f>HYPERLINK("https://creighton-primo.hosted.exlibrisgroup.com/primo-explore/search?tab=default_tab&amp;search_scope=EVERYTHING&amp;vid=01CRU&amp;lang=en_US&amp;offset=0&amp;query=any,contains,991003533069702656","Catalog Record")</f>
        <v/>
      </c>
      <c r="AT1413">
        <f>HYPERLINK("http://www.worldcat.org/oclc/1095176","WorldCat Record")</f>
        <v/>
      </c>
      <c r="AU1413" t="inlineStr">
        <is>
          <t>3901085323:eng</t>
        </is>
      </c>
      <c r="AV1413" t="inlineStr">
        <is>
          <t>1095176</t>
        </is>
      </c>
      <c r="AW1413" t="inlineStr">
        <is>
          <t>991003533069702656</t>
        </is>
      </c>
      <c r="AX1413" t="inlineStr">
        <is>
          <t>991003533069702656</t>
        </is>
      </c>
      <c r="AY1413" t="inlineStr">
        <is>
          <t>2267933920002656</t>
        </is>
      </c>
      <c r="AZ1413" t="inlineStr">
        <is>
          <t>BOOK</t>
        </is>
      </c>
      <c r="BB1413" t="inlineStr">
        <is>
          <t>9780399113628</t>
        </is>
      </c>
      <c r="BC1413" t="inlineStr">
        <is>
          <t>32285002598547</t>
        </is>
      </c>
      <c r="BD1413" t="inlineStr">
        <is>
          <t>893904407</t>
        </is>
      </c>
    </row>
    <row r="1414">
      <c r="A1414" t="inlineStr">
        <is>
          <t>No</t>
        </is>
      </c>
      <c r="B1414" t="inlineStr">
        <is>
          <t>LB775.M8 S782 1966</t>
        </is>
      </c>
      <c r="C1414" t="inlineStr">
        <is>
          <t>0                      LB 0775000M  8                  S  782         1966</t>
        </is>
      </c>
      <c r="D1414" t="inlineStr">
        <is>
          <t>The Montessori revolution in education / [by] E. M. Standing.</t>
        </is>
      </c>
      <c r="F1414" t="inlineStr">
        <is>
          <t>No</t>
        </is>
      </c>
      <c r="G1414" t="inlineStr">
        <is>
          <t>1</t>
        </is>
      </c>
      <c r="H1414" t="inlineStr">
        <is>
          <t>No</t>
        </is>
      </c>
      <c r="I1414" t="inlineStr">
        <is>
          <t>No</t>
        </is>
      </c>
      <c r="J1414" t="inlineStr">
        <is>
          <t>0</t>
        </is>
      </c>
      <c r="K1414" t="inlineStr">
        <is>
          <t>Standing, E. M. (Edwin Mortimer), 1887-1967.</t>
        </is>
      </c>
      <c r="L1414" t="inlineStr">
        <is>
          <t>New York : Schocken Books, [1966, c1962]</t>
        </is>
      </c>
      <c r="M1414" t="inlineStr">
        <is>
          <t>1966</t>
        </is>
      </c>
      <c r="O1414" t="inlineStr">
        <is>
          <t>eng</t>
        </is>
      </c>
      <c r="P1414" t="inlineStr">
        <is>
          <t>nyu</t>
        </is>
      </c>
      <c r="R1414" t="inlineStr">
        <is>
          <t xml:space="preserve">LB </t>
        </is>
      </c>
      <c r="S1414" t="n">
        <v>1</v>
      </c>
      <c r="T1414" t="n">
        <v>1</v>
      </c>
      <c r="U1414" t="inlineStr">
        <is>
          <t>1994-08-23</t>
        </is>
      </c>
      <c r="V1414" t="inlineStr">
        <is>
          <t>1994-08-23</t>
        </is>
      </c>
      <c r="W1414" t="inlineStr">
        <is>
          <t>1994-08-03</t>
        </is>
      </c>
      <c r="X1414" t="inlineStr">
        <is>
          <t>1994-08-03</t>
        </is>
      </c>
      <c r="Y1414" t="n">
        <v>811</v>
      </c>
      <c r="Z1414" t="n">
        <v>702</v>
      </c>
      <c r="AA1414" t="n">
        <v>742</v>
      </c>
      <c r="AB1414" t="n">
        <v>7</v>
      </c>
      <c r="AC1414" t="n">
        <v>8</v>
      </c>
      <c r="AD1414" t="n">
        <v>29</v>
      </c>
      <c r="AE1414" t="n">
        <v>32</v>
      </c>
      <c r="AF1414" t="n">
        <v>16</v>
      </c>
      <c r="AG1414" t="n">
        <v>18</v>
      </c>
      <c r="AH1414" t="n">
        <v>5</v>
      </c>
      <c r="AI1414" t="n">
        <v>6</v>
      </c>
      <c r="AJ1414" t="n">
        <v>13</v>
      </c>
      <c r="AK1414" t="n">
        <v>14</v>
      </c>
      <c r="AL1414" t="n">
        <v>4</v>
      </c>
      <c r="AM1414" t="n">
        <v>5</v>
      </c>
      <c r="AN1414" t="n">
        <v>0</v>
      </c>
      <c r="AO1414" t="n">
        <v>0</v>
      </c>
      <c r="AP1414" t="inlineStr">
        <is>
          <t>No</t>
        </is>
      </c>
      <c r="AQ1414" t="inlineStr">
        <is>
          <t>Yes</t>
        </is>
      </c>
      <c r="AR1414">
        <f>HYPERLINK("http://catalog.hathitrust.org/Record/001117397","HathiTrust Record")</f>
        <v/>
      </c>
      <c r="AS1414">
        <f>HYPERLINK("https://creighton-primo.hosted.exlibrisgroup.com/primo-explore/search?tab=default_tab&amp;search_scope=EVERYTHING&amp;vid=01CRU&amp;lang=en_US&amp;offset=0&amp;query=any,contains,991002422149702656","Catalog Record")</f>
        <v/>
      </c>
      <c r="AT1414">
        <f>HYPERLINK("http://www.worldcat.org/oclc/343354","WorldCat Record")</f>
        <v/>
      </c>
      <c r="AU1414" t="inlineStr">
        <is>
          <t>10568024587:eng</t>
        </is>
      </c>
      <c r="AV1414" t="inlineStr">
        <is>
          <t>343354</t>
        </is>
      </c>
      <c r="AW1414" t="inlineStr">
        <is>
          <t>991002422149702656</t>
        </is>
      </c>
      <c r="AX1414" t="inlineStr">
        <is>
          <t>991002422149702656</t>
        </is>
      </c>
      <c r="AY1414" t="inlineStr">
        <is>
          <t>2264899290002656</t>
        </is>
      </c>
      <c r="AZ1414" t="inlineStr">
        <is>
          <t>BOOK</t>
        </is>
      </c>
      <c r="BC1414" t="inlineStr">
        <is>
          <t>32285001940955</t>
        </is>
      </c>
      <c r="BD1414" t="inlineStr">
        <is>
          <t>893879900</t>
        </is>
      </c>
    </row>
    <row r="1415">
      <c r="A1415" t="inlineStr">
        <is>
          <t>No</t>
        </is>
      </c>
      <c r="B1415" t="inlineStr">
        <is>
          <t>LB775.M8 W3 1971</t>
        </is>
      </c>
      <c r="C1415" t="inlineStr">
        <is>
          <t>0                      LB 0775000M  8                  W  3           1971</t>
        </is>
      </c>
      <c r="D1415" t="inlineStr">
        <is>
          <t>The Montessori method and the American school.</t>
        </is>
      </c>
      <c r="F1415" t="inlineStr">
        <is>
          <t>No</t>
        </is>
      </c>
      <c r="G1415" t="inlineStr">
        <is>
          <t>1</t>
        </is>
      </c>
      <c r="H1415" t="inlineStr">
        <is>
          <t>No</t>
        </is>
      </c>
      <c r="I1415" t="inlineStr">
        <is>
          <t>No</t>
        </is>
      </c>
      <c r="J1415" t="inlineStr">
        <is>
          <t>0</t>
        </is>
      </c>
      <c r="K1415" t="inlineStr">
        <is>
          <t>Ward, Florence Elizabeth.</t>
        </is>
      </c>
      <c r="L1415" t="inlineStr">
        <is>
          <t>New York : Arno Press, 1971 [c1913]</t>
        </is>
      </c>
      <c r="M1415" t="inlineStr">
        <is>
          <t>1971</t>
        </is>
      </c>
      <c r="O1415" t="inlineStr">
        <is>
          <t>eng</t>
        </is>
      </c>
      <c r="P1415" t="inlineStr">
        <is>
          <t>nyu</t>
        </is>
      </c>
      <c r="Q1415" t="inlineStr">
        <is>
          <t>American education--its men, ideas, and institutions. Series II</t>
        </is>
      </c>
      <c r="R1415" t="inlineStr">
        <is>
          <t xml:space="preserve">LB </t>
        </is>
      </c>
      <c r="S1415" t="n">
        <v>3</v>
      </c>
      <c r="T1415" t="n">
        <v>3</v>
      </c>
      <c r="U1415" t="inlineStr">
        <is>
          <t>2002-12-03</t>
        </is>
      </c>
      <c r="V1415" t="inlineStr">
        <is>
          <t>2002-12-03</t>
        </is>
      </c>
      <c r="W1415" t="inlineStr">
        <is>
          <t>1992-06-04</t>
        </is>
      </c>
      <c r="X1415" t="inlineStr">
        <is>
          <t>1992-06-04</t>
        </is>
      </c>
      <c r="Y1415" t="n">
        <v>317</v>
      </c>
      <c r="Z1415" t="n">
        <v>291</v>
      </c>
      <c r="AA1415" t="n">
        <v>412</v>
      </c>
      <c r="AB1415" t="n">
        <v>3</v>
      </c>
      <c r="AC1415" t="n">
        <v>7</v>
      </c>
      <c r="AD1415" t="n">
        <v>8</v>
      </c>
      <c r="AE1415" t="n">
        <v>16</v>
      </c>
      <c r="AF1415" t="n">
        <v>1</v>
      </c>
      <c r="AG1415" t="n">
        <v>2</v>
      </c>
      <c r="AH1415" t="n">
        <v>2</v>
      </c>
      <c r="AI1415" t="n">
        <v>3</v>
      </c>
      <c r="AJ1415" t="n">
        <v>4</v>
      </c>
      <c r="AK1415" t="n">
        <v>8</v>
      </c>
      <c r="AL1415" t="n">
        <v>2</v>
      </c>
      <c r="AM1415" t="n">
        <v>6</v>
      </c>
      <c r="AN1415" t="n">
        <v>0</v>
      </c>
      <c r="AO1415" t="n">
        <v>0</v>
      </c>
      <c r="AP1415" t="inlineStr">
        <is>
          <t>No</t>
        </is>
      </c>
      <c r="AQ1415" t="inlineStr">
        <is>
          <t>Yes</t>
        </is>
      </c>
      <c r="AR1415">
        <f>HYPERLINK("http://catalog.hathitrust.org/Record/004421844","HathiTrust Record")</f>
        <v/>
      </c>
      <c r="AS1415">
        <f>HYPERLINK("https://creighton-primo.hosted.exlibrisgroup.com/primo-explore/search?tab=default_tab&amp;search_scope=EVERYTHING&amp;vid=01CRU&amp;lang=en_US&amp;offset=0&amp;query=any,contains,991001216929702656","Catalog Record")</f>
        <v/>
      </c>
      <c r="AT1415">
        <f>HYPERLINK("http://www.worldcat.org/oclc/194640","WorldCat Record")</f>
        <v/>
      </c>
      <c r="AU1415" t="inlineStr">
        <is>
          <t>1360713:eng</t>
        </is>
      </c>
      <c r="AV1415" t="inlineStr">
        <is>
          <t>194640</t>
        </is>
      </c>
      <c r="AW1415" t="inlineStr">
        <is>
          <t>991001216929702656</t>
        </is>
      </c>
      <c r="AX1415" t="inlineStr">
        <is>
          <t>991001216929702656</t>
        </is>
      </c>
      <c r="AY1415" t="inlineStr">
        <is>
          <t>2269352620002656</t>
        </is>
      </c>
      <c r="AZ1415" t="inlineStr">
        <is>
          <t>BOOK</t>
        </is>
      </c>
      <c r="BB1415" t="inlineStr">
        <is>
          <t>9780405037221</t>
        </is>
      </c>
      <c r="BC1415" t="inlineStr">
        <is>
          <t>32285001130383</t>
        </is>
      </c>
      <c r="BD1415" t="inlineStr">
        <is>
          <t>893808997</t>
        </is>
      </c>
    </row>
    <row r="1416">
      <c r="A1416" t="inlineStr">
        <is>
          <t>No</t>
        </is>
      </c>
      <c r="B1416" t="inlineStr">
        <is>
          <t>LB775.P49 S8 1982</t>
        </is>
      </c>
      <c r="C1416" t="inlineStr">
        <is>
          <t>0                      LB 0775000P  49                 S  8           1982</t>
        </is>
      </c>
      <c r="D1416" t="inlineStr">
        <is>
          <t>Piaget for educators / Rodger W. Bybee, Robert B. Sund.</t>
        </is>
      </c>
      <c r="F1416" t="inlineStr">
        <is>
          <t>No</t>
        </is>
      </c>
      <c r="G1416" t="inlineStr">
        <is>
          <t>1</t>
        </is>
      </c>
      <c r="H1416" t="inlineStr">
        <is>
          <t>No</t>
        </is>
      </c>
      <c r="I1416" t="inlineStr">
        <is>
          <t>No</t>
        </is>
      </c>
      <c r="J1416" t="inlineStr">
        <is>
          <t>0</t>
        </is>
      </c>
      <c r="K1416" t="inlineStr">
        <is>
          <t>Bybee, Rodger W.</t>
        </is>
      </c>
      <c r="L1416" t="inlineStr">
        <is>
          <t>Columbus : Merrill, c1982.</t>
        </is>
      </c>
      <c r="M1416" t="inlineStr">
        <is>
          <t>1982</t>
        </is>
      </c>
      <c r="N1416" t="inlineStr">
        <is>
          <t>2nd ed.</t>
        </is>
      </c>
      <c r="O1416" t="inlineStr">
        <is>
          <t>eng</t>
        </is>
      </c>
      <c r="P1416" t="inlineStr">
        <is>
          <t>ohu</t>
        </is>
      </c>
      <c r="R1416" t="inlineStr">
        <is>
          <t xml:space="preserve">LB </t>
        </is>
      </c>
      <c r="S1416" t="n">
        <v>20</v>
      </c>
      <c r="T1416" t="n">
        <v>20</v>
      </c>
      <c r="U1416" t="inlineStr">
        <is>
          <t>1999-11-15</t>
        </is>
      </c>
      <c r="V1416" t="inlineStr">
        <is>
          <t>1999-11-15</t>
        </is>
      </c>
      <c r="W1416" t="inlineStr">
        <is>
          <t>1990-07-02</t>
        </is>
      </c>
      <c r="X1416" t="inlineStr">
        <is>
          <t>1990-07-02</t>
        </is>
      </c>
      <c r="Y1416" t="n">
        <v>435</v>
      </c>
      <c r="Z1416" t="n">
        <v>329</v>
      </c>
      <c r="AA1416" t="n">
        <v>417</v>
      </c>
      <c r="AB1416" t="n">
        <v>6</v>
      </c>
      <c r="AC1416" t="n">
        <v>6</v>
      </c>
      <c r="AD1416" t="n">
        <v>15</v>
      </c>
      <c r="AE1416" t="n">
        <v>17</v>
      </c>
      <c r="AF1416" t="n">
        <v>5</v>
      </c>
      <c r="AG1416" t="n">
        <v>5</v>
      </c>
      <c r="AH1416" t="n">
        <v>2</v>
      </c>
      <c r="AI1416" t="n">
        <v>4</v>
      </c>
      <c r="AJ1416" t="n">
        <v>6</v>
      </c>
      <c r="AK1416" t="n">
        <v>7</v>
      </c>
      <c r="AL1416" t="n">
        <v>5</v>
      </c>
      <c r="AM1416" t="n">
        <v>5</v>
      </c>
      <c r="AN1416" t="n">
        <v>0</v>
      </c>
      <c r="AO1416" t="n">
        <v>0</v>
      </c>
      <c r="AP1416" t="inlineStr">
        <is>
          <t>No</t>
        </is>
      </c>
      <c r="AQ1416" t="inlineStr">
        <is>
          <t>Yes</t>
        </is>
      </c>
      <c r="AR1416">
        <f>HYPERLINK("http://catalog.hathitrust.org/Record/000772505","HathiTrust Record")</f>
        <v/>
      </c>
      <c r="AS1416">
        <f>HYPERLINK("https://creighton-primo.hosted.exlibrisgroup.com/primo-explore/search?tab=default_tab&amp;search_scope=EVERYTHING&amp;vid=01CRU&amp;lang=en_US&amp;offset=0&amp;query=any,contains,991005250689702656","Catalog Record")</f>
        <v/>
      </c>
      <c r="AT1416">
        <f>HYPERLINK("http://www.worldcat.org/oclc/8492915","WorldCat Record")</f>
        <v/>
      </c>
      <c r="AU1416" t="inlineStr">
        <is>
          <t>25028115:eng</t>
        </is>
      </c>
      <c r="AV1416" t="inlineStr">
        <is>
          <t>8492915</t>
        </is>
      </c>
      <c r="AW1416" t="inlineStr">
        <is>
          <t>991005250689702656</t>
        </is>
      </c>
      <c r="AX1416" t="inlineStr">
        <is>
          <t>991005250689702656</t>
        </is>
      </c>
      <c r="AY1416" t="inlineStr">
        <is>
          <t>2258373070002656</t>
        </is>
      </c>
      <c r="AZ1416" t="inlineStr">
        <is>
          <t>BOOK</t>
        </is>
      </c>
      <c r="BB1416" t="inlineStr">
        <is>
          <t>9780675098380</t>
        </is>
      </c>
      <c r="BC1416" t="inlineStr">
        <is>
          <t>32285000220433</t>
        </is>
      </c>
      <c r="BD1416" t="inlineStr">
        <is>
          <t>893625697</t>
        </is>
      </c>
    </row>
    <row r="1417">
      <c r="A1417" t="inlineStr">
        <is>
          <t>No</t>
        </is>
      </c>
      <c r="B1417" t="inlineStr">
        <is>
          <t>LB775.P632 B47 1984</t>
        </is>
      </c>
      <c r="C1417" t="inlineStr">
        <is>
          <t>0                      LB 0775000P  632                B  47          1984</t>
        </is>
      </c>
      <c r="D1417" t="inlineStr">
        <is>
          <t>Learning from error : Karl Popper's psychology of learning / William Berkson and John Wettersten.</t>
        </is>
      </c>
      <c r="F1417" t="inlineStr">
        <is>
          <t>No</t>
        </is>
      </c>
      <c r="G1417" t="inlineStr">
        <is>
          <t>1</t>
        </is>
      </c>
      <c r="H1417" t="inlineStr">
        <is>
          <t>No</t>
        </is>
      </c>
      <c r="I1417" t="inlineStr">
        <is>
          <t>No</t>
        </is>
      </c>
      <c r="J1417" t="inlineStr">
        <is>
          <t>0</t>
        </is>
      </c>
      <c r="K1417" t="inlineStr">
        <is>
          <t>Berkson, William.</t>
        </is>
      </c>
      <c r="L1417" t="inlineStr">
        <is>
          <t>La Salle, Ill. : Open Court Pub. Co., c1984.</t>
        </is>
      </c>
      <c r="M1417" t="inlineStr">
        <is>
          <t>1984</t>
        </is>
      </c>
      <c r="O1417" t="inlineStr">
        <is>
          <t>eng</t>
        </is>
      </c>
      <c r="P1417" t="inlineStr">
        <is>
          <t>ilu</t>
        </is>
      </c>
      <c r="R1417" t="inlineStr">
        <is>
          <t xml:space="preserve">LB </t>
        </is>
      </c>
      <c r="S1417" t="n">
        <v>3</v>
      </c>
      <c r="T1417" t="n">
        <v>3</v>
      </c>
      <c r="U1417" t="inlineStr">
        <is>
          <t>2010-07-28</t>
        </is>
      </c>
      <c r="V1417" t="inlineStr">
        <is>
          <t>2010-07-28</t>
        </is>
      </c>
      <c r="W1417" t="inlineStr">
        <is>
          <t>1992-10-19</t>
        </is>
      </c>
      <c r="X1417" t="inlineStr">
        <is>
          <t>1992-10-19</t>
        </is>
      </c>
      <c r="Y1417" t="n">
        <v>435</v>
      </c>
      <c r="Z1417" t="n">
        <v>340</v>
      </c>
      <c r="AA1417" t="n">
        <v>342</v>
      </c>
      <c r="AB1417" t="n">
        <v>3</v>
      </c>
      <c r="AC1417" t="n">
        <v>3</v>
      </c>
      <c r="AD1417" t="n">
        <v>18</v>
      </c>
      <c r="AE1417" t="n">
        <v>18</v>
      </c>
      <c r="AF1417" t="n">
        <v>6</v>
      </c>
      <c r="AG1417" t="n">
        <v>6</v>
      </c>
      <c r="AH1417" t="n">
        <v>4</v>
      </c>
      <c r="AI1417" t="n">
        <v>4</v>
      </c>
      <c r="AJ1417" t="n">
        <v>14</v>
      </c>
      <c r="AK1417" t="n">
        <v>14</v>
      </c>
      <c r="AL1417" t="n">
        <v>2</v>
      </c>
      <c r="AM1417" t="n">
        <v>2</v>
      </c>
      <c r="AN1417" t="n">
        <v>0</v>
      </c>
      <c r="AO1417" t="n">
        <v>0</v>
      </c>
      <c r="AP1417" t="inlineStr">
        <is>
          <t>No</t>
        </is>
      </c>
      <c r="AQ1417" t="inlineStr">
        <is>
          <t>Yes</t>
        </is>
      </c>
      <c r="AR1417">
        <f>HYPERLINK("http://catalog.hathitrust.org/Record/000363651","HathiTrust Record")</f>
        <v/>
      </c>
      <c r="AS1417">
        <f>HYPERLINK("https://creighton-primo.hosted.exlibrisgroup.com/primo-explore/search?tab=default_tab&amp;search_scope=EVERYTHING&amp;vid=01CRU&amp;lang=en_US&amp;offset=0&amp;query=any,contains,991000492649702656","Catalog Record")</f>
        <v/>
      </c>
      <c r="AT1417">
        <f>HYPERLINK("http://www.worldcat.org/oclc/11113880","WorldCat Record")</f>
        <v/>
      </c>
      <c r="AU1417" t="inlineStr">
        <is>
          <t>288353738:eng</t>
        </is>
      </c>
      <c r="AV1417" t="inlineStr">
        <is>
          <t>11113880</t>
        </is>
      </c>
      <c r="AW1417" t="inlineStr">
        <is>
          <t>991000492649702656</t>
        </is>
      </c>
      <c r="AX1417" t="inlineStr">
        <is>
          <t>991000492649702656</t>
        </is>
      </c>
      <c r="AY1417" t="inlineStr">
        <is>
          <t>2256419210002656</t>
        </is>
      </c>
      <c r="AZ1417" t="inlineStr">
        <is>
          <t>BOOK</t>
        </is>
      </c>
      <c r="BB1417" t="inlineStr">
        <is>
          <t>9780912050744</t>
        </is>
      </c>
      <c r="BC1417" t="inlineStr">
        <is>
          <t>32285001351559</t>
        </is>
      </c>
      <c r="BD1417" t="inlineStr">
        <is>
          <t>893351545</t>
        </is>
      </c>
    </row>
    <row r="1418">
      <c r="A1418" t="inlineStr">
        <is>
          <t>No</t>
        </is>
      </c>
      <c r="B1418" t="inlineStr">
        <is>
          <t>LB775.S72 R43</t>
        </is>
      </c>
      <c r="C1418" t="inlineStr">
        <is>
          <t>0                      LB 0775000S  72                 R  43</t>
        </is>
      </c>
      <c r="D1418" t="inlineStr">
        <is>
          <t>Toward wholeness : Rudolf Steiner education in America / by Mary Caroline Richards.</t>
        </is>
      </c>
      <c r="F1418" t="inlineStr">
        <is>
          <t>No</t>
        </is>
      </c>
      <c r="G1418" t="inlineStr">
        <is>
          <t>1</t>
        </is>
      </c>
      <c r="H1418" t="inlineStr">
        <is>
          <t>No</t>
        </is>
      </c>
      <c r="I1418" t="inlineStr">
        <is>
          <t>No</t>
        </is>
      </c>
      <c r="J1418" t="inlineStr">
        <is>
          <t>0</t>
        </is>
      </c>
      <c r="K1418" t="inlineStr">
        <is>
          <t>Richards, Mary Caroline.</t>
        </is>
      </c>
      <c r="L1418" t="inlineStr">
        <is>
          <t>Middletown, Conn. : Wesleyan University Press ; Irvington, N.Y. : distributed by Columbia University Press, c1980.</t>
        </is>
      </c>
      <c r="M1418" t="inlineStr">
        <is>
          <t>1980</t>
        </is>
      </c>
      <c r="N1418" t="inlineStr">
        <is>
          <t>1st ed.</t>
        </is>
      </c>
      <c r="O1418" t="inlineStr">
        <is>
          <t>eng</t>
        </is>
      </c>
      <c r="P1418" t="inlineStr">
        <is>
          <t>ctu</t>
        </is>
      </c>
      <c r="R1418" t="inlineStr">
        <is>
          <t xml:space="preserve">LB </t>
        </is>
      </c>
      <c r="S1418" t="n">
        <v>2</v>
      </c>
      <c r="T1418" t="n">
        <v>2</v>
      </c>
      <c r="U1418" t="inlineStr">
        <is>
          <t>2010-07-28</t>
        </is>
      </c>
      <c r="V1418" t="inlineStr">
        <is>
          <t>2010-07-28</t>
        </is>
      </c>
      <c r="W1418" t="inlineStr">
        <is>
          <t>1992-05-05</t>
        </is>
      </c>
      <c r="X1418" t="inlineStr">
        <is>
          <t>1992-05-05</t>
        </is>
      </c>
      <c r="Y1418" t="n">
        <v>491</v>
      </c>
      <c r="Z1418" t="n">
        <v>419</v>
      </c>
      <c r="AA1418" t="n">
        <v>1038</v>
      </c>
      <c r="AB1418" t="n">
        <v>2</v>
      </c>
      <c r="AC1418" t="n">
        <v>8</v>
      </c>
      <c r="AD1418" t="n">
        <v>18</v>
      </c>
      <c r="AE1418" t="n">
        <v>37</v>
      </c>
      <c r="AF1418" t="n">
        <v>5</v>
      </c>
      <c r="AG1418" t="n">
        <v>12</v>
      </c>
      <c r="AH1418" t="n">
        <v>4</v>
      </c>
      <c r="AI1418" t="n">
        <v>10</v>
      </c>
      <c r="AJ1418" t="n">
        <v>12</v>
      </c>
      <c r="AK1418" t="n">
        <v>15</v>
      </c>
      <c r="AL1418" t="n">
        <v>1</v>
      </c>
      <c r="AM1418" t="n">
        <v>7</v>
      </c>
      <c r="AN1418" t="n">
        <v>0</v>
      </c>
      <c r="AO1418" t="n">
        <v>1</v>
      </c>
      <c r="AP1418" t="inlineStr">
        <is>
          <t>No</t>
        </is>
      </c>
      <c r="AQ1418" t="inlineStr">
        <is>
          <t>No</t>
        </is>
      </c>
      <c r="AS1418">
        <f>HYPERLINK("https://creighton-primo.hosted.exlibrisgroup.com/primo-explore/search?tab=default_tab&amp;search_scope=EVERYTHING&amp;vid=01CRU&amp;lang=en_US&amp;offset=0&amp;query=any,contains,991004955199702656","Catalog Record")</f>
        <v/>
      </c>
      <c r="AT1418">
        <f>HYPERLINK("http://www.worldcat.org/oclc/6277761","WorldCat Record")</f>
        <v/>
      </c>
      <c r="AU1418" t="inlineStr">
        <is>
          <t>893750875:eng</t>
        </is>
      </c>
      <c r="AV1418" t="inlineStr">
        <is>
          <t>6277761</t>
        </is>
      </c>
      <c r="AW1418" t="inlineStr">
        <is>
          <t>991004955199702656</t>
        </is>
      </c>
      <c r="AX1418" t="inlineStr">
        <is>
          <t>991004955199702656</t>
        </is>
      </c>
      <c r="AY1418" t="inlineStr">
        <is>
          <t>2268714940002656</t>
        </is>
      </c>
      <c r="AZ1418" t="inlineStr">
        <is>
          <t>BOOK</t>
        </is>
      </c>
      <c r="BB1418" t="inlineStr">
        <is>
          <t>9780819560629</t>
        </is>
      </c>
      <c r="BC1418" t="inlineStr">
        <is>
          <t>32285001094449</t>
        </is>
      </c>
      <c r="BD1418" t="inlineStr">
        <is>
          <t>893876743</t>
        </is>
      </c>
    </row>
    <row r="1419">
      <c r="A1419" t="inlineStr">
        <is>
          <t>No</t>
        </is>
      </c>
      <c r="B1419" t="inlineStr">
        <is>
          <t>LB85.A7 L67 1982</t>
        </is>
      </c>
      <c r="C1419" t="inlineStr">
        <is>
          <t>0                      LB 0085000A  7                  L  67          1982</t>
        </is>
      </c>
      <c r="D1419" t="inlineStr">
        <is>
          <t>Education and culture in the political thought of Aristotle / by Carnes Lord.</t>
        </is>
      </c>
      <c r="F1419" t="inlineStr">
        <is>
          <t>No</t>
        </is>
      </c>
      <c r="G1419" t="inlineStr">
        <is>
          <t>1</t>
        </is>
      </c>
      <c r="H1419" t="inlineStr">
        <is>
          <t>No</t>
        </is>
      </c>
      <c r="I1419" t="inlineStr">
        <is>
          <t>No</t>
        </is>
      </c>
      <c r="J1419" t="inlineStr">
        <is>
          <t>0</t>
        </is>
      </c>
      <c r="K1419" t="inlineStr">
        <is>
          <t>Lord, Carnes.</t>
        </is>
      </c>
      <c r="L1419" t="inlineStr">
        <is>
          <t>Ithaca : Cornell University Press, 1982.</t>
        </is>
      </c>
      <c r="M1419" t="inlineStr">
        <is>
          <t>1982</t>
        </is>
      </c>
      <c r="O1419" t="inlineStr">
        <is>
          <t>eng</t>
        </is>
      </c>
      <c r="P1419" t="inlineStr">
        <is>
          <t>nyu</t>
        </is>
      </c>
      <c r="R1419" t="inlineStr">
        <is>
          <t xml:space="preserve">LB </t>
        </is>
      </c>
      <c r="S1419" t="n">
        <v>1</v>
      </c>
      <c r="T1419" t="n">
        <v>1</v>
      </c>
      <c r="U1419" t="inlineStr">
        <is>
          <t>2003-04-17</t>
        </is>
      </c>
      <c r="V1419" t="inlineStr">
        <is>
          <t>2003-04-17</t>
        </is>
      </c>
      <c r="W1419" t="inlineStr">
        <is>
          <t>1992-10-19</t>
        </is>
      </c>
      <c r="X1419" t="inlineStr">
        <is>
          <t>1992-10-19</t>
        </is>
      </c>
      <c r="Y1419" t="n">
        <v>557</v>
      </c>
      <c r="Z1419" t="n">
        <v>425</v>
      </c>
      <c r="AA1419" t="n">
        <v>430</v>
      </c>
      <c r="AB1419" t="n">
        <v>4</v>
      </c>
      <c r="AC1419" t="n">
        <v>4</v>
      </c>
      <c r="AD1419" t="n">
        <v>28</v>
      </c>
      <c r="AE1419" t="n">
        <v>28</v>
      </c>
      <c r="AF1419" t="n">
        <v>11</v>
      </c>
      <c r="AG1419" t="n">
        <v>11</v>
      </c>
      <c r="AH1419" t="n">
        <v>9</v>
      </c>
      <c r="AI1419" t="n">
        <v>9</v>
      </c>
      <c r="AJ1419" t="n">
        <v>17</v>
      </c>
      <c r="AK1419" t="n">
        <v>17</v>
      </c>
      <c r="AL1419" t="n">
        <v>2</v>
      </c>
      <c r="AM1419" t="n">
        <v>2</v>
      </c>
      <c r="AN1419" t="n">
        <v>0</v>
      </c>
      <c r="AO1419" t="n">
        <v>0</v>
      </c>
      <c r="AP1419" t="inlineStr">
        <is>
          <t>No</t>
        </is>
      </c>
      <c r="AQ1419" t="inlineStr">
        <is>
          <t>No</t>
        </is>
      </c>
      <c r="AS1419">
        <f>HYPERLINK("https://creighton-primo.hosted.exlibrisgroup.com/primo-explore/search?tab=default_tab&amp;search_scope=EVERYTHING&amp;vid=01CRU&amp;lang=en_US&amp;offset=0&amp;query=any,contains,991005173419702656","Catalog Record")</f>
        <v/>
      </c>
      <c r="AT1419">
        <f>HYPERLINK("http://www.worldcat.org/oclc/7877085","WorldCat Record")</f>
        <v/>
      </c>
      <c r="AU1419" t="inlineStr">
        <is>
          <t>450708:eng</t>
        </is>
      </c>
      <c r="AV1419" t="inlineStr">
        <is>
          <t>7877085</t>
        </is>
      </c>
      <c r="AW1419" t="inlineStr">
        <is>
          <t>991005173419702656</t>
        </is>
      </c>
      <c r="AX1419" t="inlineStr">
        <is>
          <t>991005173419702656</t>
        </is>
      </c>
      <c r="AY1419" t="inlineStr">
        <is>
          <t>2268290710002656</t>
        </is>
      </c>
      <c r="AZ1419" t="inlineStr">
        <is>
          <t>BOOK</t>
        </is>
      </c>
      <c r="BB1419" t="inlineStr">
        <is>
          <t>9780801414121</t>
        </is>
      </c>
      <c r="BC1419" t="inlineStr">
        <is>
          <t>32285001351377</t>
        </is>
      </c>
      <c r="BD1419" t="inlineStr">
        <is>
          <t>893536431</t>
        </is>
      </c>
    </row>
    <row r="1420">
      <c r="A1420" t="inlineStr">
        <is>
          <t>No</t>
        </is>
      </c>
      <c r="B1420" t="inlineStr">
        <is>
          <t>LB85.A7 S73 1998</t>
        </is>
      </c>
      <c r="C1420" t="inlineStr">
        <is>
          <t>0                      LB 0085000A  7                  S  73          1998</t>
        </is>
      </c>
      <c r="D1420" t="inlineStr">
        <is>
          <t>Aristotle on teaching / Mary Michael Spangler.</t>
        </is>
      </c>
      <c r="F1420" t="inlineStr">
        <is>
          <t>No</t>
        </is>
      </c>
      <c r="G1420" t="inlineStr">
        <is>
          <t>1</t>
        </is>
      </c>
      <c r="H1420" t="inlineStr">
        <is>
          <t>No</t>
        </is>
      </c>
      <c r="I1420" t="inlineStr">
        <is>
          <t>No</t>
        </is>
      </c>
      <c r="J1420" t="inlineStr">
        <is>
          <t>0</t>
        </is>
      </c>
      <c r="K1420" t="inlineStr">
        <is>
          <t>Spangler, Mary Michael.</t>
        </is>
      </c>
      <c r="L1420" t="inlineStr">
        <is>
          <t>Lanham, Md. : University Press of America, c1998.</t>
        </is>
      </c>
      <c r="M1420" t="inlineStr">
        <is>
          <t>1998</t>
        </is>
      </c>
      <c r="O1420" t="inlineStr">
        <is>
          <t>eng</t>
        </is>
      </c>
      <c r="P1420" t="inlineStr">
        <is>
          <t>mdu</t>
        </is>
      </c>
      <c r="R1420" t="inlineStr">
        <is>
          <t xml:space="preserve">LB </t>
        </is>
      </c>
      <c r="S1420" t="n">
        <v>2</v>
      </c>
      <c r="T1420" t="n">
        <v>2</v>
      </c>
      <c r="U1420" t="inlineStr">
        <is>
          <t>2005-06-03</t>
        </is>
      </c>
      <c r="V1420" t="inlineStr">
        <is>
          <t>2005-06-03</t>
        </is>
      </c>
      <c r="W1420" t="inlineStr">
        <is>
          <t>2000-01-11</t>
        </is>
      </c>
      <c r="X1420" t="inlineStr">
        <is>
          <t>2000-01-11</t>
        </is>
      </c>
      <c r="Y1420" t="n">
        <v>342</v>
      </c>
      <c r="Z1420" t="n">
        <v>306</v>
      </c>
      <c r="AA1420" t="n">
        <v>310</v>
      </c>
      <c r="AB1420" t="n">
        <v>4</v>
      </c>
      <c r="AC1420" t="n">
        <v>4</v>
      </c>
      <c r="AD1420" t="n">
        <v>19</v>
      </c>
      <c r="AE1420" t="n">
        <v>19</v>
      </c>
      <c r="AF1420" t="n">
        <v>6</v>
      </c>
      <c r="AG1420" t="n">
        <v>6</v>
      </c>
      <c r="AH1420" t="n">
        <v>5</v>
      </c>
      <c r="AI1420" t="n">
        <v>5</v>
      </c>
      <c r="AJ1420" t="n">
        <v>8</v>
      </c>
      <c r="AK1420" t="n">
        <v>8</v>
      </c>
      <c r="AL1420" t="n">
        <v>3</v>
      </c>
      <c r="AM1420" t="n">
        <v>3</v>
      </c>
      <c r="AN1420" t="n">
        <v>0</v>
      </c>
      <c r="AO1420" t="n">
        <v>0</v>
      </c>
      <c r="AP1420" t="inlineStr">
        <is>
          <t>No</t>
        </is>
      </c>
      <c r="AQ1420" t="inlineStr">
        <is>
          <t>Yes</t>
        </is>
      </c>
      <c r="AR1420">
        <f>HYPERLINK("http://catalog.hathitrust.org/Record/004018889","HathiTrust Record")</f>
        <v/>
      </c>
      <c r="AS1420">
        <f>HYPERLINK("https://creighton-primo.hosted.exlibrisgroup.com/primo-explore/search?tab=default_tab&amp;search_scope=EVERYTHING&amp;vid=01CRU&amp;lang=en_US&amp;offset=0&amp;query=any,contains,991002950749702656","Catalog Record")</f>
        <v/>
      </c>
      <c r="AT1420">
        <f>HYPERLINK("http://www.worldcat.org/oclc/39322703","WorldCat Record")</f>
        <v/>
      </c>
      <c r="AU1420" t="inlineStr">
        <is>
          <t>41968771:eng</t>
        </is>
      </c>
      <c r="AV1420" t="inlineStr">
        <is>
          <t>39322703</t>
        </is>
      </c>
      <c r="AW1420" t="inlineStr">
        <is>
          <t>991002950749702656</t>
        </is>
      </c>
      <c r="AX1420" t="inlineStr">
        <is>
          <t>991002950749702656</t>
        </is>
      </c>
      <c r="AY1420" t="inlineStr">
        <is>
          <t>2265793060002656</t>
        </is>
      </c>
      <c r="AZ1420" t="inlineStr">
        <is>
          <t>BOOK</t>
        </is>
      </c>
      <c r="BB1420" t="inlineStr">
        <is>
          <t>9780761812104</t>
        </is>
      </c>
      <c r="BC1420" t="inlineStr">
        <is>
          <t>32285003639712</t>
        </is>
      </c>
      <c r="BD1420" t="inlineStr">
        <is>
          <t>893342066</t>
        </is>
      </c>
    </row>
    <row r="1421">
      <c r="A1421" t="inlineStr">
        <is>
          <t>No</t>
        </is>
      </c>
      <c r="B1421" t="inlineStr">
        <is>
          <t>LB85.P7 B35 1976</t>
        </is>
      </c>
      <c r="C1421" t="inlineStr">
        <is>
          <t>0                      LB 0085000P  7                  B  35          1976</t>
        </is>
      </c>
      <c r="D1421" t="inlineStr">
        <is>
          <t>Plato and education / Robin Barrow.</t>
        </is>
      </c>
      <c r="F1421" t="inlineStr">
        <is>
          <t>No</t>
        </is>
      </c>
      <c r="G1421" t="inlineStr">
        <is>
          <t>1</t>
        </is>
      </c>
      <c r="H1421" t="inlineStr">
        <is>
          <t>No</t>
        </is>
      </c>
      <c r="I1421" t="inlineStr">
        <is>
          <t>No</t>
        </is>
      </c>
      <c r="J1421" t="inlineStr">
        <is>
          <t>0</t>
        </is>
      </c>
      <c r="K1421" t="inlineStr">
        <is>
          <t>Barrow, Robin.</t>
        </is>
      </c>
      <c r="L1421" t="inlineStr">
        <is>
          <t>London ; Boston : Routledge &amp; K. Paul, 1976.</t>
        </is>
      </c>
      <c r="M1421" t="inlineStr">
        <is>
          <t>1976</t>
        </is>
      </c>
      <c r="O1421" t="inlineStr">
        <is>
          <t>eng</t>
        </is>
      </c>
      <c r="P1421" t="inlineStr">
        <is>
          <t>enk</t>
        </is>
      </c>
      <c r="Q1421" t="inlineStr">
        <is>
          <t>Students library of education</t>
        </is>
      </c>
      <c r="R1421" t="inlineStr">
        <is>
          <t xml:space="preserve">LB </t>
        </is>
      </c>
      <c r="S1421" t="n">
        <v>5</v>
      </c>
      <c r="T1421" t="n">
        <v>5</v>
      </c>
      <c r="U1421" t="inlineStr">
        <is>
          <t>2003-04-17</t>
        </is>
      </c>
      <c r="V1421" t="inlineStr">
        <is>
          <t>2003-04-17</t>
        </is>
      </c>
      <c r="W1421" t="inlineStr">
        <is>
          <t>1992-10-19</t>
        </is>
      </c>
      <c r="X1421" t="inlineStr">
        <is>
          <t>1992-10-19</t>
        </is>
      </c>
      <c r="Y1421" t="n">
        <v>660</v>
      </c>
      <c r="Z1421" t="n">
        <v>478</v>
      </c>
      <c r="AA1421" t="n">
        <v>501</v>
      </c>
      <c r="AB1421" t="n">
        <v>5</v>
      </c>
      <c r="AC1421" t="n">
        <v>5</v>
      </c>
      <c r="AD1421" t="n">
        <v>24</v>
      </c>
      <c r="AE1421" t="n">
        <v>26</v>
      </c>
      <c r="AF1421" t="n">
        <v>9</v>
      </c>
      <c r="AG1421" t="n">
        <v>11</v>
      </c>
      <c r="AH1421" t="n">
        <v>5</v>
      </c>
      <c r="AI1421" t="n">
        <v>5</v>
      </c>
      <c r="AJ1421" t="n">
        <v>13</v>
      </c>
      <c r="AK1421" t="n">
        <v>14</v>
      </c>
      <c r="AL1421" t="n">
        <v>4</v>
      </c>
      <c r="AM1421" t="n">
        <v>4</v>
      </c>
      <c r="AN1421" t="n">
        <v>0</v>
      </c>
      <c r="AO1421" t="n">
        <v>0</v>
      </c>
      <c r="AP1421" t="inlineStr">
        <is>
          <t>No</t>
        </is>
      </c>
      <c r="AQ1421" t="inlineStr">
        <is>
          <t>Yes</t>
        </is>
      </c>
      <c r="AR1421">
        <f>HYPERLINK("http://catalog.hathitrust.org/Record/008307036","HathiTrust Record")</f>
        <v/>
      </c>
      <c r="AS1421">
        <f>HYPERLINK("https://creighton-primo.hosted.exlibrisgroup.com/primo-explore/search?tab=default_tab&amp;search_scope=EVERYTHING&amp;vid=01CRU&amp;lang=en_US&amp;offset=0&amp;query=any,contains,991004151859702656","Catalog Record")</f>
        <v/>
      </c>
      <c r="AT1421">
        <f>HYPERLINK("http://www.worldcat.org/oclc/2525833","WorldCat Record")</f>
        <v/>
      </c>
      <c r="AU1421" t="inlineStr">
        <is>
          <t>2909142371:eng</t>
        </is>
      </c>
      <c r="AV1421" t="inlineStr">
        <is>
          <t>2525833</t>
        </is>
      </c>
      <c r="AW1421" t="inlineStr">
        <is>
          <t>991004151859702656</t>
        </is>
      </c>
      <c r="AX1421" t="inlineStr">
        <is>
          <t>991004151859702656</t>
        </is>
      </c>
      <c r="AY1421" t="inlineStr">
        <is>
          <t>2272667160002656</t>
        </is>
      </c>
      <c r="AZ1421" t="inlineStr">
        <is>
          <t>BOOK</t>
        </is>
      </c>
      <c r="BB1421" t="inlineStr">
        <is>
          <t>9780710083432</t>
        </is>
      </c>
      <c r="BC1421" t="inlineStr">
        <is>
          <t>32285001351385</t>
        </is>
      </c>
      <c r="BD1421" t="inlineStr">
        <is>
          <t>893882114</t>
        </is>
      </c>
    </row>
    <row r="1422">
      <c r="A1422" t="inlineStr">
        <is>
          <t>No</t>
        </is>
      </c>
      <c r="B1422" t="inlineStr">
        <is>
          <t>LB85.P7 L6</t>
        </is>
      </c>
      <c r="C1422" t="inlineStr">
        <is>
          <t>0                      LB 0085000P  7                  L  6</t>
        </is>
      </c>
      <c r="D1422" t="inlineStr">
        <is>
          <t>Plato's theory of education. With an appendix on the education of women according to Plato, by Solomon Frank.</t>
        </is>
      </c>
      <c r="F1422" t="inlineStr">
        <is>
          <t>No</t>
        </is>
      </c>
      <c r="G1422" t="inlineStr">
        <is>
          <t>1</t>
        </is>
      </c>
      <c r="H1422" t="inlineStr">
        <is>
          <t>No</t>
        </is>
      </c>
      <c r="I1422" t="inlineStr">
        <is>
          <t>No</t>
        </is>
      </c>
      <c r="J1422" t="inlineStr">
        <is>
          <t>0</t>
        </is>
      </c>
      <c r="K1422" t="inlineStr">
        <is>
          <t>Lodge, R. C. (Rupert Clendon), 1886-1961.</t>
        </is>
      </c>
      <c r="L1422" t="inlineStr">
        <is>
          <t>London, K. Paul, Trench, Trubner [1947]</t>
        </is>
      </c>
      <c r="M1422" t="inlineStr">
        <is>
          <t>1947</t>
        </is>
      </c>
      <c r="O1422" t="inlineStr">
        <is>
          <t>eng</t>
        </is>
      </c>
      <c r="P1422" t="inlineStr">
        <is>
          <t xml:space="preserve">xx </t>
        </is>
      </c>
      <c r="Q1422" t="inlineStr">
        <is>
          <t>International library of psychology, philosophy, and scientific method</t>
        </is>
      </c>
      <c r="R1422" t="inlineStr">
        <is>
          <t xml:space="preserve">LB </t>
        </is>
      </c>
      <c r="S1422" t="n">
        <v>2</v>
      </c>
      <c r="T1422" t="n">
        <v>2</v>
      </c>
      <c r="U1422" t="inlineStr">
        <is>
          <t>2002-04-19</t>
        </is>
      </c>
      <c r="V1422" t="inlineStr">
        <is>
          <t>2002-04-19</t>
        </is>
      </c>
      <c r="W1422" t="inlineStr">
        <is>
          <t>1997-04-24</t>
        </is>
      </c>
      <c r="X1422" t="inlineStr">
        <is>
          <t>1997-04-24</t>
        </is>
      </c>
      <c r="Y1422" t="n">
        <v>220</v>
      </c>
      <c r="Z1422" t="n">
        <v>167</v>
      </c>
      <c r="AA1422" t="n">
        <v>405</v>
      </c>
      <c r="AB1422" t="n">
        <v>1</v>
      </c>
      <c r="AC1422" t="n">
        <v>1</v>
      </c>
      <c r="AD1422" t="n">
        <v>11</v>
      </c>
      <c r="AE1422" t="n">
        <v>18</v>
      </c>
      <c r="AF1422" t="n">
        <v>4</v>
      </c>
      <c r="AG1422" t="n">
        <v>6</v>
      </c>
      <c r="AH1422" t="n">
        <v>3</v>
      </c>
      <c r="AI1422" t="n">
        <v>6</v>
      </c>
      <c r="AJ1422" t="n">
        <v>9</v>
      </c>
      <c r="AK1422" t="n">
        <v>12</v>
      </c>
      <c r="AL1422" t="n">
        <v>0</v>
      </c>
      <c r="AM1422" t="n">
        <v>0</v>
      </c>
      <c r="AN1422" t="n">
        <v>0</v>
      </c>
      <c r="AO1422" t="n">
        <v>0</v>
      </c>
      <c r="AP1422" t="inlineStr">
        <is>
          <t>No</t>
        </is>
      </c>
      <c r="AQ1422" t="inlineStr">
        <is>
          <t>Yes</t>
        </is>
      </c>
      <c r="AR1422">
        <f>HYPERLINK("http://catalog.hathitrust.org/Record/006608437","HathiTrust Record")</f>
        <v/>
      </c>
      <c r="AS1422">
        <f>HYPERLINK("https://creighton-primo.hosted.exlibrisgroup.com/primo-explore/search?tab=default_tab&amp;search_scope=EVERYTHING&amp;vid=01CRU&amp;lang=en_US&amp;offset=0&amp;query=any,contains,991003391089702656","Catalog Record")</f>
        <v/>
      </c>
      <c r="AT1422">
        <f>HYPERLINK("http://www.worldcat.org/oclc/929004","WorldCat Record")</f>
        <v/>
      </c>
      <c r="AU1422" t="inlineStr">
        <is>
          <t>375475833:eng</t>
        </is>
      </c>
      <c r="AV1422" t="inlineStr">
        <is>
          <t>929004</t>
        </is>
      </c>
      <c r="AW1422" t="inlineStr">
        <is>
          <t>991003391089702656</t>
        </is>
      </c>
      <c r="AX1422" t="inlineStr">
        <is>
          <t>991003391089702656</t>
        </is>
      </c>
      <c r="AY1422" t="inlineStr">
        <is>
          <t>2267859130002656</t>
        </is>
      </c>
      <c r="AZ1422" t="inlineStr">
        <is>
          <t>BOOK</t>
        </is>
      </c>
      <c r="BC1422" t="inlineStr">
        <is>
          <t>32285002598034</t>
        </is>
      </c>
      <c r="BD1422" t="inlineStr">
        <is>
          <t>893246310</t>
        </is>
      </c>
    </row>
    <row r="1423">
      <c r="A1423" t="inlineStr">
        <is>
          <t>No</t>
        </is>
      </c>
      <c r="B1423" t="inlineStr">
        <is>
          <t>LB85.P7 N5 1935</t>
        </is>
      </c>
      <c r="C1423" t="inlineStr">
        <is>
          <t>0                      LB 0085000P  7                  N  5           1935</t>
        </is>
      </c>
      <c r="D1423" t="inlineStr">
        <is>
          <t>The theory of education in Plato's Republic, by R. L. Nettleship. With an introduction by Spencer Leeson.</t>
        </is>
      </c>
      <c r="F1423" t="inlineStr">
        <is>
          <t>No</t>
        </is>
      </c>
      <c r="G1423" t="inlineStr">
        <is>
          <t>1</t>
        </is>
      </c>
      <c r="H1423" t="inlineStr">
        <is>
          <t>No</t>
        </is>
      </c>
      <c r="I1423" t="inlineStr">
        <is>
          <t>No</t>
        </is>
      </c>
      <c r="J1423" t="inlineStr">
        <is>
          <t>0</t>
        </is>
      </c>
      <c r="K1423" t="inlineStr">
        <is>
          <t>Nettleship, Richard Lewis, 1846-1892.</t>
        </is>
      </c>
      <c r="L1423" t="inlineStr">
        <is>
          <t>Oxford, The Clarendon press, 1935.</t>
        </is>
      </c>
      <c r="M1423" t="inlineStr">
        <is>
          <t>1935</t>
        </is>
      </c>
      <c r="O1423" t="inlineStr">
        <is>
          <t>eng</t>
        </is>
      </c>
      <c r="P1423" t="inlineStr">
        <is>
          <t xml:space="preserve">xx </t>
        </is>
      </c>
      <c r="R1423" t="inlineStr">
        <is>
          <t xml:space="preserve">LB </t>
        </is>
      </c>
      <c r="S1423" t="n">
        <v>12</v>
      </c>
      <c r="T1423" t="n">
        <v>12</v>
      </c>
      <c r="U1423" t="inlineStr">
        <is>
          <t>2004-08-25</t>
        </is>
      </c>
      <c r="V1423" t="inlineStr">
        <is>
          <t>2004-08-25</t>
        </is>
      </c>
      <c r="W1423" t="inlineStr">
        <is>
          <t>1997-04-24</t>
        </is>
      </c>
      <c r="X1423" t="inlineStr">
        <is>
          <t>1997-04-24</t>
        </is>
      </c>
      <c r="Y1423" t="n">
        <v>417</v>
      </c>
      <c r="Z1423" t="n">
        <v>322</v>
      </c>
      <c r="AA1423" t="n">
        <v>455</v>
      </c>
      <c r="AB1423" t="n">
        <v>2</v>
      </c>
      <c r="AC1423" t="n">
        <v>3</v>
      </c>
      <c r="AD1423" t="n">
        <v>23</v>
      </c>
      <c r="AE1423" t="n">
        <v>27</v>
      </c>
      <c r="AF1423" t="n">
        <v>8</v>
      </c>
      <c r="AG1423" t="n">
        <v>10</v>
      </c>
      <c r="AH1423" t="n">
        <v>6</v>
      </c>
      <c r="AI1423" t="n">
        <v>6</v>
      </c>
      <c r="AJ1423" t="n">
        <v>14</v>
      </c>
      <c r="AK1423" t="n">
        <v>17</v>
      </c>
      <c r="AL1423" t="n">
        <v>1</v>
      </c>
      <c r="AM1423" t="n">
        <v>2</v>
      </c>
      <c r="AN1423" t="n">
        <v>0</v>
      </c>
      <c r="AO1423" t="n">
        <v>0</v>
      </c>
      <c r="AP1423" t="inlineStr">
        <is>
          <t>No</t>
        </is>
      </c>
      <c r="AQ1423" t="inlineStr">
        <is>
          <t>No</t>
        </is>
      </c>
      <c r="AR1423">
        <f>HYPERLINK("http://catalog.hathitrust.org/Record/007127642","HathiTrust Record")</f>
        <v/>
      </c>
      <c r="AS1423">
        <f>HYPERLINK("https://creighton-primo.hosted.exlibrisgroup.com/primo-explore/search?tab=default_tab&amp;search_scope=EVERYTHING&amp;vid=01CRU&amp;lang=en_US&amp;offset=0&amp;query=any,contains,991005357309702656","Catalog Record")</f>
        <v/>
      </c>
      <c r="AT1423">
        <f>HYPERLINK("http://www.worldcat.org/oclc/929013","WorldCat Record")</f>
        <v/>
      </c>
      <c r="AU1423" t="inlineStr">
        <is>
          <t>1313632:eng</t>
        </is>
      </c>
      <c r="AV1423" t="inlineStr">
        <is>
          <t>929013</t>
        </is>
      </c>
      <c r="AW1423" t="inlineStr">
        <is>
          <t>991005357309702656</t>
        </is>
      </c>
      <c r="AX1423" t="inlineStr">
        <is>
          <t>991005357309702656</t>
        </is>
      </c>
      <c r="AY1423" t="inlineStr">
        <is>
          <t>2267856070002656</t>
        </is>
      </c>
      <c r="AZ1423" t="inlineStr">
        <is>
          <t>BOOK</t>
        </is>
      </c>
      <c r="BC1423" t="inlineStr">
        <is>
          <t>32285002598042</t>
        </is>
      </c>
      <c r="BD1423" t="inlineStr">
        <is>
          <t>893326619</t>
        </is>
      </c>
    </row>
    <row r="1424">
      <c r="A1424" t="inlineStr">
        <is>
          <t>No</t>
        </is>
      </c>
      <c r="B1424" t="inlineStr">
        <is>
          <t>LB85.P7 T45 1986</t>
        </is>
      </c>
      <c r="C1424" t="inlineStr">
        <is>
          <t>0                      LB 0085000P  7                  T  45          1986</t>
        </is>
      </c>
      <c r="D1424" t="inlineStr">
        <is>
          <t>Socratic education in Plato's early dialogues / Henry Teloh.</t>
        </is>
      </c>
      <c r="F1424" t="inlineStr">
        <is>
          <t>No</t>
        </is>
      </c>
      <c r="G1424" t="inlineStr">
        <is>
          <t>1</t>
        </is>
      </c>
      <c r="H1424" t="inlineStr">
        <is>
          <t>No</t>
        </is>
      </c>
      <c r="I1424" t="inlineStr">
        <is>
          <t>No</t>
        </is>
      </c>
      <c r="J1424" t="inlineStr">
        <is>
          <t>0</t>
        </is>
      </c>
      <c r="K1424" t="inlineStr">
        <is>
          <t>Teloh, Henry, 1944-</t>
        </is>
      </c>
      <c r="L1424" t="inlineStr">
        <is>
          <t>Notre Dame, Ind. : University of Notre Dame Press, c1986.</t>
        </is>
      </c>
      <c r="M1424" t="inlineStr">
        <is>
          <t>1986</t>
        </is>
      </c>
      <c r="O1424" t="inlineStr">
        <is>
          <t>eng</t>
        </is>
      </c>
      <c r="P1424" t="inlineStr">
        <is>
          <t>inu</t>
        </is>
      </c>
      <c r="R1424" t="inlineStr">
        <is>
          <t xml:space="preserve">LB </t>
        </is>
      </c>
      <c r="S1424" t="n">
        <v>3</v>
      </c>
      <c r="T1424" t="n">
        <v>3</v>
      </c>
      <c r="U1424" t="inlineStr">
        <is>
          <t>2001-10-04</t>
        </is>
      </c>
      <c r="V1424" t="inlineStr">
        <is>
          <t>2001-10-04</t>
        </is>
      </c>
      <c r="W1424" t="inlineStr">
        <is>
          <t>1992-10-19</t>
        </is>
      </c>
      <c r="X1424" t="inlineStr">
        <is>
          <t>1992-10-19</t>
        </is>
      </c>
      <c r="Y1424" t="n">
        <v>527</v>
      </c>
      <c r="Z1424" t="n">
        <v>448</v>
      </c>
      <c r="AA1424" t="n">
        <v>454</v>
      </c>
      <c r="AB1424" t="n">
        <v>4</v>
      </c>
      <c r="AC1424" t="n">
        <v>4</v>
      </c>
      <c r="AD1424" t="n">
        <v>35</v>
      </c>
      <c r="AE1424" t="n">
        <v>35</v>
      </c>
      <c r="AF1424" t="n">
        <v>13</v>
      </c>
      <c r="AG1424" t="n">
        <v>13</v>
      </c>
      <c r="AH1424" t="n">
        <v>11</v>
      </c>
      <c r="AI1424" t="n">
        <v>11</v>
      </c>
      <c r="AJ1424" t="n">
        <v>19</v>
      </c>
      <c r="AK1424" t="n">
        <v>19</v>
      </c>
      <c r="AL1424" t="n">
        <v>3</v>
      </c>
      <c r="AM1424" t="n">
        <v>3</v>
      </c>
      <c r="AN1424" t="n">
        <v>0</v>
      </c>
      <c r="AO1424" t="n">
        <v>0</v>
      </c>
      <c r="AP1424" t="inlineStr">
        <is>
          <t>No</t>
        </is>
      </c>
      <c r="AQ1424" t="inlineStr">
        <is>
          <t>Yes</t>
        </is>
      </c>
      <c r="AR1424">
        <f>HYPERLINK("http://catalog.hathitrust.org/Record/000815991","HathiTrust Record")</f>
        <v/>
      </c>
      <c r="AS1424">
        <f>HYPERLINK("https://creighton-primo.hosted.exlibrisgroup.com/primo-explore/search?tab=default_tab&amp;search_scope=EVERYTHING&amp;vid=01CRU&amp;lang=en_US&amp;offset=0&amp;query=any,contains,991000901579702656","Catalog Record")</f>
        <v/>
      </c>
      <c r="AT1424">
        <f>HYPERLINK("http://www.worldcat.org/oclc/14068031","WorldCat Record")</f>
        <v/>
      </c>
      <c r="AU1424" t="inlineStr">
        <is>
          <t>7214651:eng</t>
        </is>
      </c>
      <c r="AV1424" t="inlineStr">
        <is>
          <t>14068031</t>
        </is>
      </c>
      <c r="AW1424" t="inlineStr">
        <is>
          <t>991000901579702656</t>
        </is>
      </c>
      <c r="AX1424" t="inlineStr">
        <is>
          <t>991000901579702656</t>
        </is>
      </c>
      <c r="AY1424" t="inlineStr">
        <is>
          <t>2256923000002656</t>
        </is>
      </c>
      <c r="AZ1424" t="inlineStr">
        <is>
          <t>BOOK</t>
        </is>
      </c>
      <c r="BB1424" t="inlineStr">
        <is>
          <t>9780268017248</t>
        </is>
      </c>
      <c r="BC1424" t="inlineStr">
        <is>
          <t>32285001351401</t>
        </is>
      </c>
      <c r="BD1424" t="inlineStr">
        <is>
          <t>893589842</t>
        </is>
      </c>
    </row>
    <row r="1425">
      <c r="A1425" t="inlineStr">
        <is>
          <t>No</t>
        </is>
      </c>
      <c r="B1425" t="inlineStr">
        <is>
          <t>LB875 .A33 1985</t>
        </is>
      </c>
      <c r="C1425" t="inlineStr">
        <is>
          <t>0                      LB 0875000A  33          1985</t>
        </is>
      </c>
      <c r="D1425" t="inlineStr">
        <is>
          <t>Jane Addams on education / edited, with an introduction and notes by Ellen Condliffe Lagemann.</t>
        </is>
      </c>
      <c r="F1425" t="inlineStr">
        <is>
          <t>No</t>
        </is>
      </c>
      <c r="G1425" t="inlineStr">
        <is>
          <t>1</t>
        </is>
      </c>
      <c r="H1425" t="inlineStr">
        <is>
          <t>No</t>
        </is>
      </c>
      <c r="I1425" t="inlineStr">
        <is>
          <t>No</t>
        </is>
      </c>
      <c r="J1425" t="inlineStr">
        <is>
          <t>0</t>
        </is>
      </c>
      <c r="K1425" t="inlineStr">
        <is>
          <t>Addams, Jane, 1860-1935.</t>
        </is>
      </c>
      <c r="L1425" t="inlineStr">
        <is>
          <t>New York : Teachers College Press, c1985.</t>
        </is>
      </c>
      <c r="M1425" t="inlineStr">
        <is>
          <t>1985</t>
        </is>
      </c>
      <c r="O1425" t="inlineStr">
        <is>
          <t>eng</t>
        </is>
      </c>
      <c r="P1425" t="inlineStr">
        <is>
          <t>nyu</t>
        </is>
      </c>
      <c r="Q1425" t="inlineStr">
        <is>
          <t>Classics in education ; no. 51</t>
        </is>
      </c>
      <c r="R1425" t="inlineStr">
        <is>
          <t xml:space="preserve">LB </t>
        </is>
      </c>
      <c r="S1425" t="n">
        <v>4</v>
      </c>
      <c r="T1425" t="n">
        <v>4</v>
      </c>
      <c r="U1425" t="inlineStr">
        <is>
          <t>2003-04-15</t>
        </is>
      </c>
      <c r="V1425" t="inlineStr">
        <is>
          <t>2003-04-15</t>
        </is>
      </c>
      <c r="W1425" t="inlineStr">
        <is>
          <t>1992-10-19</t>
        </is>
      </c>
      <c r="X1425" t="inlineStr">
        <is>
          <t>1992-10-19</t>
        </is>
      </c>
      <c r="Y1425" t="n">
        <v>339</v>
      </c>
      <c r="Z1425" t="n">
        <v>316</v>
      </c>
      <c r="AA1425" t="n">
        <v>321</v>
      </c>
      <c r="AB1425" t="n">
        <v>2</v>
      </c>
      <c r="AC1425" t="n">
        <v>2</v>
      </c>
      <c r="AD1425" t="n">
        <v>15</v>
      </c>
      <c r="AE1425" t="n">
        <v>15</v>
      </c>
      <c r="AF1425" t="n">
        <v>4</v>
      </c>
      <c r="AG1425" t="n">
        <v>4</v>
      </c>
      <c r="AH1425" t="n">
        <v>5</v>
      </c>
      <c r="AI1425" t="n">
        <v>5</v>
      </c>
      <c r="AJ1425" t="n">
        <v>8</v>
      </c>
      <c r="AK1425" t="n">
        <v>8</v>
      </c>
      <c r="AL1425" t="n">
        <v>1</v>
      </c>
      <c r="AM1425" t="n">
        <v>1</v>
      </c>
      <c r="AN1425" t="n">
        <v>0</v>
      </c>
      <c r="AO1425" t="n">
        <v>0</v>
      </c>
      <c r="AP1425" t="inlineStr">
        <is>
          <t>No</t>
        </is>
      </c>
      <c r="AQ1425" t="inlineStr">
        <is>
          <t>No</t>
        </is>
      </c>
      <c r="AS1425">
        <f>HYPERLINK("https://creighton-primo.hosted.exlibrisgroup.com/primo-explore/search?tab=default_tab&amp;search_scope=EVERYTHING&amp;vid=01CRU&amp;lang=en_US&amp;offset=0&amp;query=any,contains,991000584949702656","Catalog Record")</f>
        <v/>
      </c>
      <c r="AT1425">
        <f>HYPERLINK("http://www.worldcat.org/oclc/11756127","WorldCat Record")</f>
        <v/>
      </c>
      <c r="AU1425" t="inlineStr">
        <is>
          <t>1806170914:eng</t>
        </is>
      </c>
      <c r="AV1425" t="inlineStr">
        <is>
          <t>11756127</t>
        </is>
      </c>
      <c r="AW1425" t="inlineStr">
        <is>
          <t>991000584949702656</t>
        </is>
      </c>
      <c r="AX1425" t="inlineStr">
        <is>
          <t>991000584949702656</t>
        </is>
      </c>
      <c r="AY1425" t="inlineStr">
        <is>
          <t>2269169080002656</t>
        </is>
      </c>
      <c r="AZ1425" t="inlineStr">
        <is>
          <t>BOOK</t>
        </is>
      </c>
      <c r="BB1425" t="inlineStr">
        <is>
          <t>9780807727836</t>
        </is>
      </c>
      <c r="BC1425" t="inlineStr">
        <is>
          <t>32285001351567</t>
        </is>
      </c>
      <c r="BD1425" t="inlineStr">
        <is>
          <t>893438390</t>
        </is>
      </c>
    </row>
    <row r="1426">
      <c r="A1426" t="inlineStr">
        <is>
          <t>No</t>
        </is>
      </c>
      <c r="B1426" t="inlineStr">
        <is>
          <t>LB875 .B519</t>
        </is>
      </c>
      <c r="C1426" t="inlineStr">
        <is>
          <t>0                      LB 0875000B  519</t>
        </is>
      </c>
      <c r="D1426" t="inlineStr">
        <is>
          <t>Three philosophies of education; a radical re-examination of the basic assumptions underlying education: matter-centered; idea-centered; God-centered [by] Henry J. Boettcher.</t>
        </is>
      </c>
      <c r="F1426" t="inlineStr">
        <is>
          <t>No</t>
        </is>
      </c>
      <c r="G1426" t="inlineStr">
        <is>
          <t>1</t>
        </is>
      </c>
      <c r="H1426" t="inlineStr">
        <is>
          <t>No</t>
        </is>
      </c>
      <c r="I1426" t="inlineStr">
        <is>
          <t>No</t>
        </is>
      </c>
      <c r="J1426" t="inlineStr">
        <is>
          <t>0</t>
        </is>
      </c>
      <c r="K1426" t="inlineStr">
        <is>
          <t>Boettcher, Henry J. (Henry John), 1893-</t>
        </is>
      </c>
      <c r="L1426" t="inlineStr">
        <is>
          <t>New York, Philosophical Library [1967, c1966]</t>
        </is>
      </c>
      <c r="M1426" t="inlineStr">
        <is>
          <t>1967</t>
        </is>
      </c>
      <c r="O1426" t="inlineStr">
        <is>
          <t>eng</t>
        </is>
      </c>
      <c r="P1426" t="inlineStr">
        <is>
          <t>nyu</t>
        </is>
      </c>
      <c r="R1426" t="inlineStr">
        <is>
          <t xml:space="preserve">LB </t>
        </is>
      </c>
      <c r="S1426" t="n">
        <v>1</v>
      </c>
      <c r="T1426" t="n">
        <v>1</v>
      </c>
      <c r="U1426" t="inlineStr">
        <is>
          <t>2001-12-03</t>
        </is>
      </c>
      <c r="V1426" t="inlineStr">
        <is>
          <t>2001-12-03</t>
        </is>
      </c>
      <c r="W1426" t="inlineStr">
        <is>
          <t>1997-04-24</t>
        </is>
      </c>
      <c r="X1426" t="inlineStr">
        <is>
          <t>1997-04-24</t>
        </is>
      </c>
      <c r="Y1426" t="n">
        <v>132</v>
      </c>
      <c r="Z1426" t="n">
        <v>123</v>
      </c>
      <c r="AA1426" t="n">
        <v>130</v>
      </c>
      <c r="AB1426" t="n">
        <v>2</v>
      </c>
      <c r="AC1426" t="n">
        <v>2</v>
      </c>
      <c r="AD1426" t="n">
        <v>6</v>
      </c>
      <c r="AE1426" t="n">
        <v>6</v>
      </c>
      <c r="AF1426" t="n">
        <v>2</v>
      </c>
      <c r="AG1426" t="n">
        <v>2</v>
      </c>
      <c r="AH1426" t="n">
        <v>0</v>
      </c>
      <c r="AI1426" t="n">
        <v>0</v>
      </c>
      <c r="AJ1426" t="n">
        <v>4</v>
      </c>
      <c r="AK1426" t="n">
        <v>4</v>
      </c>
      <c r="AL1426" t="n">
        <v>1</v>
      </c>
      <c r="AM1426" t="n">
        <v>1</v>
      </c>
      <c r="AN1426" t="n">
        <v>0</v>
      </c>
      <c r="AO1426" t="n">
        <v>0</v>
      </c>
      <c r="AP1426" t="inlineStr">
        <is>
          <t>No</t>
        </is>
      </c>
      <c r="AQ1426" t="inlineStr">
        <is>
          <t>Yes</t>
        </is>
      </c>
      <c r="AR1426">
        <f>HYPERLINK("http://catalog.hathitrust.org/Record/001067319","HathiTrust Record")</f>
        <v/>
      </c>
      <c r="AS1426">
        <f>HYPERLINK("https://creighton-primo.hosted.exlibrisgroup.com/primo-explore/search?tab=default_tab&amp;search_scope=EVERYTHING&amp;vid=01CRU&amp;lang=en_US&amp;offset=0&amp;query=any,contains,991003233369702656","Catalog Record")</f>
        <v/>
      </c>
      <c r="AT1426">
        <f>HYPERLINK("http://www.worldcat.org/oclc/757803","WorldCat Record")</f>
        <v/>
      </c>
      <c r="AU1426" t="inlineStr">
        <is>
          <t>345567320:eng</t>
        </is>
      </c>
      <c r="AV1426" t="inlineStr">
        <is>
          <t>757803</t>
        </is>
      </c>
      <c r="AW1426" t="inlineStr">
        <is>
          <t>991003233369702656</t>
        </is>
      </c>
      <c r="AX1426" t="inlineStr">
        <is>
          <t>991003233369702656</t>
        </is>
      </c>
      <c r="AY1426" t="inlineStr">
        <is>
          <t>2272597270002656</t>
        </is>
      </c>
      <c r="AZ1426" t="inlineStr">
        <is>
          <t>BOOK</t>
        </is>
      </c>
      <c r="BC1426" t="inlineStr">
        <is>
          <t>32285002598661</t>
        </is>
      </c>
      <c r="BD1426" t="inlineStr">
        <is>
          <t>893422326</t>
        </is>
      </c>
    </row>
    <row r="1427">
      <c r="A1427" t="inlineStr">
        <is>
          <t>No</t>
        </is>
      </c>
      <c r="B1427" t="inlineStr">
        <is>
          <t>LB875 .B72 1971</t>
        </is>
      </c>
      <c r="C1427" t="inlineStr">
        <is>
          <t>0                      LB 0875000B  72          1971</t>
        </is>
      </c>
      <c r="D1427" t="inlineStr">
        <is>
          <t>Patterns of educational philosophy; divergence and convergence in culturological perspective [by] Theodore Brameld.</t>
        </is>
      </c>
      <c r="F1427" t="inlineStr">
        <is>
          <t>No</t>
        </is>
      </c>
      <c r="G1427" t="inlineStr">
        <is>
          <t>1</t>
        </is>
      </c>
      <c r="H1427" t="inlineStr">
        <is>
          <t>No</t>
        </is>
      </c>
      <c r="I1427" t="inlineStr">
        <is>
          <t>No</t>
        </is>
      </c>
      <c r="J1427" t="inlineStr">
        <is>
          <t>0</t>
        </is>
      </c>
      <c r="K1427" t="inlineStr">
        <is>
          <t>Brameld, Theodore, 1904-1987.</t>
        </is>
      </c>
      <c r="L1427" t="inlineStr">
        <is>
          <t>New York, Holt, Rinehart and Winston [1971]</t>
        </is>
      </c>
      <c r="M1427" t="inlineStr">
        <is>
          <t>1971</t>
        </is>
      </c>
      <c r="O1427" t="inlineStr">
        <is>
          <t>eng</t>
        </is>
      </c>
      <c r="P1427" t="inlineStr">
        <is>
          <t>nyu</t>
        </is>
      </c>
      <c r="R1427" t="inlineStr">
        <is>
          <t xml:space="preserve">LB </t>
        </is>
      </c>
      <c r="S1427" t="n">
        <v>8</v>
      </c>
      <c r="T1427" t="n">
        <v>8</v>
      </c>
      <c r="U1427" t="inlineStr">
        <is>
          <t>2006-06-20</t>
        </is>
      </c>
      <c r="V1427" t="inlineStr">
        <is>
          <t>2006-06-20</t>
        </is>
      </c>
      <c r="W1427" t="inlineStr">
        <is>
          <t>1997-04-24</t>
        </is>
      </c>
      <c r="X1427" t="inlineStr">
        <is>
          <t>1997-04-24</t>
        </is>
      </c>
      <c r="Y1427" t="n">
        <v>435</v>
      </c>
      <c r="Z1427" t="n">
        <v>338</v>
      </c>
      <c r="AA1427" t="n">
        <v>344</v>
      </c>
      <c r="AB1427" t="n">
        <v>2</v>
      </c>
      <c r="AC1427" t="n">
        <v>2</v>
      </c>
      <c r="AD1427" t="n">
        <v>16</v>
      </c>
      <c r="AE1427" t="n">
        <v>16</v>
      </c>
      <c r="AF1427" t="n">
        <v>5</v>
      </c>
      <c r="AG1427" t="n">
        <v>5</v>
      </c>
      <c r="AH1427" t="n">
        <v>4</v>
      </c>
      <c r="AI1427" t="n">
        <v>4</v>
      </c>
      <c r="AJ1427" t="n">
        <v>11</v>
      </c>
      <c r="AK1427" t="n">
        <v>11</v>
      </c>
      <c r="AL1427" t="n">
        <v>1</v>
      </c>
      <c r="AM1427" t="n">
        <v>1</v>
      </c>
      <c r="AN1427" t="n">
        <v>0</v>
      </c>
      <c r="AO1427" t="n">
        <v>0</v>
      </c>
      <c r="AP1427" t="inlineStr">
        <is>
          <t>No</t>
        </is>
      </c>
      <c r="AQ1427" t="inlineStr">
        <is>
          <t>Yes</t>
        </is>
      </c>
      <c r="AR1427">
        <f>HYPERLINK("http://catalog.hathitrust.org/Record/001067326","HathiTrust Record")</f>
        <v/>
      </c>
      <c r="AS1427">
        <f>HYPERLINK("https://creighton-primo.hosted.exlibrisgroup.com/primo-explore/search?tab=default_tab&amp;search_scope=EVERYTHING&amp;vid=01CRU&amp;lang=en_US&amp;offset=0&amp;query=any,contains,991000659179702656","Catalog Record")</f>
        <v/>
      </c>
      <c r="AT1427">
        <f>HYPERLINK("http://www.worldcat.org/oclc/117022","WorldCat Record")</f>
        <v/>
      </c>
      <c r="AU1427" t="inlineStr">
        <is>
          <t>199106347:eng</t>
        </is>
      </c>
      <c r="AV1427" t="inlineStr">
        <is>
          <t>117022</t>
        </is>
      </c>
      <c r="AW1427" t="inlineStr">
        <is>
          <t>991000659179702656</t>
        </is>
      </c>
      <c r="AX1427" t="inlineStr">
        <is>
          <t>991000659179702656</t>
        </is>
      </c>
      <c r="AY1427" t="inlineStr">
        <is>
          <t>2261195900002656</t>
        </is>
      </c>
      <c r="AZ1427" t="inlineStr">
        <is>
          <t>BOOK</t>
        </is>
      </c>
      <c r="BB1427" t="inlineStr">
        <is>
          <t>9780030852589</t>
        </is>
      </c>
      <c r="BC1427" t="inlineStr">
        <is>
          <t>32285002598687</t>
        </is>
      </c>
      <c r="BD1427" t="inlineStr">
        <is>
          <t>893243452</t>
        </is>
      </c>
    </row>
    <row r="1428">
      <c r="A1428" t="inlineStr">
        <is>
          <t>No</t>
        </is>
      </c>
      <c r="B1428" t="inlineStr">
        <is>
          <t>LB875 .B724</t>
        </is>
      </c>
      <c r="C1428" t="inlineStr">
        <is>
          <t>0                      LB 0875000B  724</t>
        </is>
      </c>
      <c r="D1428" t="inlineStr">
        <is>
          <t>Toward a reconstructed philosophy of education.</t>
        </is>
      </c>
      <c r="F1428" t="inlineStr">
        <is>
          <t>No</t>
        </is>
      </c>
      <c r="G1428" t="inlineStr">
        <is>
          <t>1</t>
        </is>
      </c>
      <c r="H1428" t="inlineStr">
        <is>
          <t>No</t>
        </is>
      </c>
      <c r="I1428" t="inlineStr">
        <is>
          <t>No</t>
        </is>
      </c>
      <c r="J1428" t="inlineStr">
        <is>
          <t>0</t>
        </is>
      </c>
      <c r="K1428" t="inlineStr">
        <is>
          <t>Brameld, Theodore, 1904-1987.</t>
        </is>
      </c>
      <c r="L1428" t="inlineStr">
        <is>
          <t>[New York] : Dryden Press, [1956]</t>
        </is>
      </c>
      <c r="M1428" t="inlineStr">
        <is>
          <t>1956</t>
        </is>
      </c>
      <c r="O1428" t="inlineStr">
        <is>
          <t>eng</t>
        </is>
      </c>
      <c r="P1428" t="inlineStr">
        <is>
          <t>nyu</t>
        </is>
      </c>
      <c r="Q1428" t="inlineStr">
        <is>
          <t>Dryden Press professional books in education</t>
        </is>
      </c>
      <c r="R1428" t="inlineStr">
        <is>
          <t xml:space="preserve">LB </t>
        </is>
      </c>
      <c r="S1428" t="n">
        <v>5</v>
      </c>
      <c r="T1428" t="n">
        <v>5</v>
      </c>
      <c r="U1428" t="inlineStr">
        <is>
          <t>2002-05-04</t>
        </is>
      </c>
      <c r="V1428" t="inlineStr">
        <is>
          <t>2002-05-04</t>
        </is>
      </c>
      <c r="W1428" t="inlineStr">
        <is>
          <t>1992-04-28</t>
        </is>
      </c>
      <c r="X1428" t="inlineStr">
        <is>
          <t>1992-04-28</t>
        </is>
      </c>
      <c r="Y1428" t="n">
        <v>433</v>
      </c>
      <c r="Z1428" t="n">
        <v>381</v>
      </c>
      <c r="AA1428" t="n">
        <v>420</v>
      </c>
      <c r="AB1428" t="n">
        <v>3</v>
      </c>
      <c r="AC1428" t="n">
        <v>3</v>
      </c>
      <c r="AD1428" t="n">
        <v>14</v>
      </c>
      <c r="AE1428" t="n">
        <v>14</v>
      </c>
      <c r="AF1428" t="n">
        <v>4</v>
      </c>
      <c r="AG1428" t="n">
        <v>4</v>
      </c>
      <c r="AH1428" t="n">
        <v>3</v>
      </c>
      <c r="AI1428" t="n">
        <v>3</v>
      </c>
      <c r="AJ1428" t="n">
        <v>8</v>
      </c>
      <c r="AK1428" t="n">
        <v>8</v>
      </c>
      <c r="AL1428" t="n">
        <v>2</v>
      </c>
      <c r="AM1428" t="n">
        <v>2</v>
      </c>
      <c r="AN1428" t="n">
        <v>0</v>
      </c>
      <c r="AO1428" t="n">
        <v>0</v>
      </c>
      <c r="AP1428" t="inlineStr">
        <is>
          <t>No</t>
        </is>
      </c>
      <c r="AQ1428" t="inlineStr">
        <is>
          <t>No</t>
        </is>
      </c>
      <c r="AR1428">
        <f>HYPERLINK("http://catalog.hathitrust.org/Record/007121838","HathiTrust Record")</f>
        <v/>
      </c>
      <c r="AS1428">
        <f>HYPERLINK("https://creighton-primo.hosted.exlibrisgroup.com/primo-explore/search?tab=default_tab&amp;search_scope=EVERYTHING&amp;vid=01CRU&amp;lang=en_US&amp;offset=0&amp;query=any,contains,991003824799702656","Catalog Record")</f>
        <v/>
      </c>
      <c r="AT1428">
        <f>HYPERLINK("http://www.worldcat.org/oclc/1573003","WorldCat Record")</f>
        <v/>
      </c>
      <c r="AU1428" t="inlineStr">
        <is>
          <t>323292811:eng</t>
        </is>
      </c>
      <c r="AV1428" t="inlineStr">
        <is>
          <t>1573003</t>
        </is>
      </c>
      <c r="AW1428" t="inlineStr">
        <is>
          <t>991003824799702656</t>
        </is>
      </c>
      <c r="AX1428" t="inlineStr">
        <is>
          <t>991003824799702656</t>
        </is>
      </c>
      <c r="AY1428" t="inlineStr">
        <is>
          <t>2267971610002656</t>
        </is>
      </c>
      <c r="AZ1428" t="inlineStr">
        <is>
          <t>BOOK</t>
        </is>
      </c>
      <c r="BC1428" t="inlineStr">
        <is>
          <t>32285001088342</t>
        </is>
      </c>
      <c r="BD1428" t="inlineStr">
        <is>
          <t>893258910</t>
        </is>
      </c>
    </row>
    <row r="1429">
      <c r="A1429" t="inlineStr">
        <is>
          <t>No</t>
        </is>
      </c>
      <c r="B1429" t="inlineStr">
        <is>
          <t>LB875 .D39 1969</t>
        </is>
      </c>
      <c r="C1429" t="inlineStr">
        <is>
          <t>0                      LB 0875000D  39          1969</t>
        </is>
      </c>
      <c r="D1429" t="inlineStr">
        <is>
          <t>Education today. Edited and with a foreword by Joseph Ratner.</t>
        </is>
      </c>
      <c r="F1429" t="inlineStr">
        <is>
          <t>No</t>
        </is>
      </c>
      <c r="G1429" t="inlineStr">
        <is>
          <t>1</t>
        </is>
      </c>
      <c r="H1429" t="inlineStr">
        <is>
          <t>No</t>
        </is>
      </c>
      <c r="I1429" t="inlineStr">
        <is>
          <t>No</t>
        </is>
      </c>
      <c r="J1429" t="inlineStr">
        <is>
          <t>0</t>
        </is>
      </c>
      <c r="K1429" t="inlineStr">
        <is>
          <t>Dewey, John, 1859-1952.</t>
        </is>
      </c>
      <c r="L1429" t="inlineStr">
        <is>
          <t>New York, Greenwood Press [1969, c1940]</t>
        </is>
      </c>
      <c r="M1429" t="inlineStr">
        <is>
          <t>1969</t>
        </is>
      </c>
      <c r="O1429" t="inlineStr">
        <is>
          <t>eng</t>
        </is>
      </c>
      <c r="P1429" t="inlineStr">
        <is>
          <t>nyu</t>
        </is>
      </c>
      <c r="R1429" t="inlineStr">
        <is>
          <t xml:space="preserve">LB </t>
        </is>
      </c>
      <c r="S1429" t="n">
        <v>6</v>
      </c>
      <c r="T1429" t="n">
        <v>6</v>
      </c>
      <c r="U1429" t="inlineStr">
        <is>
          <t>2009-04-26</t>
        </is>
      </c>
      <c r="V1429" t="inlineStr">
        <is>
          <t>2009-04-26</t>
        </is>
      </c>
      <c r="W1429" t="inlineStr">
        <is>
          <t>1997-04-24</t>
        </is>
      </c>
      <c r="X1429" t="inlineStr">
        <is>
          <t>1997-04-24</t>
        </is>
      </c>
      <c r="Y1429" t="n">
        <v>293</v>
      </c>
      <c r="Z1429" t="n">
        <v>246</v>
      </c>
      <c r="AA1429" t="n">
        <v>675</v>
      </c>
      <c r="AB1429" t="n">
        <v>1</v>
      </c>
      <c r="AC1429" t="n">
        <v>7</v>
      </c>
      <c r="AD1429" t="n">
        <v>13</v>
      </c>
      <c r="AE1429" t="n">
        <v>33</v>
      </c>
      <c r="AF1429" t="n">
        <v>7</v>
      </c>
      <c r="AG1429" t="n">
        <v>13</v>
      </c>
      <c r="AH1429" t="n">
        <v>4</v>
      </c>
      <c r="AI1429" t="n">
        <v>7</v>
      </c>
      <c r="AJ1429" t="n">
        <v>7</v>
      </c>
      <c r="AK1429" t="n">
        <v>16</v>
      </c>
      <c r="AL1429" t="n">
        <v>0</v>
      </c>
      <c r="AM1429" t="n">
        <v>5</v>
      </c>
      <c r="AN1429" t="n">
        <v>0</v>
      </c>
      <c r="AO1429" t="n">
        <v>0</v>
      </c>
      <c r="AP1429" t="inlineStr">
        <is>
          <t>No</t>
        </is>
      </c>
      <c r="AQ1429" t="inlineStr">
        <is>
          <t>No</t>
        </is>
      </c>
      <c r="AS1429">
        <f>HYPERLINK("https://creighton-primo.hosted.exlibrisgroup.com/primo-explore/search?tab=default_tab&amp;search_scope=EVERYTHING&amp;vid=01CRU&amp;lang=en_US&amp;offset=0&amp;query=any,contains,991000426099702656","Catalog Record")</f>
        <v/>
      </c>
      <c r="AT1429">
        <f>HYPERLINK("http://www.worldcat.org/oclc/75165","WorldCat Record")</f>
        <v/>
      </c>
      <c r="AU1429" t="inlineStr">
        <is>
          <t>144581859:eng</t>
        </is>
      </c>
      <c r="AV1429" t="inlineStr">
        <is>
          <t>75165</t>
        </is>
      </c>
      <c r="AW1429" t="inlineStr">
        <is>
          <t>991000426099702656</t>
        </is>
      </c>
      <c r="AX1429" t="inlineStr">
        <is>
          <t>991000426099702656</t>
        </is>
      </c>
      <c r="AY1429" t="inlineStr">
        <is>
          <t>2256061550002656</t>
        </is>
      </c>
      <c r="AZ1429" t="inlineStr">
        <is>
          <t>BOOK</t>
        </is>
      </c>
      <c r="BB1429" t="inlineStr">
        <is>
          <t>9780837125503</t>
        </is>
      </c>
      <c r="BC1429" t="inlineStr">
        <is>
          <t>32285002598737</t>
        </is>
      </c>
      <c r="BD1429" t="inlineStr">
        <is>
          <t>893601738</t>
        </is>
      </c>
    </row>
    <row r="1430">
      <c r="A1430" t="inlineStr">
        <is>
          <t>No</t>
        </is>
      </c>
      <c r="B1430" t="inlineStr">
        <is>
          <t>LB875 .F533</t>
        </is>
      </c>
      <c r="C1430" t="inlineStr">
        <is>
          <t>0                      LB 0875000F  533</t>
        </is>
      </c>
      <c r="D1430" t="inlineStr">
        <is>
          <t>Philosophy of education.</t>
        </is>
      </c>
      <c r="F1430" t="inlineStr">
        <is>
          <t>No</t>
        </is>
      </c>
      <c r="G1430" t="inlineStr">
        <is>
          <t>1</t>
        </is>
      </c>
      <c r="H1430" t="inlineStr">
        <is>
          <t>No</t>
        </is>
      </c>
      <c r="I1430" t="inlineStr">
        <is>
          <t>No</t>
        </is>
      </c>
      <c r="J1430" t="inlineStr">
        <is>
          <t>0</t>
        </is>
      </c>
      <c r="K1430" t="inlineStr">
        <is>
          <t>Fitzpatrick, Edward A. (Edward Augustus), 1884-1960.</t>
        </is>
      </c>
      <c r="L1430" t="inlineStr">
        <is>
          <t>Milwaukee, Bruce [1953]</t>
        </is>
      </c>
      <c r="M1430" t="inlineStr">
        <is>
          <t>1953</t>
        </is>
      </c>
      <c r="O1430" t="inlineStr">
        <is>
          <t>eng</t>
        </is>
      </c>
      <c r="P1430" t="inlineStr">
        <is>
          <t>wiu</t>
        </is>
      </c>
      <c r="R1430" t="inlineStr">
        <is>
          <t xml:space="preserve">LB </t>
        </is>
      </c>
      <c r="S1430" t="n">
        <v>1</v>
      </c>
      <c r="T1430" t="n">
        <v>1</v>
      </c>
      <c r="U1430" t="inlineStr">
        <is>
          <t>2008-04-19</t>
        </is>
      </c>
      <c r="V1430" t="inlineStr">
        <is>
          <t>2008-04-19</t>
        </is>
      </c>
      <c r="W1430" t="inlineStr">
        <is>
          <t>1997-04-24</t>
        </is>
      </c>
      <c r="X1430" t="inlineStr">
        <is>
          <t>1997-04-24</t>
        </is>
      </c>
      <c r="Y1430" t="n">
        <v>243</v>
      </c>
      <c r="Z1430" t="n">
        <v>221</v>
      </c>
      <c r="AA1430" t="n">
        <v>233</v>
      </c>
      <c r="AB1430" t="n">
        <v>1</v>
      </c>
      <c r="AC1430" t="n">
        <v>1</v>
      </c>
      <c r="AD1430" t="n">
        <v>18</v>
      </c>
      <c r="AE1430" t="n">
        <v>18</v>
      </c>
      <c r="AF1430" t="n">
        <v>6</v>
      </c>
      <c r="AG1430" t="n">
        <v>6</v>
      </c>
      <c r="AH1430" t="n">
        <v>4</v>
      </c>
      <c r="AI1430" t="n">
        <v>4</v>
      </c>
      <c r="AJ1430" t="n">
        <v>13</v>
      </c>
      <c r="AK1430" t="n">
        <v>13</v>
      </c>
      <c r="AL1430" t="n">
        <v>0</v>
      </c>
      <c r="AM1430" t="n">
        <v>0</v>
      </c>
      <c r="AN1430" t="n">
        <v>0</v>
      </c>
      <c r="AO1430" t="n">
        <v>0</v>
      </c>
      <c r="AP1430" t="inlineStr">
        <is>
          <t>Yes</t>
        </is>
      </c>
      <c r="AQ1430" t="inlineStr">
        <is>
          <t>No</t>
        </is>
      </c>
      <c r="AR1430">
        <f>HYPERLINK("http://catalog.hathitrust.org/Record/001067366","HathiTrust Record")</f>
        <v/>
      </c>
      <c r="AS1430">
        <f>HYPERLINK("https://creighton-primo.hosted.exlibrisgroup.com/primo-explore/search?tab=default_tab&amp;search_scope=EVERYTHING&amp;vid=01CRU&amp;lang=en_US&amp;offset=0&amp;query=any,contains,991001056709702656","Catalog Record")</f>
        <v/>
      </c>
      <c r="AT1430">
        <f>HYPERLINK("http://www.worldcat.org/oclc/177325","WorldCat Record")</f>
        <v/>
      </c>
      <c r="AU1430" t="inlineStr">
        <is>
          <t>3855612746:eng</t>
        </is>
      </c>
      <c r="AV1430" t="inlineStr">
        <is>
          <t>177325</t>
        </is>
      </c>
      <c r="AW1430" t="inlineStr">
        <is>
          <t>991001056709702656</t>
        </is>
      </c>
      <c r="AX1430" t="inlineStr">
        <is>
          <t>991001056709702656</t>
        </is>
      </c>
      <c r="AY1430" t="inlineStr">
        <is>
          <t>2268315670002656</t>
        </is>
      </c>
      <c r="AZ1430" t="inlineStr">
        <is>
          <t>BOOK</t>
        </is>
      </c>
      <c r="BC1430" t="inlineStr">
        <is>
          <t>32285002598869</t>
        </is>
      </c>
      <c r="BD1430" t="inlineStr">
        <is>
          <t>893413919</t>
        </is>
      </c>
    </row>
    <row r="1431">
      <c r="A1431" t="inlineStr">
        <is>
          <t>No</t>
        </is>
      </c>
      <c r="B1431" t="inlineStr">
        <is>
          <t>LB875 .H718</t>
        </is>
      </c>
      <c r="C1431" t="inlineStr">
        <is>
          <t>0                      LB 0875000H  718</t>
        </is>
      </c>
      <c r="D1431" t="inlineStr">
        <is>
          <t>Education &amp; the taming of power.</t>
        </is>
      </c>
      <c r="F1431" t="inlineStr">
        <is>
          <t>No</t>
        </is>
      </c>
      <c r="G1431" t="inlineStr">
        <is>
          <t>1</t>
        </is>
      </c>
      <c r="H1431" t="inlineStr">
        <is>
          <t>No</t>
        </is>
      </c>
      <c r="I1431" t="inlineStr">
        <is>
          <t>No</t>
        </is>
      </c>
      <c r="J1431" t="inlineStr">
        <is>
          <t>0</t>
        </is>
      </c>
      <c r="K1431" t="inlineStr">
        <is>
          <t>Hook, Sidney, 1902-1989.</t>
        </is>
      </c>
      <c r="L1431" t="inlineStr">
        <is>
          <t>La Salle, Ill., Open Court Pub. Co., 1973.</t>
        </is>
      </c>
      <c r="M1431" t="inlineStr">
        <is>
          <t>1973</t>
        </is>
      </c>
      <c r="O1431" t="inlineStr">
        <is>
          <t>eng</t>
        </is>
      </c>
      <c r="P1431" t="inlineStr">
        <is>
          <t>ilu</t>
        </is>
      </c>
      <c r="R1431" t="inlineStr">
        <is>
          <t xml:space="preserve">LB </t>
        </is>
      </c>
      <c r="S1431" t="n">
        <v>1</v>
      </c>
      <c r="T1431" t="n">
        <v>1</v>
      </c>
      <c r="U1431" t="inlineStr">
        <is>
          <t>2005-09-07</t>
        </is>
      </c>
      <c r="V1431" t="inlineStr">
        <is>
          <t>2005-09-07</t>
        </is>
      </c>
      <c r="W1431" t="inlineStr">
        <is>
          <t>1997-04-24</t>
        </is>
      </c>
      <c r="X1431" t="inlineStr">
        <is>
          <t>1997-04-24</t>
        </is>
      </c>
      <c r="Y1431" t="n">
        <v>553</v>
      </c>
      <c r="Z1431" t="n">
        <v>491</v>
      </c>
      <c r="AA1431" t="n">
        <v>503</v>
      </c>
      <c r="AB1431" t="n">
        <v>1</v>
      </c>
      <c r="AC1431" t="n">
        <v>1</v>
      </c>
      <c r="AD1431" t="n">
        <v>24</v>
      </c>
      <c r="AE1431" t="n">
        <v>24</v>
      </c>
      <c r="AF1431" t="n">
        <v>7</v>
      </c>
      <c r="AG1431" t="n">
        <v>7</v>
      </c>
      <c r="AH1431" t="n">
        <v>6</v>
      </c>
      <c r="AI1431" t="n">
        <v>6</v>
      </c>
      <c r="AJ1431" t="n">
        <v>17</v>
      </c>
      <c r="AK1431" t="n">
        <v>17</v>
      </c>
      <c r="AL1431" t="n">
        <v>0</v>
      </c>
      <c r="AM1431" t="n">
        <v>0</v>
      </c>
      <c r="AN1431" t="n">
        <v>2</v>
      </c>
      <c r="AO1431" t="n">
        <v>2</v>
      </c>
      <c r="AP1431" t="inlineStr">
        <is>
          <t>No</t>
        </is>
      </c>
      <c r="AQ1431" t="inlineStr">
        <is>
          <t>Yes</t>
        </is>
      </c>
      <c r="AR1431">
        <f>HYPERLINK("http://catalog.hathitrust.org/Record/001067390","HathiTrust Record")</f>
        <v/>
      </c>
      <c r="AS1431">
        <f>HYPERLINK("https://creighton-primo.hosted.exlibrisgroup.com/primo-explore/search?tab=default_tab&amp;search_scope=EVERYTHING&amp;vid=01CRU&amp;lang=en_US&amp;offset=0&amp;query=any,contains,991003282489702656","Catalog Record")</f>
        <v/>
      </c>
      <c r="AT1431">
        <f>HYPERLINK("http://www.worldcat.org/oclc/804874","WorldCat Record")</f>
        <v/>
      </c>
      <c r="AU1431" t="inlineStr">
        <is>
          <t>116964358:eng</t>
        </is>
      </c>
      <c r="AV1431" t="inlineStr">
        <is>
          <t>804874</t>
        </is>
      </c>
      <c r="AW1431" t="inlineStr">
        <is>
          <t>991003282489702656</t>
        </is>
      </c>
      <c r="AX1431" t="inlineStr">
        <is>
          <t>991003282489702656</t>
        </is>
      </c>
      <c r="AY1431" t="inlineStr">
        <is>
          <t>2269518860002656</t>
        </is>
      </c>
      <c r="AZ1431" t="inlineStr">
        <is>
          <t>BOOK</t>
        </is>
      </c>
      <c r="BB1431" t="inlineStr">
        <is>
          <t>9780875480831</t>
        </is>
      </c>
      <c r="BC1431" t="inlineStr">
        <is>
          <t>32285002598901</t>
        </is>
      </c>
      <c r="BD1431" t="inlineStr">
        <is>
          <t>893793488</t>
        </is>
      </c>
    </row>
    <row r="1432">
      <c r="A1432" t="inlineStr">
        <is>
          <t>No</t>
        </is>
      </c>
      <c r="B1432" t="inlineStr">
        <is>
          <t>LB875 .R43 1956</t>
        </is>
      </c>
      <c r="C1432" t="inlineStr">
        <is>
          <t>0                      LB 0875000R  43          1956</t>
        </is>
      </c>
      <c r="D1432" t="inlineStr">
        <is>
          <t>A Catholic philosophy of education / by John D. Redden and Francis A. Ryan.</t>
        </is>
      </c>
      <c r="F1432" t="inlineStr">
        <is>
          <t>No</t>
        </is>
      </c>
      <c r="G1432" t="inlineStr">
        <is>
          <t>1</t>
        </is>
      </c>
      <c r="H1432" t="inlineStr">
        <is>
          <t>No</t>
        </is>
      </c>
      <c r="I1432" t="inlineStr">
        <is>
          <t>No</t>
        </is>
      </c>
      <c r="J1432" t="inlineStr">
        <is>
          <t>0</t>
        </is>
      </c>
      <c r="K1432" t="inlineStr">
        <is>
          <t>Redden, John D.</t>
        </is>
      </c>
      <c r="L1432" t="inlineStr">
        <is>
          <t>Milwaukee : Bruce Pub. Co., [1956]</t>
        </is>
      </c>
      <c r="M1432" t="inlineStr">
        <is>
          <t>1956</t>
        </is>
      </c>
      <c r="N1432" t="inlineStr">
        <is>
          <t>Rev. ed.</t>
        </is>
      </c>
      <c r="O1432" t="inlineStr">
        <is>
          <t>eng</t>
        </is>
      </c>
      <c r="P1432" t="inlineStr">
        <is>
          <t>wiu</t>
        </is>
      </c>
      <c r="R1432" t="inlineStr">
        <is>
          <t xml:space="preserve">LB </t>
        </is>
      </c>
      <c r="S1432" t="n">
        <v>2</v>
      </c>
      <c r="T1432" t="n">
        <v>2</v>
      </c>
      <c r="U1432" t="inlineStr">
        <is>
          <t>2002-04-21</t>
        </is>
      </c>
      <c r="V1432" t="inlineStr">
        <is>
          <t>2002-04-21</t>
        </is>
      </c>
      <c r="W1432" t="inlineStr">
        <is>
          <t>1992-04-28</t>
        </is>
      </c>
      <c r="X1432" t="inlineStr">
        <is>
          <t>1992-04-28</t>
        </is>
      </c>
      <c r="Y1432" t="n">
        <v>472</v>
      </c>
      <c r="Z1432" t="n">
        <v>415</v>
      </c>
      <c r="AA1432" t="n">
        <v>579</v>
      </c>
      <c r="AB1432" t="n">
        <v>4</v>
      </c>
      <c r="AC1432" t="n">
        <v>6</v>
      </c>
      <c r="AD1432" t="n">
        <v>28</v>
      </c>
      <c r="AE1432" t="n">
        <v>39</v>
      </c>
      <c r="AF1432" t="n">
        <v>10</v>
      </c>
      <c r="AG1432" t="n">
        <v>16</v>
      </c>
      <c r="AH1432" t="n">
        <v>7</v>
      </c>
      <c r="AI1432" t="n">
        <v>10</v>
      </c>
      <c r="AJ1432" t="n">
        <v>18</v>
      </c>
      <c r="AK1432" t="n">
        <v>23</v>
      </c>
      <c r="AL1432" t="n">
        <v>2</v>
      </c>
      <c r="AM1432" t="n">
        <v>3</v>
      </c>
      <c r="AN1432" t="n">
        <v>0</v>
      </c>
      <c r="AO1432" t="n">
        <v>0</v>
      </c>
      <c r="AP1432" t="inlineStr">
        <is>
          <t>No</t>
        </is>
      </c>
      <c r="AQ1432" t="inlineStr">
        <is>
          <t>No</t>
        </is>
      </c>
      <c r="AR1432">
        <f>HYPERLINK("http://catalog.hathitrust.org/Record/001067442","HathiTrust Record")</f>
        <v/>
      </c>
      <c r="AS1432">
        <f>HYPERLINK("https://creighton-primo.hosted.exlibrisgroup.com/primo-explore/search?tab=default_tab&amp;search_scope=EVERYTHING&amp;vid=01CRU&amp;lang=en_US&amp;offset=0&amp;query=any,contains,991001054649702656","Catalog Record")</f>
        <v/>
      </c>
      <c r="AT1432">
        <f>HYPERLINK("http://www.worldcat.org/oclc/177106","WorldCat Record")</f>
        <v/>
      </c>
      <c r="AU1432" t="inlineStr">
        <is>
          <t>1313202:eng</t>
        </is>
      </c>
      <c r="AV1432" t="inlineStr">
        <is>
          <t>177106</t>
        </is>
      </c>
      <c r="AW1432" t="inlineStr">
        <is>
          <t>991001054649702656</t>
        </is>
      </c>
      <c r="AX1432" t="inlineStr">
        <is>
          <t>991001054649702656</t>
        </is>
      </c>
      <c r="AY1432" t="inlineStr">
        <is>
          <t>2268280650002656</t>
        </is>
      </c>
      <c r="AZ1432" t="inlineStr">
        <is>
          <t>BOOK</t>
        </is>
      </c>
      <c r="BC1432" t="inlineStr">
        <is>
          <t>32285001089787</t>
        </is>
      </c>
      <c r="BD1432" t="inlineStr">
        <is>
          <t>893503058</t>
        </is>
      </c>
    </row>
    <row r="1433">
      <c r="A1433" t="inlineStr">
        <is>
          <t>No</t>
        </is>
      </c>
      <c r="B1433" t="inlineStr">
        <is>
          <t>LB875 .W273</t>
        </is>
      </c>
      <c r="C1433" t="inlineStr">
        <is>
          <t>0                      LB 0875000W  273</t>
        </is>
      </c>
      <c r="D1433" t="inlineStr">
        <is>
          <t>Philosophy of education.</t>
        </is>
      </c>
      <c r="F1433" t="inlineStr">
        <is>
          <t>No</t>
        </is>
      </c>
      <c r="G1433" t="inlineStr">
        <is>
          <t>1</t>
        </is>
      </c>
      <c r="H1433" t="inlineStr">
        <is>
          <t>No</t>
        </is>
      </c>
      <c r="I1433" t="inlineStr">
        <is>
          <t>No</t>
        </is>
      </c>
      <c r="J1433" t="inlineStr">
        <is>
          <t>0</t>
        </is>
      </c>
      <c r="K1433" t="inlineStr">
        <is>
          <t>Ward, Leo R. (Leo Richard), 1893-1984.</t>
        </is>
      </c>
      <c r="L1433" t="inlineStr">
        <is>
          <t>Chicago, H. Regnery Co., 1963.</t>
        </is>
      </c>
      <c r="M1433" t="inlineStr">
        <is>
          <t>1963</t>
        </is>
      </c>
      <c r="O1433" t="inlineStr">
        <is>
          <t>eng</t>
        </is>
      </c>
      <c r="P1433" t="inlineStr">
        <is>
          <t>ilu</t>
        </is>
      </c>
      <c r="R1433" t="inlineStr">
        <is>
          <t xml:space="preserve">LB </t>
        </is>
      </c>
      <c r="S1433" t="n">
        <v>5</v>
      </c>
      <c r="T1433" t="n">
        <v>5</v>
      </c>
      <c r="U1433" t="inlineStr">
        <is>
          <t>2010-07-28</t>
        </is>
      </c>
      <c r="V1433" t="inlineStr">
        <is>
          <t>2010-07-28</t>
        </is>
      </c>
      <c r="W1433" t="inlineStr">
        <is>
          <t>1997-04-24</t>
        </is>
      </c>
      <c r="X1433" t="inlineStr">
        <is>
          <t>1997-04-24</t>
        </is>
      </c>
      <c r="Y1433" t="n">
        <v>314</v>
      </c>
      <c r="Z1433" t="n">
        <v>288</v>
      </c>
      <c r="AA1433" t="n">
        <v>298</v>
      </c>
      <c r="AB1433" t="n">
        <v>4</v>
      </c>
      <c r="AC1433" t="n">
        <v>4</v>
      </c>
      <c r="AD1433" t="n">
        <v>21</v>
      </c>
      <c r="AE1433" t="n">
        <v>21</v>
      </c>
      <c r="AF1433" t="n">
        <v>6</v>
      </c>
      <c r="AG1433" t="n">
        <v>6</v>
      </c>
      <c r="AH1433" t="n">
        <v>3</v>
      </c>
      <c r="AI1433" t="n">
        <v>3</v>
      </c>
      <c r="AJ1433" t="n">
        <v>15</v>
      </c>
      <c r="AK1433" t="n">
        <v>15</v>
      </c>
      <c r="AL1433" t="n">
        <v>3</v>
      </c>
      <c r="AM1433" t="n">
        <v>3</v>
      </c>
      <c r="AN1433" t="n">
        <v>0</v>
      </c>
      <c r="AO1433" t="n">
        <v>0</v>
      </c>
      <c r="AP1433" t="inlineStr">
        <is>
          <t>Yes</t>
        </is>
      </c>
      <c r="AQ1433" t="inlineStr">
        <is>
          <t>No</t>
        </is>
      </c>
      <c r="AR1433">
        <f>HYPERLINK("http://catalog.hathitrust.org/Record/001067467","HathiTrust Record")</f>
        <v/>
      </c>
      <c r="AS1433">
        <f>HYPERLINK("https://creighton-primo.hosted.exlibrisgroup.com/primo-explore/search?tab=default_tab&amp;search_scope=EVERYTHING&amp;vid=01CRU&amp;lang=en_US&amp;offset=0&amp;query=any,contains,991002847559702656","Catalog Record")</f>
        <v/>
      </c>
      <c r="AT1433">
        <f>HYPERLINK("http://www.worldcat.org/oclc/485259","WorldCat Record")</f>
        <v/>
      </c>
      <c r="AU1433" t="inlineStr">
        <is>
          <t>1568987:eng</t>
        </is>
      </c>
      <c r="AV1433" t="inlineStr">
        <is>
          <t>485259</t>
        </is>
      </c>
      <c r="AW1433" t="inlineStr">
        <is>
          <t>991002847559702656</t>
        </is>
      </c>
      <c r="AX1433" t="inlineStr">
        <is>
          <t>991002847559702656</t>
        </is>
      </c>
      <c r="AY1433" t="inlineStr">
        <is>
          <t>2257507680002656</t>
        </is>
      </c>
      <c r="AZ1433" t="inlineStr">
        <is>
          <t>BOOK</t>
        </is>
      </c>
      <c r="BC1433" t="inlineStr">
        <is>
          <t>32285002598950</t>
        </is>
      </c>
      <c r="BD1433" t="inlineStr">
        <is>
          <t>893409625</t>
        </is>
      </c>
    </row>
    <row r="1434">
      <c r="A1434" t="inlineStr">
        <is>
          <t>No</t>
        </is>
      </c>
      <c r="B1434" t="inlineStr">
        <is>
          <t>LB875 .W48</t>
        </is>
      </c>
      <c r="C1434" t="inlineStr">
        <is>
          <t>0                      LB 0875000W  48</t>
        </is>
      </c>
      <c r="D1434" t="inlineStr">
        <is>
          <t>The aims of education &amp; other essays / by A. N. Whitehead.</t>
        </is>
      </c>
      <c r="F1434" t="inlineStr">
        <is>
          <t>No</t>
        </is>
      </c>
      <c r="G1434" t="inlineStr">
        <is>
          <t>1</t>
        </is>
      </c>
      <c r="H1434" t="inlineStr">
        <is>
          <t>No</t>
        </is>
      </c>
      <c r="I1434" t="inlineStr">
        <is>
          <t>No</t>
        </is>
      </c>
      <c r="J1434" t="inlineStr">
        <is>
          <t>0</t>
        </is>
      </c>
      <c r="K1434" t="inlineStr">
        <is>
          <t>Whitehead, Alfred North, 1861-1947.</t>
        </is>
      </c>
      <c r="L1434" t="inlineStr">
        <is>
          <t>New York : The Macmillan company, 1929.</t>
        </is>
      </c>
      <c r="M1434" t="inlineStr">
        <is>
          <t>1929</t>
        </is>
      </c>
      <c r="O1434" t="inlineStr">
        <is>
          <t>eng</t>
        </is>
      </c>
      <c r="P1434" t="inlineStr">
        <is>
          <t>nyu</t>
        </is>
      </c>
      <c r="R1434" t="inlineStr">
        <is>
          <t xml:space="preserve">LB </t>
        </is>
      </c>
      <c r="S1434" t="n">
        <v>8</v>
      </c>
      <c r="T1434" t="n">
        <v>8</v>
      </c>
      <c r="U1434" t="inlineStr">
        <is>
          <t>2009-05-09</t>
        </is>
      </c>
      <c r="V1434" t="inlineStr">
        <is>
          <t>2009-05-09</t>
        </is>
      </c>
      <c r="W1434" t="inlineStr">
        <is>
          <t>1992-05-13</t>
        </is>
      </c>
      <c r="X1434" t="inlineStr">
        <is>
          <t>1992-05-13</t>
        </is>
      </c>
      <c r="Y1434" t="n">
        <v>702</v>
      </c>
      <c r="Z1434" t="n">
        <v>648</v>
      </c>
      <c r="AA1434" t="n">
        <v>1487</v>
      </c>
      <c r="AB1434" t="n">
        <v>5</v>
      </c>
      <c r="AC1434" t="n">
        <v>13</v>
      </c>
      <c r="AD1434" t="n">
        <v>21</v>
      </c>
      <c r="AE1434" t="n">
        <v>54</v>
      </c>
      <c r="AF1434" t="n">
        <v>9</v>
      </c>
      <c r="AG1434" t="n">
        <v>23</v>
      </c>
      <c r="AH1434" t="n">
        <v>4</v>
      </c>
      <c r="AI1434" t="n">
        <v>8</v>
      </c>
      <c r="AJ1434" t="n">
        <v>11</v>
      </c>
      <c r="AK1434" t="n">
        <v>24</v>
      </c>
      <c r="AL1434" t="n">
        <v>4</v>
      </c>
      <c r="AM1434" t="n">
        <v>11</v>
      </c>
      <c r="AN1434" t="n">
        <v>0</v>
      </c>
      <c r="AO1434" t="n">
        <v>0</v>
      </c>
      <c r="AP1434" t="inlineStr">
        <is>
          <t>No</t>
        </is>
      </c>
      <c r="AQ1434" t="inlineStr">
        <is>
          <t>Yes</t>
        </is>
      </c>
      <c r="AR1434">
        <f>HYPERLINK("http://catalog.hathitrust.org/Record/001067469","HathiTrust Record")</f>
        <v/>
      </c>
      <c r="AS1434">
        <f>HYPERLINK("https://creighton-primo.hosted.exlibrisgroup.com/primo-explore/search?tab=default_tab&amp;search_scope=EVERYTHING&amp;vid=01CRU&amp;lang=en_US&amp;offset=0&amp;query=any,contains,991001054909702656","Catalog Record")</f>
        <v/>
      </c>
      <c r="AT1434">
        <f>HYPERLINK("http://www.worldcat.org/oclc/177117","WorldCat Record")</f>
        <v/>
      </c>
      <c r="AU1434" t="inlineStr">
        <is>
          <t>1714138:eng</t>
        </is>
      </c>
      <c r="AV1434" t="inlineStr">
        <is>
          <t>177117</t>
        </is>
      </c>
      <c r="AW1434" t="inlineStr">
        <is>
          <t>991001054909702656</t>
        </is>
      </c>
      <c r="AX1434" t="inlineStr">
        <is>
          <t>991001054909702656</t>
        </is>
      </c>
      <c r="AY1434" t="inlineStr">
        <is>
          <t>2268314120002656</t>
        </is>
      </c>
      <c r="AZ1434" t="inlineStr">
        <is>
          <t>BOOK</t>
        </is>
      </c>
      <c r="BC1434" t="inlineStr">
        <is>
          <t>32285001108850</t>
        </is>
      </c>
      <c r="BD1434" t="inlineStr">
        <is>
          <t>893626554</t>
        </is>
      </c>
    </row>
    <row r="1435">
      <c r="A1435" t="inlineStr">
        <is>
          <t>No</t>
        </is>
      </c>
      <c r="B1435" t="inlineStr">
        <is>
          <t>LB875 .W87</t>
        </is>
      </c>
      <c r="C1435" t="inlineStr">
        <is>
          <t>0                      LB 0875000W  87</t>
        </is>
      </c>
      <c r="D1435" t="inlineStr">
        <is>
          <t>Philosophies of education from the standpoint of the philosophy of experimentalism / by John P. Wynne.</t>
        </is>
      </c>
      <c r="F1435" t="inlineStr">
        <is>
          <t>No</t>
        </is>
      </c>
      <c r="G1435" t="inlineStr">
        <is>
          <t>1</t>
        </is>
      </c>
      <c r="H1435" t="inlineStr">
        <is>
          <t>No</t>
        </is>
      </c>
      <c r="I1435" t="inlineStr">
        <is>
          <t>No</t>
        </is>
      </c>
      <c r="J1435" t="inlineStr">
        <is>
          <t>0</t>
        </is>
      </c>
      <c r="K1435" t="inlineStr">
        <is>
          <t>Wynne, John P. (John Peter), 1888-1977.</t>
        </is>
      </c>
      <c r="M1435" t="inlineStr">
        <is>
          <t>1947</t>
        </is>
      </c>
      <c r="O1435" t="inlineStr">
        <is>
          <t>eng</t>
        </is>
      </c>
      <c r="P1435" t="inlineStr">
        <is>
          <t>nyu</t>
        </is>
      </c>
      <c r="Q1435" t="inlineStr">
        <is>
          <t>Prentice-Hall education series</t>
        </is>
      </c>
      <c r="R1435" t="inlineStr">
        <is>
          <t xml:space="preserve">LB </t>
        </is>
      </c>
      <c r="S1435" t="n">
        <v>2</v>
      </c>
      <c r="T1435" t="n">
        <v>2</v>
      </c>
      <c r="U1435" t="inlineStr">
        <is>
          <t>2006-06-20</t>
        </is>
      </c>
      <c r="V1435" t="inlineStr">
        <is>
          <t>2006-06-20</t>
        </is>
      </c>
      <c r="W1435" t="inlineStr">
        <is>
          <t>1997-04-24</t>
        </is>
      </c>
      <c r="X1435" t="inlineStr">
        <is>
          <t>1997-04-24</t>
        </is>
      </c>
      <c r="Y1435" t="n">
        <v>390</v>
      </c>
      <c r="Z1435" t="n">
        <v>355</v>
      </c>
      <c r="AA1435" t="n">
        <v>456</v>
      </c>
      <c r="AB1435" t="n">
        <v>3</v>
      </c>
      <c r="AC1435" t="n">
        <v>3</v>
      </c>
      <c r="AD1435" t="n">
        <v>21</v>
      </c>
      <c r="AE1435" t="n">
        <v>24</v>
      </c>
      <c r="AF1435" t="n">
        <v>10</v>
      </c>
      <c r="AG1435" t="n">
        <v>11</v>
      </c>
      <c r="AH1435" t="n">
        <v>5</v>
      </c>
      <c r="AI1435" t="n">
        <v>7</v>
      </c>
      <c r="AJ1435" t="n">
        <v>10</v>
      </c>
      <c r="AK1435" t="n">
        <v>11</v>
      </c>
      <c r="AL1435" t="n">
        <v>2</v>
      </c>
      <c r="AM1435" t="n">
        <v>2</v>
      </c>
      <c r="AN1435" t="n">
        <v>0</v>
      </c>
      <c r="AO1435" t="n">
        <v>0</v>
      </c>
      <c r="AP1435" t="inlineStr">
        <is>
          <t>No</t>
        </is>
      </c>
      <c r="AQ1435" t="inlineStr">
        <is>
          <t>Yes</t>
        </is>
      </c>
      <c r="AR1435">
        <f>HYPERLINK("http://catalog.hathitrust.org/Record/009500902","HathiTrust Record")</f>
        <v/>
      </c>
      <c r="AS1435">
        <f>HYPERLINK("https://creighton-primo.hosted.exlibrisgroup.com/primo-explore/search?tab=default_tab&amp;search_scope=EVERYTHING&amp;vid=01CRU&amp;lang=en_US&amp;offset=0&amp;query=any,contains,991003230659702656","Catalog Record")</f>
        <v/>
      </c>
      <c r="AT1435">
        <f>HYPERLINK("http://www.worldcat.org/oclc/755470","WorldCat Record")</f>
        <v/>
      </c>
      <c r="AU1435" t="inlineStr">
        <is>
          <t>1233304:eng</t>
        </is>
      </c>
      <c r="AV1435" t="inlineStr">
        <is>
          <t>755470</t>
        </is>
      </c>
      <c r="AW1435" t="inlineStr">
        <is>
          <t>991003230659702656</t>
        </is>
      </c>
      <c r="AX1435" t="inlineStr">
        <is>
          <t>991003230659702656</t>
        </is>
      </c>
      <c r="AY1435" t="inlineStr">
        <is>
          <t>2267004200002656</t>
        </is>
      </c>
      <c r="AZ1435" t="inlineStr">
        <is>
          <t>BOOK</t>
        </is>
      </c>
      <c r="BB1435" t="inlineStr">
        <is>
          <t>9780837127934</t>
        </is>
      </c>
      <c r="BC1435" t="inlineStr">
        <is>
          <t>32285002598968</t>
        </is>
      </c>
      <c r="BD1435" t="inlineStr">
        <is>
          <t>893441046</t>
        </is>
      </c>
    </row>
    <row r="1436">
      <c r="A1436" t="inlineStr">
        <is>
          <t>No</t>
        </is>
      </c>
      <c r="B1436" t="inlineStr">
        <is>
          <t>LB875.D5 B7 1965</t>
        </is>
      </c>
      <c r="C1436" t="inlineStr">
        <is>
          <t>0                      LB 0875000D  5                  B  7           1965</t>
        </is>
      </c>
      <c r="D1436" t="inlineStr">
        <is>
          <t>John Dewey: master educator, edited by William W. Brickman and Stanley Lehrer.</t>
        </is>
      </c>
      <c r="F1436" t="inlineStr">
        <is>
          <t>No</t>
        </is>
      </c>
      <c r="G1436" t="inlineStr">
        <is>
          <t>1</t>
        </is>
      </c>
      <c r="H1436" t="inlineStr">
        <is>
          <t>No</t>
        </is>
      </c>
      <c r="I1436" t="inlineStr">
        <is>
          <t>No</t>
        </is>
      </c>
      <c r="J1436" t="inlineStr">
        <is>
          <t>0</t>
        </is>
      </c>
      <c r="K1436" t="inlineStr">
        <is>
          <t>Brickman, William W. editor.</t>
        </is>
      </c>
      <c r="L1436" t="inlineStr">
        <is>
          <t>New York, Atherton Press, 1966 [c1965]</t>
        </is>
      </c>
      <c r="M1436" t="inlineStr">
        <is>
          <t>1966</t>
        </is>
      </c>
      <c r="O1436" t="inlineStr">
        <is>
          <t>eng</t>
        </is>
      </c>
      <c r="P1436" t="inlineStr">
        <is>
          <t xml:space="preserve">xx </t>
        </is>
      </c>
      <c r="R1436" t="inlineStr">
        <is>
          <t xml:space="preserve">LB </t>
        </is>
      </c>
      <c r="S1436" t="n">
        <v>2</v>
      </c>
      <c r="T1436" t="n">
        <v>2</v>
      </c>
      <c r="U1436" t="inlineStr">
        <is>
          <t>2010-07-28</t>
        </is>
      </c>
      <c r="V1436" t="inlineStr">
        <is>
          <t>2010-07-28</t>
        </is>
      </c>
      <c r="W1436" t="inlineStr">
        <is>
          <t>1997-04-24</t>
        </is>
      </c>
      <c r="X1436" t="inlineStr">
        <is>
          <t>1997-04-24</t>
        </is>
      </c>
      <c r="Y1436" t="n">
        <v>186</v>
      </c>
      <c r="Z1436" t="n">
        <v>171</v>
      </c>
      <c r="AA1436" t="n">
        <v>491</v>
      </c>
      <c r="AB1436" t="n">
        <v>3</v>
      </c>
      <c r="AC1436" t="n">
        <v>5</v>
      </c>
      <c r="AD1436" t="n">
        <v>8</v>
      </c>
      <c r="AE1436" t="n">
        <v>25</v>
      </c>
      <c r="AF1436" t="n">
        <v>5</v>
      </c>
      <c r="AG1436" t="n">
        <v>12</v>
      </c>
      <c r="AH1436" t="n">
        <v>1</v>
      </c>
      <c r="AI1436" t="n">
        <v>6</v>
      </c>
      <c r="AJ1436" t="n">
        <v>3</v>
      </c>
      <c r="AK1436" t="n">
        <v>10</v>
      </c>
      <c r="AL1436" t="n">
        <v>2</v>
      </c>
      <c r="AM1436" t="n">
        <v>4</v>
      </c>
      <c r="AN1436" t="n">
        <v>0</v>
      </c>
      <c r="AO1436" t="n">
        <v>0</v>
      </c>
      <c r="AP1436" t="inlineStr">
        <is>
          <t>No</t>
        </is>
      </c>
      <c r="AQ1436" t="inlineStr">
        <is>
          <t>No</t>
        </is>
      </c>
      <c r="AS1436">
        <f>HYPERLINK("https://creighton-primo.hosted.exlibrisgroup.com/primo-explore/search?tab=default_tab&amp;search_scope=EVERYTHING&amp;vid=01CRU&amp;lang=en_US&amp;offset=0&amp;query=any,contains,991002665169702656","Catalog Record")</f>
        <v/>
      </c>
      <c r="AT1436">
        <f>HYPERLINK("http://www.worldcat.org/oclc/392924","WorldCat Record")</f>
        <v/>
      </c>
      <c r="AU1436" t="inlineStr">
        <is>
          <t>4928858093:eng</t>
        </is>
      </c>
      <c r="AV1436" t="inlineStr">
        <is>
          <t>392924</t>
        </is>
      </c>
      <c r="AW1436" t="inlineStr">
        <is>
          <t>991002665169702656</t>
        </is>
      </c>
      <c r="AX1436" t="inlineStr">
        <is>
          <t>991002665169702656</t>
        </is>
      </c>
      <c r="AY1436" t="inlineStr">
        <is>
          <t>2263308520002656</t>
        </is>
      </c>
      <c r="AZ1436" t="inlineStr">
        <is>
          <t>BOOK</t>
        </is>
      </c>
      <c r="BC1436" t="inlineStr">
        <is>
          <t>32285002598752</t>
        </is>
      </c>
      <c r="BD1436" t="inlineStr">
        <is>
          <t>893427852</t>
        </is>
      </c>
    </row>
    <row r="1437">
      <c r="A1437" t="inlineStr">
        <is>
          <t>No</t>
        </is>
      </c>
      <c r="B1437" t="inlineStr">
        <is>
          <t>LB875.D5 G83</t>
        </is>
      </c>
      <c r="C1437" t="inlineStr">
        <is>
          <t>0                      LB 0875000D  5                  G  83</t>
        </is>
      </c>
      <c r="D1437" t="inlineStr">
        <is>
          <t>Guide to the works of John Dewey. Edited by Jo Ann Boydston.</t>
        </is>
      </c>
      <c r="F1437" t="inlineStr">
        <is>
          <t>No</t>
        </is>
      </c>
      <c r="G1437" t="inlineStr">
        <is>
          <t>1</t>
        </is>
      </c>
      <c r="H1437" t="inlineStr">
        <is>
          <t>No</t>
        </is>
      </c>
      <c r="I1437" t="inlineStr">
        <is>
          <t>No</t>
        </is>
      </c>
      <c r="J1437" t="inlineStr">
        <is>
          <t>0</t>
        </is>
      </c>
      <c r="L1437" t="inlineStr">
        <is>
          <t>Carbondale, Southern Illinois University Press [1970]</t>
        </is>
      </c>
      <c r="M1437" t="inlineStr">
        <is>
          <t>1970</t>
        </is>
      </c>
      <c r="O1437" t="inlineStr">
        <is>
          <t>eng</t>
        </is>
      </c>
      <c r="P1437" t="inlineStr">
        <is>
          <t>ilu</t>
        </is>
      </c>
      <c r="R1437" t="inlineStr">
        <is>
          <t xml:space="preserve">LB </t>
        </is>
      </c>
      <c r="S1437" t="n">
        <v>3</v>
      </c>
      <c r="T1437" t="n">
        <v>3</v>
      </c>
      <c r="U1437" t="inlineStr">
        <is>
          <t>2000-08-22</t>
        </is>
      </c>
      <c r="V1437" t="inlineStr">
        <is>
          <t>2000-08-22</t>
        </is>
      </c>
      <c r="W1437" t="inlineStr">
        <is>
          <t>1997-04-24</t>
        </is>
      </c>
      <c r="X1437" t="inlineStr">
        <is>
          <t>1997-04-24</t>
        </is>
      </c>
      <c r="Y1437" t="n">
        <v>904</v>
      </c>
      <c r="Z1437" t="n">
        <v>812</v>
      </c>
      <c r="AA1437" t="n">
        <v>890</v>
      </c>
      <c r="AB1437" t="n">
        <v>10</v>
      </c>
      <c r="AC1437" t="n">
        <v>10</v>
      </c>
      <c r="AD1437" t="n">
        <v>45</v>
      </c>
      <c r="AE1437" t="n">
        <v>49</v>
      </c>
      <c r="AF1437" t="n">
        <v>17</v>
      </c>
      <c r="AG1437" t="n">
        <v>20</v>
      </c>
      <c r="AH1437" t="n">
        <v>11</v>
      </c>
      <c r="AI1437" t="n">
        <v>11</v>
      </c>
      <c r="AJ1437" t="n">
        <v>19</v>
      </c>
      <c r="AK1437" t="n">
        <v>20</v>
      </c>
      <c r="AL1437" t="n">
        <v>9</v>
      </c>
      <c r="AM1437" t="n">
        <v>9</v>
      </c>
      <c r="AN1437" t="n">
        <v>0</v>
      </c>
      <c r="AO1437" t="n">
        <v>0</v>
      </c>
      <c r="AP1437" t="inlineStr">
        <is>
          <t>No</t>
        </is>
      </c>
      <c r="AQ1437" t="inlineStr">
        <is>
          <t>Yes</t>
        </is>
      </c>
      <c r="AR1437">
        <f>HYPERLINK("http://catalog.hathitrust.org/Record/001116620","HathiTrust Record")</f>
        <v/>
      </c>
      <c r="AS1437">
        <f>HYPERLINK("https://creighton-primo.hosted.exlibrisgroup.com/primo-explore/search?tab=default_tab&amp;search_scope=EVERYTHING&amp;vid=01CRU&amp;lang=en_US&amp;offset=0&amp;query=any,contains,991000629009702656","Catalog Record")</f>
        <v/>
      </c>
      <c r="AT1437">
        <f>HYPERLINK("http://www.worldcat.org/oclc/105347","WorldCat Record")</f>
        <v/>
      </c>
      <c r="AU1437" t="inlineStr">
        <is>
          <t>836619389:eng</t>
        </is>
      </c>
      <c r="AV1437" t="inlineStr">
        <is>
          <t>105347</t>
        </is>
      </c>
      <c r="AW1437" t="inlineStr">
        <is>
          <t>991000629009702656</t>
        </is>
      </c>
      <c r="AX1437" t="inlineStr">
        <is>
          <t>991000629009702656</t>
        </is>
      </c>
      <c r="AY1437" t="inlineStr">
        <is>
          <t>2263216800002656</t>
        </is>
      </c>
      <c r="AZ1437" t="inlineStr">
        <is>
          <t>BOOK</t>
        </is>
      </c>
      <c r="BB1437" t="inlineStr">
        <is>
          <t>9780809304394</t>
        </is>
      </c>
      <c r="BC1437" t="inlineStr">
        <is>
          <t>32285002598760</t>
        </is>
      </c>
      <c r="BD1437" t="inlineStr">
        <is>
          <t>893413532</t>
        </is>
      </c>
    </row>
    <row r="1438">
      <c r="A1438" t="inlineStr">
        <is>
          <t>No</t>
        </is>
      </c>
      <c r="B1438" t="inlineStr">
        <is>
          <t>LB875.D5 J63</t>
        </is>
      </c>
      <c r="C1438" t="inlineStr">
        <is>
          <t>0                      LB 0875000D  5                  J  63</t>
        </is>
      </c>
      <c r="D1438" t="inlineStr">
        <is>
          <t>John Dewey reconsidered / edited by R. S. Peters.</t>
        </is>
      </c>
      <c r="F1438" t="inlineStr">
        <is>
          <t>No</t>
        </is>
      </c>
      <c r="G1438" t="inlineStr">
        <is>
          <t>1</t>
        </is>
      </c>
      <c r="H1438" t="inlineStr">
        <is>
          <t>No</t>
        </is>
      </c>
      <c r="I1438" t="inlineStr">
        <is>
          <t>No</t>
        </is>
      </c>
      <c r="J1438" t="inlineStr">
        <is>
          <t>0</t>
        </is>
      </c>
      <c r="L1438" t="inlineStr">
        <is>
          <t>London ; Boston : Routledge and Kegan Paul, 1977.</t>
        </is>
      </c>
      <c r="M1438" t="inlineStr">
        <is>
          <t>1977</t>
        </is>
      </c>
      <c r="O1438" t="inlineStr">
        <is>
          <t>eng</t>
        </is>
      </c>
      <c r="P1438" t="inlineStr">
        <is>
          <t>enk</t>
        </is>
      </c>
      <c r="Q1438" t="inlineStr">
        <is>
          <t>International library of the philosophy of education</t>
        </is>
      </c>
      <c r="R1438" t="inlineStr">
        <is>
          <t xml:space="preserve">LB </t>
        </is>
      </c>
      <c r="S1438" t="n">
        <v>2</v>
      </c>
      <c r="T1438" t="n">
        <v>2</v>
      </c>
      <c r="U1438" t="inlineStr">
        <is>
          <t>2000-08-22</t>
        </is>
      </c>
      <c r="V1438" t="inlineStr">
        <is>
          <t>2000-08-22</t>
        </is>
      </c>
      <c r="W1438" t="inlineStr">
        <is>
          <t>1997-04-24</t>
        </is>
      </c>
      <c r="X1438" t="inlineStr">
        <is>
          <t>1997-04-24</t>
        </is>
      </c>
      <c r="Y1438" t="n">
        <v>712</v>
      </c>
      <c r="Z1438" t="n">
        <v>491</v>
      </c>
      <c r="AA1438" t="n">
        <v>532</v>
      </c>
      <c r="AB1438" t="n">
        <v>3</v>
      </c>
      <c r="AC1438" t="n">
        <v>3</v>
      </c>
      <c r="AD1438" t="n">
        <v>24</v>
      </c>
      <c r="AE1438" t="n">
        <v>25</v>
      </c>
      <c r="AF1438" t="n">
        <v>8</v>
      </c>
      <c r="AG1438" t="n">
        <v>8</v>
      </c>
      <c r="AH1438" t="n">
        <v>8</v>
      </c>
      <c r="AI1438" t="n">
        <v>9</v>
      </c>
      <c r="AJ1438" t="n">
        <v>13</v>
      </c>
      <c r="AK1438" t="n">
        <v>13</v>
      </c>
      <c r="AL1438" t="n">
        <v>2</v>
      </c>
      <c r="AM1438" t="n">
        <v>2</v>
      </c>
      <c r="AN1438" t="n">
        <v>0</v>
      </c>
      <c r="AO1438" t="n">
        <v>0</v>
      </c>
      <c r="AP1438" t="inlineStr">
        <is>
          <t>No</t>
        </is>
      </c>
      <c r="AQ1438" t="inlineStr">
        <is>
          <t>No</t>
        </is>
      </c>
      <c r="AS1438">
        <f>HYPERLINK("https://creighton-primo.hosted.exlibrisgroup.com/primo-explore/search?tab=default_tab&amp;search_scope=EVERYTHING&amp;vid=01CRU&amp;lang=en_US&amp;offset=0&amp;query=any,contains,991004417599702656","Catalog Record")</f>
        <v/>
      </c>
      <c r="AT1438">
        <f>HYPERLINK("http://www.worldcat.org/oclc/3369914","WorldCat Record")</f>
        <v/>
      </c>
      <c r="AU1438" t="inlineStr">
        <is>
          <t>766928528:eng</t>
        </is>
      </c>
      <c r="AV1438" t="inlineStr">
        <is>
          <t>3369914</t>
        </is>
      </c>
      <c r="AW1438" t="inlineStr">
        <is>
          <t>991004417599702656</t>
        </is>
      </c>
      <c r="AX1438" t="inlineStr">
        <is>
          <t>991004417599702656</t>
        </is>
      </c>
      <c r="AY1438" t="inlineStr">
        <is>
          <t>2260261300002656</t>
        </is>
      </c>
      <c r="AZ1438" t="inlineStr">
        <is>
          <t>BOOK</t>
        </is>
      </c>
      <c r="BB1438" t="inlineStr">
        <is>
          <t>9780710086235</t>
        </is>
      </c>
      <c r="BC1438" t="inlineStr">
        <is>
          <t>32285002598828</t>
        </is>
      </c>
      <c r="BD1438" t="inlineStr">
        <is>
          <t>893901214</t>
        </is>
      </c>
    </row>
    <row r="1439">
      <c r="A1439" t="inlineStr">
        <is>
          <t>No</t>
        </is>
      </c>
      <c r="B1439" t="inlineStr">
        <is>
          <t>LB875.D5 L3</t>
        </is>
      </c>
      <c r="C1439" t="inlineStr">
        <is>
          <t>0                      LB 0875000D  5                  L  3</t>
        </is>
      </c>
      <c r="D1439" t="inlineStr">
        <is>
          <t>John Dewey and the world view. Edited by Douglas E. Lawson and Arthur E. Lean.</t>
        </is>
      </c>
      <c r="F1439" t="inlineStr">
        <is>
          <t>No</t>
        </is>
      </c>
      <c r="G1439" t="inlineStr">
        <is>
          <t>1</t>
        </is>
      </c>
      <c r="H1439" t="inlineStr">
        <is>
          <t>No</t>
        </is>
      </c>
      <c r="I1439" t="inlineStr">
        <is>
          <t>No</t>
        </is>
      </c>
      <c r="J1439" t="inlineStr">
        <is>
          <t>0</t>
        </is>
      </c>
      <c r="K1439" t="inlineStr">
        <is>
          <t>Lawson, Douglas E., 1903-1961, editor.</t>
        </is>
      </c>
      <c r="L1439" t="inlineStr">
        <is>
          <t>Carbondale, Southern Illinois University Press [1964]</t>
        </is>
      </c>
      <c r="M1439" t="inlineStr">
        <is>
          <t>1964</t>
        </is>
      </c>
      <c r="O1439" t="inlineStr">
        <is>
          <t>eng</t>
        </is>
      </c>
      <c r="P1439" t="inlineStr">
        <is>
          <t>ilu</t>
        </is>
      </c>
      <c r="R1439" t="inlineStr">
        <is>
          <t xml:space="preserve">LB </t>
        </is>
      </c>
      <c r="S1439" t="n">
        <v>3</v>
      </c>
      <c r="T1439" t="n">
        <v>3</v>
      </c>
      <c r="U1439" t="inlineStr">
        <is>
          <t>2010-11-23</t>
        </is>
      </c>
      <c r="V1439" t="inlineStr">
        <is>
          <t>2010-11-23</t>
        </is>
      </c>
      <c r="W1439" t="inlineStr">
        <is>
          <t>1997-04-24</t>
        </is>
      </c>
      <c r="X1439" t="inlineStr">
        <is>
          <t>1997-04-24</t>
        </is>
      </c>
      <c r="Y1439" t="n">
        <v>498</v>
      </c>
      <c r="Z1439" t="n">
        <v>455</v>
      </c>
      <c r="AA1439" t="n">
        <v>487</v>
      </c>
      <c r="AB1439" t="n">
        <v>7</v>
      </c>
      <c r="AC1439" t="n">
        <v>7</v>
      </c>
      <c r="AD1439" t="n">
        <v>26</v>
      </c>
      <c r="AE1439" t="n">
        <v>29</v>
      </c>
      <c r="AF1439" t="n">
        <v>7</v>
      </c>
      <c r="AG1439" t="n">
        <v>7</v>
      </c>
      <c r="AH1439" t="n">
        <v>6</v>
      </c>
      <c r="AI1439" t="n">
        <v>7</v>
      </c>
      <c r="AJ1439" t="n">
        <v>13</v>
      </c>
      <c r="AK1439" t="n">
        <v>15</v>
      </c>
      <c r="AL1439" t="n">
        <v>6</v>
      </c>
      <c r="AM1439" t="n">
        <v>6</v>
      </c>
      <c r="AN1439" t="n">
        <v>1</v>
      </c>
      <c r="AO1439" t="n">
        <v>1</v>
      </c>
      <c r="AP1439" t="inlineStr">
        <is>
          <t>No</t>
        </is>
      </c>
      <c r="AQ1439" t="inlineStr">
        <is>
          <t>Yes</t>
        </is>
      </c>
      <c r="AR1439">
        <f>HYPERLINK("http://catalog.hathitrust.org/Record/004422587","HathiTrust Record")</f>
        <v/>
      </c>
      <c r="AS1439">
        <f>HYPERLINK("https://creighton-primo.hosted.exlibrisgroup.com/primo-explore/search?tab=default_tab&amp;search_scope=EVERYTHING&amp;vid=01CRU&amp;lang=en_US&amp;offset=0&amp;query=any,contains,991000938059702656","Catalog Record")</f>
        <v/>
      </c>
      <c r="AT1439">
        <f>HYPERLINK("http://www.worldcat.org/oclc/165559","WorldCat Record")</f>
        <v/>
      </c>
      <c r="AU1439" t="inlineStr">
        <is>
          <t>356009151:eng</t>
        </is>
      </c>
      <c r="AV1439" t="inlineStr">
        <is>
          <t>165559</t>
        </is>
      </c>
      <c r="AW1439" t="inlineStr">
        <is>
          <t>991000938059702656</t>
        </is>
      </c>
      <c r="AX1439" t="inlineStr">
        <is>
          <t>991000938059702656</t>
        </is>
      </c>
      <c r="AY1439" t="inlineStr">
        <is>
          <t>2269804080002656</t>
        </is>
      </c>
      <c r="AZ1439" t="inlineStr">
        <is>
          <t>BOOK</t>
        </is>
      </c>
      <c r="BC1439" t="inlineStr">
        <is>
          <t>32285002598844</t>
        </is>
      </c>
      <c r="BD1439" t="inlineStr">
        <is>
          <t>893589885</t>
        </is>
      </c>
    </row>
    <row r="1440">
      <c r="A1440" t="inlineStr">
        <is>
          <t>No</t>
        </is>
      </c>
      <c r="B1440" t="inlineStr">
        <is>
          <t>LB880 .M3 1980</t>
        </is>
      </c>
      <c r="C1440" t="inlineStr">
        <is>
          <t>0                      LB 0880000M  3           1980</t>
        </is>
      </c>
      <c r="D1440" t="inlineStr">
        <is>
          <t>The Marxist theory of schooling : a study of epistemology and education / Michael R. Matthews.</t>
        </is>
      </c>
      <c r="F1440" t="inlineStr">
        <is>
          <t>No</t>
        </is>
      </c>
      <c r="G1440" t="inlineStr">
        <is>
          <t>1</t>
        </is>
      </c>
      <c r="H1440" t="inlineStr">
        <is>
          <t>No</t>
        </is>
      </c>
      <c r="I1440" t="inlineStr">
        <is>
          <t>No</t>
        </is>
      </c>
      <c r="J1440" t="inlineStr">
        <is>
          <t>0</t>
        </is>
      </c>
      <c r="K1440" t="inlineStr">
        <is>
          <t>Matthews, Michael R.</t>
        </is>
      </c>
      <c r="L1440" t="inlineStr">
        <is>
          <t>Brighton, Sussex : Harvester Press ; Atlantic Highlands, N.J. : Humanities Press, c1980.</t>
        </is>
      </c>
      <c r="M1440" t="inlineStr">
        <is>
          <t>1980</t>
        </is>
      </c>
      <c r="O1440" t="inlineStr">
        <is>
          <t>eng</t>
        </is>
      </c>
      <c r="P1440" t="inlineStr">
        <is>
          <t>enk</t>
        </is>
      </c>
      <c r="Q1440" t="inlineStr">
        <is>
          <t>Harvester studies in philosophy ; no. 24</t>
        </is>
      </c>
      <c r="R1440" t="inlineStr">
        <is>
          <t xml:space="preserve">LB </t>
        </is>
      </c>
      <c r="S1440" t="n">
        <v>3</v>
      </c>
      <c r="T1440" t="n">
        <v>3</v>
      </c>
      <c r="U1440" t="inlineStr">
        <is>
          <t>2007-03-13</t>
        </is>
      </c>
      <c r="V1440" t="inlineStr">
        <is>
          <t>2007-03-13</t>
        </is>
      </c>
      <c r="W1440" t="inlineStr">
        <is>
          <t>1992-10-19</t>
        </is>
      </c>
      <c r="X1440" t="inlineStr">
        <is>
          <t>1992-10-19</t>
        </is>
      </c>
      <c r="Y1440" t="n">
        <v>332</v>
      </c>
      <c r="Z1440" t="n">
        <v>199</v>
      </c>
      <c r="AA1440" t="n">
        <v>202</v>
      </c>
      <c r="AB1440" t="n">
        <v>3</v>
      </c>
      <c r="AC1440" t="n">
        <v>3</v>
      </c>
      <c r="AD1440" t="n">
        <v>12</v>
      </c>
      <c r="AE1440" t="n">
        <v>12</v>
      </c>
      <c r="AF1440" t="n">
        <v>5</v>
      </c>
      <c r="AG1440" t="n">
        <v>5</v>
      </c>
      <c r="AH1440" t="n">
        <v>1</v>
      </c>
      <c r="AI1440" t="n">
        <v>1</v>
      </c>
      <c r="AJ1440" t="n">
        <v>8</v>
      </c>
      <c r="AK1440" t="n">
        <v>8</v>
      </c>
      <c r="AL1440" t="n">
        <v>2</v>
      </c>
      <c r="AM1440" t="n">
        <v>2</v>
      </c>
      <c r="AN1440" t="n">
        <v>0</v>
      </c>
      <c r="AO1440" t="n">
        <v>0</v>
      </c>
      <c r="AP1440" t="inlineStr">
        <is>
          <t>No</t>
        </is>
      </c>
      <c r="AQ1440" t="inlineStr">
        <is>
          <t>Yes</t>
        </is>
      </c>
      <c r="AR1440">
        <f>HYPERLINK("http://catalog.hathitrust.org/Record/000156004","HathiTrust Record")</f>
        <v/>
      </c>
      <c r="AS1440">
        <f>HYPERLINK("https://creighton-primo.hosted.exlibrisgroup.com/primo-explore/search?tab=default_tab&amp;search_scope=EVERYTHING&amp;vid=01CRU&amp;lang=en_US&amp;offset=0&amp;query=any,contains,991005140789702656","Catalog Record")</f>
        <v/>
      </c>
      <c r="AT1440">
        <f>HYPERLINK("http://www.worldcat.org/oclc/7611572","WorldCat Record")</f>
        <v/>
      </c>
      <c r="AU1440" t="inlineStr">
        <is>
          <t>889374203:eng</t>
        </is>
      </c>
      <c r="AV1440" t="inlineStr">
        <is>
          <t>7611572</t>
        </is>
      </c>
      <c r="AW1440" t="inlineStr">
        <is>
          <t>991005140789702656</t>
        </is>
      </c>
      <c r="AX1440" t="inlineStr">
        <is>
          <t>991005140789702656</t>
        </is>
      </c>
      <c r="AY1440" t="inlineStr">
        <is>
          <t>2263017750002656</t>
        </is>
      </c>
      <c r="AZ1440" t="inlineStr">
        <is>
          <t>BOOK</t>
        </is>
      </c>
      <c r="BB1440" t="inlineStr">
        <is>
          <t>9780391018013</t>
        </is>
      </c>
      <c r="BC1440" t="inlineStr">
        <is>
          <t>32285001351773</t>
        </is>
      </c>
      <c r="BD1440" t="inlineStr">
        <is>
          <t>893600688</t>
        </is>
      </c>
    </row>
    <row r="1441">
      <c r="A1441" t="inlineStr">
        <is>
          <t>No</t>
        </is>
      </c>
      <c r="B1441" t="inlineStr">
        <is>
          <t>LB880.H2572 Y68 1990</t>
        </is>
      </c>
      <c r="C1441" t="inlineStr">
        <is>
          <t>0                      LB 0880000H  2572               Y  68          1990</t>
        </is>
      </c>
      <c r="D1441" t="inlineStr">
        <is>
          <t>A critical theory of education : Habermas and our children's future / Robert E. Young.</t>
        </is>
      </c>
      <c r="F1441" t="inlineStr">
        <is>
          <t>No</t>
        </is>
      </c>
      <c r="G1441" t="inlineStr">
        <is>
          <t>1</t>
        </is>
      </c>
      <c r="H1441" t="inlineStr">
        <is>
          <t>No</t>
        </is>
      </c>
      <c r="I1441" t="inlineStr">
        <is>
          <t>No</t>
        </is>
      </c>
      <c r="J1441" t="inlineStr">
        <is>
          <t>0</t>
        </is>
      </c>
      <c r="K1441" t="inlineStr">
        <is>
          <t>Young, R. E. (Robert E.), 1940-</t>
        </is>
      </c>
      <c r="L1441" t="inlineStr">
        <is>
          <t>New York : Teachers College Press, 1990.</t>
        </is>
      </c>
      <c r="M1441" t="inlineStr">
        <is>
          <t>1990</t>
        </is>
      </c>
      <c r="O1441" t="inlineStr">
        <is>
          <t>eng</t>
        </is>
      </c>
      <c r="P1441" t="inlineStr">
        <is>
          <t>nyu</t>
        </is>
      </c>
      <c r="Q1441" t="inlineStr">
        <is>
          <t>Advances in contemporary educational thought ; 5</t>
        </is>
      </c>
      <c r="R1441" t="inlineStr">
        <is>
          <t xml:space="preserve">LB </t>
        </is>
      </c>
      <c r="S1441" t="n">
        <v>4</v>
      </c>
      <c r="T1441" t="n">
        <v>4</v>
      </c>
      <c r="U1441" t="inlineStr">
        <is>
          <t>1997-12-22</t>
        </is>
      </c>
      <c r="V1441" t="inlineStr">
        <is>
          <t>1997-12-22</t>
        </is>
      </c>
      <c r="W1441" t="inlineStr">
        <is>
          <t>1991-01-14</t>
        </is>
      </c>
      <c r="X1441" t="inlineStr">
        <is>
          <t>1991-01-14</t>
        </is>
      </c>
      <c r="Y1441" t="n">
        <v>544</v>
      </c>
      <c r="Z1441" t="n">
        <v>452</v>
      </c>
      <c r="AA1441" t="n">
        <v>482</v>
      </c>
      <c r="AB1441" t="n">
        <v>5</v>
      </c>
      <c r="AC1441" t="n">
        <v>5</v>
      </c>
      <c r="AD1441" t="n">
        <v>30</v>
      </c>
      <c r="AE1441" t="n">
        <v>30</v>
      </c>
      <c r="AF1441" t="n">
        <v>11</v>
      </c>
      <c r="AG1441" t="n">
        <v>11</v>
      </c>
      <c r="AH1441" t="n">
        <v>6</v>
      </c>
      <c r="AI1441" t="n">
        <v>6</v>
      </c>
      <c r="AJ1441" t="n">
        <v>16</v>
      </c>
      <c r="AK1441" t="n">
        <v>16</v>
      </c>
      <c r="AL1441" t="n">
        <v>4</v>
      </c>
      <c r="AM1441" t="n">
        <v>4</v>
      </c>
      <c r="AN1441" t="n">
        <v>0</v>
      </c>
      <c r="AO1441" t="n">
        <v>0</v>
      </c>
      <c r="AP1441" t="inlineStr">
        <is>
          <t>No</t>
        </is>
      </c>
      <c r="AQ1441" t="inlineStr">
        <is>
          <t>No</t>
        </is>
      </c>
      <c r="AS1441">
        <f>HYPERLINK("https://creighton-primo.hosted.exlibrisgroup.com/primo-explore/search?tab=default_tab&amp;search_scope=EVERYTHING&amp;vid=01CRU&amp;lang=en_US&amp;offset=0&amp;query=any,contains,991001556089702656","Catalog Record")</f>
        <v/>
      </c>
      <c r="AT1441">
        <f>HYPERLINK("http://www.worldcat.org/oclc/20264306","WorldCat Record")</f>
        <v/>
      </c>
      <c r="AU1441" t="inlineStr">
        <is>
          <t>363962624:eng</t>
        </is>
      </c>
      <c r="AV1441" t="inlineStr">
        <is>
          <t>20264306</t>
        </is>
      </c>
      <c r="AW1441" t="inlineStr">
        <is>
          <t>991001556089702656</t>
        </is>
      </c>
      <c r="AX1441" t="inlineStr">
        <is>
          <t>991001556089702656</t>
        </is>
      </c>
      <c r="AY1441" t="inlineStr">
        <is>
          <t>2259760890002656</t>
        </is>
      </c>
      <c r="AZ1441" t="inlineStr">
        <is>
          <t>BOOK</t>
        </is>
      </c>
      <c r="BB1441" t="inlineStr">
        <is>
          <t>9780807730188</t>
        </is>
      </c>
      <c r="BC1441" t="inlineStr">
        <is>
          <t>32285000408038</t>
        </is>
      </c>
      <c r="BD1441" t="inlineStr">
        <is>
          <t>893346593</t>
        </is>
      </c>
    </row>
    <row r="1442">
      <c r="A1442" t="inlineStr">
        <is>
          <t>No</t>
        </is>
      </c>
      <c r="B1442" t="inlineStr">
        <is>
          <t>LB880.V34 E34 1990</t>
        </is>
      </c>
      <c r="C1442" t="inlineStr">
        <is>
          <t>0                      LB 0880000V  34                 E  34          1990</t>
        </is>
      </c>
      <c r="D1442" t="inlineStr">
        <is>
          <t>Education as a human right : a theory of curriculum and pedagogy / Donald Vandenberg.</t>
        </is>
      </c>
      <c r="F1442" t="inlineStr">
        <is>
          <t>No</t>
        </is>
      </c>
      <c r="G1442" t="inlineStr">
        <is>
          <t>1</t>
        </is>
      </c>
      <c r="H1442" t="inlineStr">
        <is>
          <t>No</t>
        </is>
      </c>
      <c r="I1442" t="inlineStr">
        <is>
          <t>No</t>
        </is>
      </c>
      <c r="J1442" t="inlineStr">
        <is>
          <t>0</t>
        </is>
      </c>
      <c r="K1442" t="inlineStr">
        <is>
          <t>Vandenberg, Donald.</t>
        </is>
      </c>
      <c r="L1442" t="inlineStr">
        <is>
          <t>New York : Teachers College Press, c1990.</t>
        </is>
      </c>
      <c r="M1442" t="inlineStr">
        <is>
          <t>1990</t>
        </is>
      </c>
      <c r="O1442" t="inlineStr">
        <is>
          <t>eng</t>
        </is>
      </c>
      <c r="P1442" t="inlineStr">
        <is>
          <t>nyu</t>
        </is>
      </c>
      <c r="Q1442" t="inlineStr">
        <is>
          <t>Advances in contemporary educational thought ; 6</t>
        </is>
      </c>
      <c r="R1442" t="inlineStr">
        <is>
          <t xml:space="preserve">LB </t>
        </is>
      </c>
      <c r="S1442" t="n">
        <v>2</v>
      </c>
      <c r="T1442" t="n">
        <v>2</v>
      </c>
      <c r="U1442" t="inlineStr">
        <is>
          <t>2009-04-26</t>
        </is>
      </c>
      <c r="V1442" t="inlineStr">
        <is>
          <t>2009-04-26</t>
        </is>
      </c>
      <c r="W1442" t="inlineStr">
        <is>
          <t>1995-01-27</t>
        </is>
      </c>
      <c r="X1442" t="inlineStr">
        <is>
          <t>1995-01-27</t>
        </is>
      </c>
      <c r="Y1442" t="n">
        <v>519</v>
      </c>
      <c r="Z1442" t="n">
        <v>427</v>
      </c>
      <c r="AA1442" t="n">
        <v>428</v>
      </c>
      <c r="AB1442" t="n">
        <v>2</v>
      </c>
      <c r="AC1442" t="n">
        <v>2</v>
      </c>
      <c r="AD1442" t="n">
        <v>22</v>
      </c>
      <c r="AE1442" t="n">
        <v>22</v>
      </c>
      <c r="AF1442" t="n">
        <v>7</v>
      </c>
      <c r="AG1442" t="n">
        <v>7</v>
      </c>
      <c r="AH1442" t="n">
        <v>5</v>
      </c>
      <c r="AI1442" t="n">
        <v>5</v>
      </c>
      <c r="AJ1442" t="n">
        <v>13</v>
      </c>
      <c r="AK1442" t="n">
        <v>13</v>
      </c>
      <c r="AL1442" t="n">
        <v>1</v>
      </c>
      <c r="AM1442" t="n">
        <v>1</v>
      </c>
      <c r="AN1442" t="n">
        <v>1</v>
      </c>
      <c r="AO1442" t="n">
        <v>1</v>
      </c>
      <c r="AP1442" t="inlineStr">
        <is>
          <t>No</t>
        </is>
      </c>
      <c r="AQ1442" t="inlineStr">
        <is>
          <t>No</t>
        </is>
      </c>
      <c r="AS1442">
        <f>HYPERLINK("https://creighton-primo.hosted.exlibrisgroup.com/primo-explore/search?tab=default_tab&amp;search_scope=EVERYTHING&amp;vid=01CRU&amp;lang=en_US&amp;offset=0&amp;query=any,contains,991001686809702656","Catalog Record")</f>
        <v/>
      </c>
      <c r="AT1442">
        <f>HYPERLINK("http://www.worldcat.org/oclc/21407870","WorldCat Record")</f>
        <v/>
      </c>
      <c r="AU1442" t="inlineStr">
        <is>
          <t>836892804:eng</t>
        </is>
      </c>
      <c r="AV1442" t="inlineStr">
        <is>
          <t>21407870</t>
        </is>
      </c>
      <c r="AW1442" t="inlineStr">
        <is>
          <t>991001686809702656</t>
        </is>
      </c>
      <c r="AX1442" t="inlineStr">
        <is>
          <t>991001686809702656</t>
        </is>
      </c>
      <c r="AY1442" t="inlineStr">
        <is>
          <t>2271427710002656</t>
        </is>
      </c>
      <c r="AZ1442" t="inlineStr">
        <is>
          <t>BOOK</t>
        </is>
      </c>
      <c r="BB1442" t="inlineStr">
        <is>
          <t>9780807730294</t>
        </is>
      </c>
      <c r="BC1442" t="inlineStr">
        <is>
          <t>32285001995082</t>
        </is>
      </c>
      <c r="BD1442" t="inlineStr">
        <is>
          <t>893866403</t>
        </is>
      </c>
    </row>
    <row r="1443">
      <c r="A1443" t="inlineStr">
        <is>
          <t>No</t>
        </is>
      </c>
      <c r="B1443" t="inlineStr">
        <is>
          <t>LB885 .A3 1969</t>
        </is>
      </c>
      <c r="C1443" t="inlineStr">
        <is>
          <t>0                      LB 0885000A  3           1969</t>
        </is>
      </c>
      <c r="D1443" t="inlineStr">
        <is>
          <t>The education of the individual. Foreword by Carleton Washburne.</t>
        </is>
      </c>
      <c r="F1443" t="inlineStr">
        <is>
          <t>No</t>
        </is>
      </c>
      <c r="G1443" t="inlineStr">
        <is>
          <t>1</t>
        </is>
      </c>
      <c r="H1443" t="inlineStr">
        <is>
          <t>No</t>
        </is>
      </c>
      <c r="I1443" t="inlineStr">
        <is>
          <t>No</t>
        </is>
      </c>
      <c r="J1443" t="inlineStr">
        <is>
          <t>0</t>
        </is>
      </c>
      <c r="K1443" t="inlineStr">
        <is>
          <t>Adler, Alfred, 1907-</t>
        </is>
      </c>
      <c r="L1443" t="inlineStr">
        <is>
          <t>New York, Greenwood Press [1969, c1958]</t>
        </is>
      </c>
      <c r="M1443" t="inlineStr">
        <is>
          <t>1969</t>
        </is>
      </c>
      <c r="O1443" t="inlineStr">
        <is>
          <t>eng</t>
        </is>
      </c>
      <c r="P1443" t="inlineStr">
        <is>
          <t>nyu</t>
        </is>
      </c>
      <c r="R1443" t="inlineStr">
        <is>
          <t xml:space="preserve">LB </t>
        </is>
      </c>
      <c r="S1443" t="n">
        <v>3</v>
      </c>
      <c r="T1443" t="n">
        <v>3</v>
      </c>
      <c r="U1443" t="inlineStr">
        <is>
          <t>2006-01-13</t>
        </is>
      </c>
      <c r="V1443" t="inlineStr">
        <is>
          <t>2006-01-13</t>
        </is>
      </c>
      <c r="W1443" t="inlineStr">
        <is>
          <t>1997-04-25</t>
        </is>
      </c>
      <c r="X1443" t="inlineStr">
        <is>
          <t>1997-04-25</t>
        </is>
      </c>
      <c r="Y1443" t="n">
        <v>279</v>
      </c>
      <c r="Z1443" t="n">
        <v>244</v>
      </c>
      <c r="AA1443" t="n">
        <v>493</v>
      </c>
      <c r="AB1443" t="n">
        <v>2</v>
      </c>
      <c r="AC1443" t="n">
        <v>4</v>
      </c>
      <c r="AD1443" t="n">
        <v>9</v>
      </c>
      <c r="AE1443" t="n">
        <v>19</v>
      </c>
      <c r="AF1443" t="n">
        <v>3</v>
      </c>
      <c r="AG1443" t="n">
        <v>4</v>
      </c>
      <c r="AH1443" t="n">
        <v>3</v>
      </c>
      <c r="AI1443" t="n">
        <v>5</v>
      </c>
      <c r="AJ1443" t="n">
        <v>4</v>
      </c>
      <c r="AK1443" t="n">
        <v>10</v>
      </c>
      <c r="AL1443" t="n">
        <v>1</v>
      </c>
      <c r="AM1443" t="n">
        <v>3</v>
      </c>
      <c r="AN1443" t="n">
        <v>0</v>
      </c>
      <c r="AO1443" t="n">
        <v>0</v>
      </c>
      <c r="AP1443" t="inlineStr">
        <is>
          <t>No</t>
        </is>
      </c>
      <c r="AQ1443" t="inlineStr">
        <is>
          <t>No</t>
        </is>
      </c>
      <c r="AS1443">
        <f>HYPERLINK("https://creighton-primo.hosted.exlibrisgroup.com/primo-explore/search?tab=default_tab&amp;search_scope=EVERYTHING&amp;vid=01CRU&amp;lang=en_US&amp;offset=0&amp;query=any,contains,991000368109702656","Catalog Record")</f>
        <v/>
      </c>
      <c r="AT1443">
        <f>HYPERLINK("http://www.worldcat.org/oclc/71105","WorldCat Record")</f>
        <v/>
      </c>
      <c r="AU1443" t="inlineStr">
        <is>
          <t>499567:eng</t>
        </is>
      </c>
      <c r="AV1443" t="inlineStr">
        <is>
          <t>71105</t>
        </is>
      </c>
      <c r="AW1443" t="inlineStr">
        <is>
          <t>991000368109702656</t>
        </is>
      </c>
      <c r="AX1443" t="inlineStr">
        <is>
          <t>991000368109702656</t>
        </is>
      </c>
      <c r="AY1443" t="inlineStr">
        <is>
          <t>2272787200002656</t>
        </is>
      </c>
      <c r="AZ1443" t="inlineStr">
        <is>
          <t>BOOK</t>
        </is>
      </c>
      <c r="BB1443" t="inlineStr">
        <is>
          <t>9780837121345</t>
        </is>
      </c>
      <c r="BC1443" t="inlineStr">
        <is>
          <t>32285002599016</t>
        </is>
      </c>
      <c r="BD1443" t="inlineStr">
        <is>
          <t>893777874</t>
        </is>
      </c>
    </row>
    <row r="1444">
      <c r="A1444" t="inlineStr">
        <is>
          <t>No</t>
        </is>
      </c>
      <c r="B1444" t="inlineStr">
        <is>
          <t>LB885 .B3513</t>
        </is>
      </c>
      <c r="C1444" t="inlineStr">
        <is>
          <t>0                      LB 0885000B  3513</t>
        </is>
      </c>
      <c r="D1444" t="inlineStr">
        <is>
          <t>Existentialism and creativity.</t>
        </is>
      </c>
      <c r="F1444" t="inlineStr">
        <is>
          <t>No</t>
        </is>
      </c>
      <c r="G1444" t="inlineStr">
        <is>
          <t>1</t>
        </is>
      </c>
      <c r="H1444" t="inlineStr">
        <is>
          <t>No</t>
        </is>
      </c>
      <c r="I1444" t="inlineStr">
        <is>
          <t>No</t>
        </is>
      </c>
      <c r="J1444" t="inlineStr">
        <is>
          <t>0</t>
        </is>
      </c>
      <c r="K1444" t="inlineStr">
        <is>
          <t>Bedford, Mitchell.</t>
        </is>
      </c>
      <c r="L1444" t="inlineStr">
        <is>
          <t>[New York] Philosophical Library [1972]</t>
        </is>
      </c>
      <c r="M1444" t="inlineStr">
        <is>
          <t>1972</t>
        </is>
      </c>
      <c r="O1444" t="inlineStr">
        <is>
          <t>eng</t>
        </is>
      </c>
      <c r="P1444" t="inlineStr">
        <is>
          <t>nyu</t>
        </is>
      </c>
      <c r="R1444" t="inlineStr">
        <is>
          <t xml:space="preserve">LB </t>
        </is>
      </c>
      <c r="S1444" t="n">
        <v>6</v>
      </c>
      <c r="T1444" t="n">
        <v>6</v>
      </c>
      <c r="U1444" t="inlineStr">
        <is>
          <t>2001-12-03</t>
        </is>
      </c>
      <c r="V1444" t="inlineStr">
        <is>
          <t>2001-12-03</t>
        </is>
      </c>
      <c r="W1444" t="inlineStr">
        <is>
          <t>1997-04-25</t>
        </is>
      </c>
      <c r="X1444" t="inlineStr">
        <is>
          <t>1997-04-25</t>
        </is>
      </c>
      <c r="Y1444" t="n">
        <v>278</v>
      </c>
      <c r="Z1444" t="n">
        <v>230</v>
      </c>
      <c r="AA1444" t="n">
        <v>236</v>
      </c>
      <c r="AB1444" t="n">
        <v>1</v>
      </c>
      <c r="AC1444" t="n">
        <v>1</v>
      </c>
      <c r="AD1444" t="n">
        <v>8</v>
      </c>
      <c r="AE1444" t="n">
        <v>8</v>
      </c>
      <c r="AF1444" t="n">
        <v>4</v>
      </c>
      <c r="AG1444" t="n">
        <v>4</v>
      </c>
      <c r="AH1444" t="n">
        <v>0</v>
      </c>
      <c r="AI1444" t="n">
        <v>0</v>
      </c>
      <c r="AJ1444" t="n">
        <v>4</v>
      </c>
      <c r="AK1444" t="n">
        <v>4</v>
      </c>
      <c r="AL1444" t="n">
        <v>0</v>
      </c>
      <c r="AM1444" t="n">
        <v>0</v>
      </c>
      <c r="AN1444" t="n">
        <v>0</v>
      </c>
      <c r="AO1444" t="n">
        <v>0</v>
      </c>
      <c r="AP1444" t="inlineStr">
        <is>
          <t>No</t>
        </is>
      </c>
      <c r="AQ1444" t="inlineStr">
        <is>
          <t>No</t>
        </is>
      </c>
      <c r="AS1444">
        <f>HYPERLINK("https://creighton-primo.hosted.exlibrisgroup.com/primo-explore/search?tab=default_tab&amp;search_scope=EVERYTHING&amp;vid=01CRU&amp;lang=en_US&amp;offset=0&amp;query=any,contains,991002884809702656","Catalog Record")</f>
        <v/>
      </c>
      <c r="AT1444">
        <f>HYPERLINK("http://www.worldcat.org/oclc/507929","WorldCat Record")</f>
        <v/>
      </c>
      <c r="AU1444" t="inlineStr">
        <is>
          <t>1458390:eng</t>
        </is>
      </c>
      <c r="AV1444" t="inlineStr">
        <is>
          <t>507929</t>
        </is>
      </c>
      <c r="AW1444" t="inlineStr">
        <is>
          <t>991002884809702656</t>
        </is>
      </c>
      <c r="AX1444" t="inlineStr">
        <is>
          <t>991002884809702656</t>
        </is>
      </c>
      <c r="AY1444" t="inlineStr">
        <is>
          <t>2260319970002656</t>
        </is>
      </c>
      <c r="AZ1444" t="inlineStr">
        <is>
          <t>BOOK</t>
        </is>
      </c>
      <c r="BB1444" t="inlineStr">
        <is>
          <t>9780802220745</t>
        </is>
      </c>
      <c r="BC1444" t="inlineStr">
        <is>
          <t>32285002599032</t>
        </is>
      </c>
      <c r="BD1444" t="inlineStr">
        <is>
          <t>893323494</t>
        </is>
      </c>
    </row>
    <row r="1445">
      <c r="A1445" t="inlineStr">
        <is>
          <t>No</t>
        </is>
      </c>
      <c r="B1445" t="inlineStr">
        <is>
          <t>LB885 .B69</t>
        </is>
      </c>
      <c r="C1445" t="inlineStr">
        <is>
          <t>0                      LB 0885000B  69</t>
        </is>
      </c>
      <c r="D1445" t="inlineStr">
        <is>
          <t>Philosophical perspectives for education [by] Carlton H. Bowyer.</t>
        </is>
      </c>
      <c r="F1445" t="inlineStr">
        <is>
          <t>No</t>
        </is>
      </c>
      <c r="G1445" t="inlineStr">
        <is>
          <t>1</t>
        </is>
      </c>
      <c r="H1445" t="inlineStr">
        <is>
          <t>No</t>
        </is>
      </c>
      <c r="I1445" t="inlineStr">
        <is>
          <t>No</t>
        </is>
      </c>
      <c r="J1445" t="inlineStr">
        <is>
          <t>0</t>
        </is>
      </c>
      <c r="K1445" t="inlineStr">
        <is>
          <t>Bowyer, Carlton H. (Carlton Herbert), 1926-</t>
        </is>
      </c>
      <c r="L1445" t="inlineStr">
        <is>
          <t>[Glenview, Ill.] Scott, Foresman [1970]</t>
        </is>
      </c>
      <c r="M1445" t="inlineStr">
        <is>
          <t>1970</t>
        </is>
      </c>
      <c r="O1445" t="inlineStr">
        <is>
          <t>eng</t>
        </is>
      </c>
      <c r="P1445" t="inlineStr">
        <is>
          <t>ilu</t>
        </is>
      </c>
      <c r="R1445" t="inlineStr">
        <is>
          <t xml:space="preserve">LB </t>
        </is>
      </c>
      <c r="S1445" t="n">
        <v>7</v>
      </c>
      <c r="T1445" t="n">
        <v>7</v>
      </c>
      <c r="U1445" t="inlineStr">
        <is>
          <t>2000-01-24</t>
        </is>
      </c>
      <c r="V1445" t="inlineStr">
        <is>
          <t>2000-01-24</t>
        </is>
      </c>
      <c r="W1445" t="inlineStr">
        <is>
          <t>1997-04-25</t>
        </is>
      </c>
      <c r="X1445" t="inlineStr">
        <is>
          <t>1997-04-25</t>
        </is>
      </c>
      <c r="Y1445" t="n">
        <v>477</v>
      </c>
      <c r="Z1445" t="n">
        <v>379</v>
      </c>
      <c r="AA1445" t="n">
        <v>382</v>
      </c>
      <c r="AB1445" t="n">
        <v>6</v>
      </c>
      <c r="AC1445" t="n">
        <v>6</v>
      </c>
      <c r="AD1445" t="n">
        <v>24</v>
      </c>
      <c r="AE1445" t="n">
        <v>24</v>
      </c>
      <c r="AF1445" t="n">
        <v>9</v>
      </c>
      <c r="AG1445" t="n">
        <v>9</v>
      </c>
      <c r="AH1445" t="n">
        <v>4</v>
      </c>
      <c r="AI1445" t="n">
        <v>4</v>
      </c>
      <c r="AJ1445" t="n">
        <v>14</v>
      </c>
      <c r="AK1445" t="n">
        <v>14</v>
      </c>
      <c r="AL1445" t="n">
        <v>4</v>
      </c>
      <c r="AM1445" t="n">
        <v>4</v>
      </c>
      <c r="AN1445" t="n">
        <v>0</v>
      </c>
      <c r="AO1445" t="n">
        <v>0</v>
      </c>
      <c r="AP1445" t="inlineStr">
        <is>
          <t>No</t>
        </is>
      </c>
      <c r="AQ1445" t="inlineStr">
        <is>
          <t>Yes</t>
        </is>
      </c>
      <c r="AR1445">
        <f>HYPERLINK("http://catalog.hathitrust.org/Record/001067510","HathiTrust Record")</f>
        <v/>
      </c>
      <c r="AS1445">
        <f>HYPERLINK("https://creighton-primo.hosted.exlibrisgroup.com/primo-explore/search?tab=default_tab&amp;search_scope=EVERYTHING&amp;vid=01CRU&amp;lang=en_US&amp;offset=0&amp;query=any,contains,991000654219702656","Catalog Record")</f>
        <v/>
      </c>
      <c r="AT1445">
        <f>HYPERLINK("http://www.worldcat.org/oclc/114332","WorldCat Record")</f>
        <v/>
      </c>
      <c r="AU1445" t="inlineStr">
        <is>
          <t>1230425:eng</t>
        </is>
      </c>
      <c r="AV1445" t="inlineStr">
        <is>
          <t>114332</t>
        </is>
      </c>
      <c r="AW1445" t="inlineStr">
        <is>
          <t>991000654219702656</t>
        </is>
      </c>
      <c r="AX1445" t="inlineStr">
        <is>
          <t>991000654219702656</t>
        </is>
      </c>
      <c r="AY1445" t="inlineStr">
        <is>
          <t>2259869610002656</t>
        </is>
      </c>
      <c r="AZ1445" t="inlineStr">
        <is>
          <t>BOOK</t>
        </is>
      </c>
      <c r="BC1445" t="inlineStr">
        <is>
          <t>32285002599057</t>
        </is>
      </c>
      <c r="BD1445" t="inlineStr">
        <is>
          <t>893714785</t>
        </is>
      </c>
    </row>
    <row r="1446">
      <c r="A1446" t="inlineStr">
        <is>
          <t>No</t>
        </is>
      </c>
      <c r="B1446" t="inlineStr">
        <is>
          <t>LB885 .C66 1980</t>
        </is>
      </c>
      <c r="C1446" t="inlineStr">
        <is>
          <t>0                      LB 0885000C  66          1980</t>
        </is>
      </c>
      <c r="D1446" t="inlineStr">
        <is>
          <t>George S. Counts, educator for a new age / edited by Lawrence J. Dennis and William Edward Eaton.</t>
        </is>
      </c>
      <c r="F1446" t="inlineStr">
        <is>
          <t>No</t>
        </is>
      </c>
      <c r="G1446" t="inlineStr">
        <is>
          <t>1</t>
        </is>
      </c>
      <c r="H1446" t="inlineStr">
        <is>
          <t>No</t>
        </is>
      </c>
      <c r="I1446" t="inlineStr">
        <is>
          <t>No</t>
        </is>
      </c>
      <c r="J1446" t="inlineStr">
        <is>
          <t>0</t>
        </is>
      </c>
      <c r="K1446" t="inlineStr">
        <is>
          <t>Counts, George S. (George Sylvester), 1889-1974.</t>
        </is>
      </c>
      <c r="L1446" t="inlineStr">
        <is>
          <t>Carbondale : Southern Illinois University Press ; London : Feffer &amp; Simons, 1980.</t>
        </is>
      </c>
      <c r="M1446" t="inlineStr">
        <is>
          <t>1980</t>
        </is>
      </c>
      <c r="O1446" t="inlineStr">
        <is>
          <t>eng</t>
        </is>
      </c>
      <c r="P1446" t="inlineStr">
        <is>
          <t>ilu</t>
        </is>
      </c>
      <c r="R1446" t="inlineStr">
        <is>
          <t xml:space="preserve">LB </t>
        </is>
      </c>
      <c r="S1446" t="n">
        <v>2</v>
      </c>
      <c r="T1446" t="n">
        <v>2</v>
      </c>
      <c r="U1446" t="inlineStr">
        <is>
          <t>2005-04-25</t>
        </is>
      </c>
      <c r="V1446" t="inlineStr">
        <is>
          <t>2005-04-25</t>
        </is>
      </c>
      <c r="W1446" t="inlineStr">
        <is>
          <t>1992-10-19</t>
        </is>
      </c>
      <c r="X1446" t="inlineStr">
        <is>
          <t>1992-10-19</t>
        </is>
      </c>
      <c r="Y1446" t="n">
        <v>455</v>
      </c>
      <c r="Z1446" t="n">
        <v>426</v>
      </c>
      <c r="AA1446" t="n">
        <v>428</v>
      </c>
      <c r="AB1446" t="n">
        <v>4</v>
      </c>
      <c r="AC1446" t="n">
        <v>4</v>
      </c>
      <c r="AD1446" t="n">
        <v>22</v>
      </c>
      <c r="AE1446" t="n">
        <v>22</v>
      </c>
      <c r="AF1446" t="n">
        <v>9</v>
      </c>
      <c r="AG1446" t="n">
        <v>9</v>
      </c>
      <c r="AH1446" t="n">
        <v>4</v>
      </c>
      <c r="AI1446" t="n">
        <v>4</v>
      </c>
      <c r="AJ1446" t="n">
        <v>12</v>
      </c>
      <c r="AK1446" t="n">
        <v>12</v>
      </c>
      <c r="AL1446" t="n">
        <v>3</v>
      </c>
      <c r="AM1446" t="n">
        <v>3</v>
      </c>
      <c r="AN1446" t="n">
        <v>0</v>
      </c>
      <c r="AO1446" t="n">
        <v>0</v>
      </c>
      <c r="AP1446" t="inlineStr">
        <is>
          <t>No</t>
        </is>
      </c>
      <c r="AQ1446" t="inlineStr">
        <is>
          <t>Yes</t>
        </is>
      </c>
      <c r="AR1446">
        <f>HYPERLINK("http://catalog.hathitrust.org/Record/000223657","HathiTrust Record")</f>
        <v/>
      </c>
      <c r="AS1446">
        <f>HYPERLINK("https://creighton-primo.hosted.exlibrisgroup.com/primo-explore/search?tab=default_tab&amp;search_scope=EVERYTHING&amp;vid=01CRU&amp;lang=en_US&amp;offset=0&amp;query=any,contains,991004885149702656","Catalog Record")</f>
        <v/>
      </c>
      <c r="AT1446">
        <f>HYPERLINK("http://www.worldcat.org/oclc/5831423","WorldCat Record")</f>
        <v/>
      </c>
      <c r="AU1446" t="inlineStr">
        <is>
          <t>467120:eng</t>
        </is>
      </c>
      <c r="AV1446" t="inlineStr">
        <is>
          <t>5831423</t>
        </is>
      </c>
      <c r="AW1446" t="inlineStr">
        <is>
          <t>991004885149702656</t>
        </is>
      </c>
      <c r="AX1446" t="inlineStr">
        <is>
          <t>991004885149702656</t>
        </is>
      </c>
      <c r="AY1446" t="inlineStr">
        <is>
          <t>2263296130002656</t>
        </is>
      </c>
      <c r="AZ1446" t="inlineStr">
        <is>
          <t>BOOK</t>
        </is>
      </c>
      <c r="BB1446" t="inlineStr">
        <is>
          <t>9780809309542</t>
        </is>
      </c>
      <c r="BC1446" t="inlineStr">
        <is>
          <t>32285001351815</t>
        </is>
      </c>
      <c r="BD1446" t="inlineStr">
        <is>
          <t>893776545</t>
        </is>
      </c>
    </row>
    <row r="1447">
      <c r="A1447" t="inlineStr">
        <is>
          <t>No</t>
        </is>
      </c>
      <c r="B1447" t="inlineStr">
        <is>
          <t>LB885 .J58</t>
        </is>
      </c>
      <c r="C1447" t="inlineStr">
        <is>
          <t>0                      LB 0885000J  58</t>
        </is>
      </c>
      <c r="D1447" t="inlineStr">
        <is>
          <t>A philosophy of education.</t>
        </is>
      </c>
      <c r="F1447" t="inlineStr">
        <is>
          <t>No</t>
        </is>
      </c>
      <c r="G1447" t="inlineStr">
        <is>
          <t>1</t>
        </is>
      </c>
      <c r="H1447" t="inlineStr">
        <is>
          <t>No</t>
        </is>
      </c>
      <c r="I1447" t="inlineStr">
        <is>
          <t>No</t>
        </is>
      </c>
      <c r="J1447" t="inlineStr">
        <is>
          <t>0</t>
        </is>
      </c>
      <c r="K1447" t="inlineStr">
        <is>
          <t>Johnston, Herbert, 1912-</t>
        </is>
      </c>
      <c r="L1447" t="inlineStr">
        <is>
          <t>New York, McGraw-Hill [1963]</t>
        </is>
      </c>
      <c r="M1447" t="inlineStr">
        <is>
          <t>1963</t>
        </is>
      </c>
      <c r="O1447" t="inlineStr">
        <is>
          <t>eng</t>
        </is>
      </c>
      <c r="P1447" t="inlineStr">
        <is>
          <t>nyu</t>
        </is>
      </c>
      <c r="Q1447" t="inlineStr">
        <is>
          <t>McGraw-Hill Catholic series in education</t>
        </is>
      </c>
      <c r="R1447" t="inlineStr">
        <is>
          <t xml:space="preserve">LB </t>
        </is>
      </c>
      <c r="S1447" t="n">
        <v>4</v>
      </c>
      <c r="T1447" t="n">
        <v>4</v>
      </c>
      <c r="U1447" t="inlineStr">
        <is>
          <t>2003-04-28</t>
        </is>
      </c>
      <c r="V1447" t="inlineStr">
        <is>
          <t>2003-04-28</t>
        </is>
      </c>
      <c r="W1447" t="inlineStr">
        <is>
          <t>1997-04-25</t>
        </is>
      </c>
      <c r="X1447" t="inlineStr">
        <is>
          <t>1997-04-25</t>
        </is>
      </c>
      <c r="Y1447" t="n">
        <v>479</v>
      </c>
      <c r="Z1447" t="n">
        <v>385</v>
      </c>
      <c r="AA1447" t="n">
        <v>393</v>
      </c>
      <c r="AB1447" t="n">
        <v>7</v>
      </c>
      <c r="AC1447" t="n">
        <v>7</v>
      </c>
      <c r="AD1447" t="n">
        <v>30</v>
      </c>
      <c r="AE1447" t="n">
        <v>30</v>
      </c>
      <c r="AF1447" t="n">
        <v>9</v>
      </c>
      <c r="AG1447" t="n">
        <v>9</v>
      </c>
      <c r="AH1447" t="n">
        <v>5</v>
      </c>
      <c r="AI1447" t="n">
        <v>5</v>
      </c>
      <c r="AJ1447" t="n">
        <v>16</v>
      </c>
      <c r="AK1447" t="n">
        <v>16</v>
      </c>
      <c r="AL1447" t="n">
        <v>5</v>
      </c>
      <c r="AM1447" t="n">
        <v>5</v>
      </c>
      <c r="AN1447" t="n">
        <v>0</v>
      </c>
      <c r="AO1447" t="n">
        <v>0</v>
      </c>
      <c r="AP1447" t="inlineStr">
        <is>
          <t>Yes</t>
        </is>
      </c>
      <c r="AQ1447" t="inlineStr">
        <is>
          <t>No</t>
        </is>
      </c>
      <c r="AR1447">
        <f>HYPERLINK("http://catalog.hathitrust.org/Record/001067528","HathiTrust Record")</f>
        <v/>
      </c>
      <c r="AS1447">
        <f>HYPERLINK("https://creighton-primo.hosted.exlibrisgroup.com/primo-explore/search?tab=default_tab&amp;search_scope=EVERYTHING&amp;vid=01CRU&amp;lang=en_US&amp;offset=0&amp;query=any,contains,991001091389702656","Catalog Record")</f>
        <v/>
      </c>
      <c r="AT1447">
        <f>HYPERLINK("http://www.worldcat.org/oclc/181262","WorldCat Record")</f>
        <v/>
      </c>
      <c r="AU1447" t="inlineStr">
        <is>
          <t>1323630:eng</t>
        </is>
      </c>
      <c r="AV1447" t="inlineStr">
        <is>
          <t>181262</t>
        </is>
      </c>
      <c r="AW1447" t="inlineStr">
        <is>
          <t>991001091389702656</t>
        </is>
      </c>
      <c r="AX1447" t="inlineStr">
        <is>
          <t>991001091389702656</t>
        </is>
      </c>
      <c r="AY1447" t="inlineStr">
        <is>
          <t>2272584990002656</t>
        </is>
      </c>
      <c r="AZ1447" t="inlineStr">
        <is>
          <t>BOOK</t>
        </is>
      </c>
      <c r="BC1447" t="inlineStr">
        <is>
          <t>32285002599123</t>
        </is>
      </c>
      <c r="BD1447" t="inlineStr">
        <is>
          <t>893596181</t>
        </is>
      </c>
    </row>
    <row r="1448">
      <c r="A1448" t="inlineStr">
        <is>
          <t>No</t>
        </is>
      </c>
      <c r="B1448" t="inlineStr">
        <is>
          <t>LB885 .K5</t>
        </is>
      </c>
      <c r="C1448" t="inlineStr">
        <is>
          <t>0                      LB 0885000K  5</t>
        </is>
      </c>
      <c r="D1448" t="inlineStr">
        <is>
          <t>Existentialism and education.</t>
        </is>
      </c>
      <c r="F1448" t="inlineStr">
        <is>
          <t>No</t>
        </is>
      </c>
      <c r="G1448" t="inlineStr">
        <is>
          <t>1</t>
        </is>
      </c>
      <c r="H1448" t="inlineStr">
        <is>
          <t>No</t>
        </is>
      </c>
      <c r="I1448" t="inlineStr">
        <is>
          <t>No</t>
        </is>
      </c>
      <c r="J1448" t="inlineStr">
        <is>
          <t>0</t>
        </is>
      </c>
      <c r="K1448" t="inlineStr">
        <is>
          <t>Kneller, George F. (George Frederick), 1908-</t>
        </is>
      </c>
      <c r="L1448" t="inlineStr">
        <is>
          <t>New York, Philosophical Library [1958]</t>
        </is>
      </c>
      <c r="M1448" t="inlineStr">
        <is>
          <t>1958</t>
        </is>
      </c>
      <c r="O1448" t="inlineStr">
        <is>
          <t>eng</t>
        </is>
      </c>
      <c r="P1448" t="inlineStr">
        <is>
          <t>nyu</t>
        </is>
      </c>
      <c r="R1448" t="inlineStr">
        <is>
          <t xml:space="preserve">LB </t>
        </is>
      </c>
      <c r="S1448" t="n">
        <v>2</v>
      </c>
      <c r="T1448" t="n">
        <v>2</v>
      </c>
      <c r="U1448" t="inlineStr">
        <is>
          <t>2009-06-03</t>
        </is>
      </c>
      <c r="V1448" t="inlineStr">
        <is>
          <t>2009-06-03</t>
        </is>
      </c>
      <c r="W1448" t="inlineStr">
        <is>
          <t>1997-04-25</t>
        </is>
      </c>
      <c r="X1448" t="inlineStr">
        <is>
          <t>1997-04-25</t>
        </is>
      </c>
      <c r="Y1448" t="n">
        <v>486</v>
      </c>
      <c r="Z1448" t="n">
        <v>431</v>
      </c>
      <c r="AA1448" t="n">
        <v>701</v>
      </c>
      <c r="AB1448" t="n">
        <v>6</v>
      </c>
      <c r="AC1448" t="n">
        <v>7</v>
      </c>
      <c r="AD1448" t="n">
        <v>22</v>
      </c>
      <c r="AE1448" t="n">
        <v>36</v>
      </c>
      <c r="AF1448" t="n">
        <v>4</v>
      </c>
      <c r="AG1448" t="n">
        <v>13</v>
      </c>
      <c r="AH1448" t="n">
        <v>8</v>
      </c>
      <c r="AI1448" t="n">
        <v>11</v>
      </c>
      <c r="AJ1448" t="n">
        <v>9</v>
      </c>
      <c r="AK1448" t="n">
        <v>15</v>
      </c>
      <c r="AL1448" t="n">
        <v>5</v>
      </c>
      <c r="AM1448" t="n">
        <v>6</v>
      </c>
      <c r="AN1448" t="n">
        <v>0</v>
      </c>
      <c r="AO1448" t="n">
        <v>0</v>
      </c>
      <c r="AP1448" t="inlineStr">
        <is>
          <t>No</t>
        </is>
      </c>
      <c r="AQ1448" t="inlineStr">
        <is>
          <t>Yes</t>
        </is>
      </c>
      <c r="AR1448">
        <f>HYPERLINK("http://catalog.hathitrust.org/Record/001117457","HathiTrust Record")</f>
        <v/>
      </c>
      <c r="AS1448">
        <f>HYPERLINK("https://creighton-primo.hosted.exlibrisgroup.com/primo-explore/search?tab=default_tab&amp;search_scope=EVERYTHING&amp;vid=01CRU&amp;lang=en_US&amp;offset=0&amp;query=any,contains,991003232949702656","Catalog Record")</f>
        <v/>
      </c>
      <c r="AT1448">
        <f>HYPERLINK("http://www.worldcat.org/oclc/757406","WorldCat Record")</f>
        <v/>
      </c>
      <c r="AU1448" t="inlineStr">
        <is>
          <t>1320927:eng</t>
        </is>
      </c>
      <c r="AV1448" t="inlineStr">
        <is>
          <t>757406</t>
        </is>
      </c>
      <c r="AW1448" t="inlineStr">
        <is>
          <t>991003232949702656</t>
        </is>
      </c>
      <c r="AX1448" t="inlineStr">
        <is>
          <t>991003232949702656</t>
        </is>
      </c>
      <c r="AY1448" t="inlineStr">
        <is>
          <t>2272441680002656</t>
        </is>
      </c>
      <c r="AZ1448" t="inlineStr">
        <is>
          <t>BOOK</t>
        </is>
      </c>
      <c r="BC1448" t="inlineStr">
        <is>
          <t>32285002599149</t>
        </is>
      </c>
      <c r="BD1448" t="inlineStr">
        <is>
          <t>893227828</t>
        </is>
      </c>
    </row>
    <row r="1449">
      <c r="A1449" t="inlineStr">
        <is>
          <t>No</t>
        </is>
      </c>
      <c r="B1449" t="inlineStr">
        <is>
          <t>LB885 .M2216</t>
        </is>
      </c>
      <c r="C1449" t="inlineStr">
        <is>
          <t>0                      LB 0885000M  2216</t>
        </is>
      </c>
      <c r="D1449" t="inlineStr">
        <is>
          <t>Philosophy of education / James E. McClellan.</t>
        </is>
      </c>
      <c r="F1449" t="inlineStr">
        <is>
          <t>No</t>
        </is>
      </c>
      <c r="G1449" t="inlineStr">
        <is>
          <t>1</t>
        </is>
      </c>
      <c r="H1449" t="inlineStr">
        <is>
          <t>No</t>
        </is>
      </c>
      <c r="I1449" t="inlineStr">
        <is>
          <t>No</t>
        </is>
      </c>
      <c r="J1449" t="inlineStr">
        <is>
          <t>0</t>
        </is>
      </c>
      <c r="K1449" t="inlineStr">
        <is>
          <t>McClellan, James E. (James Edward), 1922-</t>
        </is>
      </c>
      <c r="L1449" t="inlineStr">
        <is>
          <t>Englewood Cliffs, N.J. : Prentice-Hall, c1976.</t>
        </is>
      </c>
      <c r="M1449" t="inlineStr">
        <is>
          <t>1976</t>
        </is>
      </c>
      <c r="O1449" t="inlineStr">
        <is>
          <t>eng</t>
        </is>
      </c>
      <c r="P1449" t="inlineStr">
        <is>
          <t>nju</t>
        </is>
      </c>
      <c r="Q1449" t="inlineStr">
        <is>
          <t>Prentice-Hall foundations of philosophy series</t>
        </is>
      </c>
      <c r="R1449" t="inlineStr">
        <is>
          <t xml:space="preserve">LB </t>
        </is>
      </c>
      <c r="S1449" t="n">
        <v>26</v>
      </c>
      <c r="T1449" t="n">
        <v>26</v>
      </c>
      <c r="U1449" t="inlineStr">
        <is>
          <t>2007-04-17</t>
        </is>
      </c>
      <c r="V1449" t="inlineStr">
        <is>
          <t>2007-04-17</t>
        </is>
      </c>
      <c r="W1449" t="inlineStr">
        <is>
          <t>1997-04-25</t>
        </is>
      </c>
      <c r="X1449" t="inlineStr">
        <is>
          <t>1997-04-25</t>
        </is>
      </c>
      <c r="Y1449" t="n">
        <v>491</v>
      </c>
      <c r="Z1449" t="n">
        <v>347</v>
      </c>
      <c r="AA1449" t="n">
        <v>349</v>
      </c>
      <c r="AB1449" t="n">
        <v>1</v>
      </c>
      <c r="AC1449" t="n">
        <v>1</v>
      </c>
      <c r="AD1449" t="n">
        <v>12</v>
      </c>
      <c r="AE1449" t="n">
        <v>12</v>
      </c>
      <c r="AF1449" t="n">
        <v>4</v>
      </c>
      <c r="AG1449" t="n">
        <v>4</v>
      </c>
      <c r="AH1449" t="n">
        <v>4</v>
      </c>
      <c r="AI1449" t="n">
        <v>4</v>
      </c>
      <c r="AJ1449" t="n">
        <v>10</v>
      </c>
      <c r="AK1449" t="n">
        <v>10</v>
      </c>
      <c r="AL1449" t="n">
        <v>0</v>
      </c>
      <c r="AM1449" t="n">
        <v>0</v>
      </c>
      <c r="AN1449" t="n">
        <v>0</v>
      </c>
      <c r="AO1449" t="n">
        <v>0</v>
      </c>
      <c r="AP1449" t="inlineStr">
        <is>
          <t>No</t>
        </is>
      </c>
      <c r="AQ1449" t="inlineStr">
        <is>
          <t>Yes</t>
        </is>
      </c>
      <c r="AR1449">
        <f>HYPERLINK("http://catalog.hathitrust.org/Record/007470696","HathiTrust Record")</f>
        <v/>
      </c>
      <c r="AS1449">
        <f>HYPERLINK("https://creighton-primo.hosted.exlibrisgroup.com/primo-explore/search?tab=default_tab&amp;search_scope=EVERYTHING&amp;vid=01CRU&amp;lang=en_US&amp;offset=0&amp;query=any,contains,991003884619702656","Catalog Record")</f>
        <v/>
      </c>
      <c r="AT1449">
        <f>HYPERLINK("http://www.worldcat.org/oclc/1733724","WorldCat Record")</f>
        <v/>
      </c>
      <c r="AU1449" t="inlineStr">
        <is>
          <t>2708788:eng</t>
        </is>
      </c>
      <c r="AV1449" t="inlineStr">
        <is>
          <t>1733724</t>
        </is>
      </c>
      <c r="AW1449" t="inlineStr">
        <is>
          <t>991003884619702656</t>
        </is>
      </c>
      <c r="AX1449" t="inlineStr">
        <is>
          <t>991003884619702656</t>
        </is>
      </c>
      <c r="AY1449" t="inlineStr">
        <is>
          <t>2256754140002656</t>
        </is>
      </c>
      <c r="AZ1449" t="inlineStr">
        <is>
          <t>BOOK</t>
        </is>
      </c>
      <c r="BB1449" t="inlineStr">
        <is>
          <t>9780136633020</t>
        </is>
      </c>
      <c r="BC1449" t="inlineStr">
        <is>
          <t>32285002599164</t>
        </is>
      </c>
      <c r="BD1449" t="inlineStr">
        <is>
          <t>893787968</t>
        </is>
      </c>
    </row>
    <row r="1450">
      <c r="A1450" t="inlineStr">
        <is>
          <t>No</t>
        </is>
      </c>
      <c r="B1450" t="inlineStr">
        <is>
          <t>LB885 .M23 1981</t>
        </is>
      </c>
      <c r="C1450" t="inlineStr">
        <is>
          <t>0                      LB 0885000M  23          1981</t>
        </is>
      </c>
      <c r="D1450" t="inlineStr">
        <is>
          <t>Critical thinking and education / John E. McPeck.</t>
        </is>
      </c>
      <c r="F1450" t="inlineStr">
        <is>
          <t>No</t>
        </is>
      </c>
      <c r="G1450" t="inlineStr">
        <is>
          <t>1</t>
        </is>
      </c>
      <c r="H1450" t="inlineStr">
        <is>
          <t>No</t>
        </is>
      </c>
      <c r="I1450" t="inlineStr">
        <is>
          <t>No</t>
        </is>
      </c>
      <c r="J1450" t="inlineStr">
        <is>
          <t>0</t>
        </is>
      </c>
      <c r="K1450" t="inlineStr">
        <is>
          <t>McPeck, John E.</t>
        </is>
      </c>
      <c r="L1450" t="inlineStr">
        <is>
          <t>Oxford : Martin Robertson, 1981.</t>
        </is>
      </c>
      <c r="M1450" t="inlineStr">
        <is>
          <t>1981</t>
        </is>
      </c>
      <c r="O1450" t="inlineStr">
        <is>
          <t>eng</t>
        </is>
      </c>
      <c r="P1450" t="inlineStr">
        <is>
          <t>enk</t>
        </is>
      </c>
      <c r="Q1450" t="inlineStr">
        <is>
          <t>Issues and ideas in education series</t>
        </is>
      </c>
      <c r="R1450" t="inlineStr">
        <is>
          <t xml:space="preserve">LB </t>
        </is>
      </c>
      <c r="S1450" t="n">
        <v>3</v>
      </c>
      <c r="T1450" t="n">
        <v>3</v>
      </c>
      <c r="U1450" t="inlineStr">
        <is>
          <t>2004-01-16</t>
        </is>
      </c>
      <c r="V1450" t="inlineStr">
        <is>
          <t>2004-01-16</t>
        </is>
      </c>
      <c r="W1450" t="inlineStr">
        <is>
          <t>1990-07-02</t>
        </is>
      </c>
      <c r="X1450" t="inlineStr">
        <is>
          <t>1990-07-02</t>
        </is>
      </c>
      <c r="Y1450" t="n">
        <v>194</v>
      </c>
      <c r="Z1450" t="n">
        <v>60</v>
      </c>
      <c r="AA1450" t="n">
        <v>463</v>
      </c>
      <c r="AB1450" t="n">
        <v>2</v>
      </c>
      <c r="AC1450" t="n">
        <v>2</v>
      </c>
      <c r="AD1450" t="n">
        <v>2</v>
      </c>
      <c r="AE1450" t="n">
        <v>17</v>
      </c>
      <c r="AF1450" t="n">
        <v>0</v>
      </c>
      <c r="AG1450" t="n">
        <v>7</v>
      </c>
      <c r="AH1450" t="n">
        <v>0</v>
      </c>
      <c r="AI1450" t="n">
        <v>4</v>
      </c>
      <c r="AJ1450" t="n">
        <v>1</v>
      </c>
      <c r="AK1450" t="n">
        <v>11</v>
      </c>
      <c r="AL1450" t="n">
        <v>1</v>
      </c>
      <c r="AM1450" t="n">
        <v>1</v>
      </c>
      <c r="AN1450" t="n">
        <v>0</v>
      </c>
      <c r="AO1450" t="n">
        <v>0</v>
      </c>
      <c r="AP1450" t="inlineStr">
        <is>
          <t>No</t>
        </is>
      </c>
      <c r="AQ1450" t="inlineStr">
        <is>
          <t>No</t>
        </is>
      </c>
      <c r="AS1450">
        <f>HYPERLINK("https://creighton-primo.hosted.exlibrisgroup.com/primo-explore/search?tab=default_tab&amp;search_scope=EVERYTHING&amp;vid=01CRU&amp;lang=en_US&amp;offset=0&amp;query=any,contains,991005209579702656","Catalog Record")</f>
        <v/>
      </c>
      <c r="AT1450">
        <f>HYPERLINK("http://www.worldcat.org/oclc/8151587","WorldCat Record")</f>
        <v/>
      </c>
      <c r="AU1450" t="inlineStr">
        <is>
          <t>442054:eng</t>
        </is>
      </c>
      <c r="AV1450" t="inlineStr">
        <is>
          <t>8151587</t>
        </is>
      </c>
      <c r="AW1450" t="inlineStr">
        <is>
          <t>991005209579702656</t>
        </is>
      </c>
      <c r="AX1450" t="inlineStr">
        <is>
          <t>991005209579702656</t>
        </is>
      </c>
      <c r="AY1450" t="inlineStr">
        <is>
          <t>2268900130002656</t>
        </is>
      </c>
      <c r="AZ1450" t="inlineStr">
        <is>
          <t>BOOK</t>
        </is>
      </c>
      <c r="BB1450" t="inlineStr">
        <is>
          <t>9780855203832</t>
        </is>
      </c>
      <c r="BC1450" t="inlineStr">
        <is>
          <t>32285000220441</t>
        </is>
      </c>
      <c r="BD1450" t="inlineStr">
        <is>
          <t>893260726</t>
        </is>
      </c>
    </row>
    <row r="1451">
      <c r="A1451" t="inlineStr">
        <is>
          <t>No</t>
        </is>
      </c>
      <c r="B1451" t="inlineStr">
        <is>
          <t>LB885 .M2415</t>
        </is>
      </c>
      <c r="C1451" t="inlineStr">
        <is>
          <t>0                      LB 0885000M  2415</t>
        </is>
      </c>
      <c r="D1451" t="inlineStr">
        <is>
          <t>Philosophical analysis in education [by] John B. Magee.</t>
        </is>
      </c>
      <c r="F1451" t="inlineStr">
        <is>
          <t>No</t>
        </is>
      </c>
      <c r="G1451" t="inlineStr">
        <is>
          <t>1</t>
        </is>
      </c>
      <c r="H1451" t="inlineStr">
        <is>
          <t>No</t>
        </is>
      </c>
      <c r="I1451" t="inlineStr">
        <is>
          <t>No</t>
        </is>
      </c>
      <c r="J1451" t="inlineStr">
        <is>
          <t>0</t>
        </is>
      </c>
      <c r="K1451" t="inlineStr">
        <is>
          <t>Magee, John B. (John Benjamin), 1917-</t>
        </is>
      </c>
      <c r="L1451" t="inlineStr">
        <is>
          <t>New York, Harper &amp; Row [1971]</t>
        </is>
      </c>
      <c r="M1451" t="inlineStr">
        <is>
          <t>1971</t>
        </is>
      </c>
      <c r="O1451" t="inlineStr">
        <is>
          <t>eng</t>
        </is>
      </c>
      <c r="P1451" t="inlineStr">
        <is>
          <t>nyu</t>
        </is>
      </c>
      <c r="Q1451" t="inlineStr">
        <is>
          <t>Harper's series on teaching</t>
        </is>
      </c>
      <c r="R1451" t="inlineStr">
        <is>
          <t xml:space="preserve">LB </t>
        </is>
      </c>
      <c r="S1451" t="n">
        <v>5</v>
      </c>
      <c r="T1451" t="n">
        <v>5</v>
      </c>
      <c r="U1451" t="inlineStr">
        <is>
          <t>2006-06-12</t>
        </is>
      </c>
      <c r="V1451" t="inlineStr">
        <is>
          <t>2006-06-12</t>
        </is>
      </c>
      <c r="W1451" t="inlineStr">
        <is>
          <t>1997-04-25</t>
        </is>
      </c>
      <c r="X1451" t="inlineStr">
        <is>
          <t>1997-04-25</t>
        </is>
      </c>
      <c r="Y1451" t="n">
        <v>307</v>
      </c>
      <c r="Z1451" t="n">
        <v>208</v>
      </c>
      <c r="AA1451" t="n">
        <v>209</v>
      </c>
      <c r="AB1451" t="n">
        <v>1</v>
      </c>
      <c r="AC1451" t="n">
        <v>1</v>
      </c>
      <c r="AD1451" t="n">
        <v>8</v>
      </c>
      <c r="AE1451" t="n">
        <v>8</v>
      </c>
      <c r="AF1451" t="n">
        <v>3</v>
      </c>
      <c r="AG1451" t="n">
        <v>3</v>
      </c>
      <c r="AH1451" t="n">
        <v>1</v>
      </c>
      <c r="AI1451" t="n">
        <v>1</v>
      </c>
      <c r="AJ1451" t="n">
        <v>6</v>
      </c>
      <c r="AK1451" t="n">
        <v>6</v>
      </c>
      <c r="AL1451" t="n">
        <v>0</v>
      </c>
      <c r="AM1451" t="n">
        <v>0</v>
      </c>
      <c r="AN1451" t="n">
        <v>0</v>
      </c>
      <c r="AO1451" t="n">
        <v>0</v>
      </c>
      <c r="AP1451" t="inlineStr">
        <is>
          <t>No</t>
        </is>
      </c>
      <c r="AQ1451" t="inlineStr">
        <is>
          <t>Yes</t>
        </is>
      </c>
      <c r="AR1451">
        <f>HYPERLINK("http://catalog.hathitrust.org/Record/007475628","HathiTrust Record")</f>
        <v/>
      </c>
      <c r="AS1451">
        <f>HYPERLINK("https://creighton-primo.hosted.exlibrisgroup.com/primo-explore/search?tab=default_tab&amp;search_scope=EVERYTHING&amp;vid=01CRU&amp;lang=en_US&amp;offset=0&amp;query=any,contains,991001282749702656","Catalog Record")</f>
        <v/>
      </c>
      <c r="AT1451">
        <f>HYPERLINK("http://www.worldcat.org/oclc/215346","WorldCat Record")</f>
        <v/>
      </c>
      <c r="AU1451" t="inlineStr">
        <is>
          <t>615822:eng</t>
        </is>
      </c>
      <c r="AV1451" t="inlineStr">
        <is>
          <t>215346</t>
        </is>
      </c>
      <c r="AW1451" t="inlineStr">
        <is>
          <t>991001282749702656</t>
        </is>
      </c>
      <c r="AX1451" t="inlineStr">
        <is>
          <t>991001282749702656</t>
        </is>
      </c>
      <c r="AY1451" t="inlineStr">
        <is>
          <t>2255844780002656</t>
        </is>
      </c>
      <c r="AZ1451" t="inlineStr">
        <is>
          <t>BOOK</t>
        </is>
      </c>
      <c r="BB1451" t="inlineStr">
        <is>
          <t>9780060441647</t>
        </is>
      </c>
      <c r="BC1451" t="inlineStr">
        <is>
          <t>32285002599172</t>
        </is>
      </c>
      <c r="BD1451" t="inlineStr">
        <is>
          <t>893231871</t>
        </is>
      </c>
    </row>
    <row r="1452">
      <c r="A1452" t="inlineStr">
        <is>
          <t>No</t>
        </is>
      </c>
      <c r="B1452" t="inlineStr">
        <is>
          <t>LB885 .M2517</t>
        </is>
      </c>
      <c r="C1452" t="inlineStr">
        <is>
          <t>0                      LB 0885000M  2517</t>
        </is>
      </c>
      <c r="D1452" t="inlineStr">
        <is>
          <t>The teacher and his philosophy, by John P. Marshall.</t>
        </is>
      </c>
      <c r="F1452" t="inlineStr">
        <is>
          <t>No</t>
        </is>
      </c>
      <c r="G1452" t="inlineStr">
        <is>
          <t>1</t>
        </is>
      </c>
      <c r="H1452" t="inlineStr">
        <is>
          <t>No</t>
        </is>
      </c>
      <c r="I1452" t="inlineStr">
        <is>
          <t>No</t>
        </is>
      </c>
      <c r="J1452" t="inlineStr">
        <is>
          <t>0</t>
        </is>
      </c>
      <c r="K1452" t="inlineStr">
        <is>
          <t>Marshall, John P.</t>
        </is>
      </c>
      <c r="L1452" t="inlineStr">
        <is>
          <t>Lincoln, Neb., Professional Educators Publications [1973]</t>
        </is>
      </c>
      <c r="M1452" t="inlineStr">
        <is>
          <t>1973</t>
        </is>
      </c>
      <c r="O1452" t="inlineStr">
        <is>
          <t>eng</t>
        </is>
      </c>
      <c r="P1452" t="inlineStr">
        <is>
          <t>nbu</t>
        </is>
      </c>
      <c r="Q1452" t="inlineStr">
        <is>
          <t>The Professional education series</t>
        </is>
      </c>
      <c r="R1452" t="inlineStr">
        <is>
          <t xml:space="preserve">LB </t>
        </is>
      </c>
      <c r="S1452" t="n">
        <v>8</v>
      </c>
      <c r="T1452" t="n">
        <v>8</v>
      </c>
      <c r="U1452" t="inlineStr">
        <is>
          <t>2008-04-16</t>
        </is>
      </c>
      <c r="V1452" t="inlineStr">
        <is>
          <t>2008-04-16</t>
        </is>
      </c>
      <c r="W1452" t="inlineStr">
        <is>
          <t>1997-04-25</t>
        </is>
      </c>
      <c r="X1452" t="inlineStr">
        <is>
          <t>1997-04-25</t>
        </is>
      </c>
      <c r="Y1452" t="n">
        <v>384</v>
      </c>
      <c r="Z1452" t="n">
        <v>352</v>
      </c>
      <c r="AA1452" t="n">
        <v>355</v>
      </c>
      <c r="AB1452" t="n">
        <v>4</v>
      </c>
      <c r="AC1452" t="n">
        <v>4</v>
      </c>
      <c r="AD1452" t="n">
        <v>22</v>
      </c>
      <c r="AE1452" t="n">
        <v>22</v>
      </c>
      <c r="AF1452" t="n">
        <v>10</v>
      </c>
      <c r="AG1452" t="n">
        <v>10</v>
      </c>
      <c r="AH1452" t="n">
        <v>4</v>
      </c>
      <c r="AI1452" t="n">
        <v>4</v>
      </c>
      <c r="AJ1452" t="n">
        <v>10</v>
      </c>
      <c r="AK1452" t="n">
        <v>10</v>
      </c>
      <c r="AL1452" t="n">
        <v>3</v>
      </c>
      <c r="AM1452" t="n">
        <v>3</v>
      </c>
      <c r="AN1452" t="n">
        <v>0</v>
      </c>
      <c r="AO1452" t="n">
        <v>0</v>
      </c>
      <c r="AP1452" t="inlineStr">
        <is>
          <t>No</t>
        </is>
      </c>
      <c r="AQ1452" t="inlineStr">
        <is>
          <t>Yes</t>
        </is>
      </c>
      <c r="AR1452">
        <f>HYPERLINK("http://catalog.hathitrust.org/Record/004423109","HathiTrust Record")</f>
        <v/>
      </c>
      <c r="AS1452">
        <f>HYPERLINK("https://creighton-primo.hosted.exlibrisgroup.com/primo-explore/search?tab=default_tab&amp;search_scope=EVERYTHING&amp;vid=01CRU&amp;lang=en_US&amp;offset=0&amp;query=any,contains,991003240409702656","Catalog Record")</f>
        <v/>
      </c>
      <c r="AT1452">
        <f>HYPERLINK("http://www.worldcat.org/oclc/763461","WorldCat Record")</f>
        <v/>
      </c>
      <c r="AU1452" t="inlineStr">
        <is>
          <t>1646544:eng</t>
        </is>
      </c>
      <c r="AV1452" t="inlineStr">
        <is>
          <t>763461</t>
        </is>
      </c>
      <c r="AW1452" t="inlineStr">
        <is>
          <t>991003240409702656</t>
        </is>
      </c>
      <c r="AX1452" t="inlineStr">
        <is>
          <t>991003240409702656</t>
        </is>
      </c>
      <c r="AY1452" t="inlineStr">
        <is>
          <t>2266578970002656</t>
        </is>
      </c>
      <c r="AZ1452" t="inlineStr">
        <is>
          <t>BOOK</t>
        </is>
      </c>
      <c r="BB1452" t="inlineStr">
        <is>
          <t>9780882240275</t>
        </is>
      </c>
      <c r="BC1452" t="inlineStr">
        <is>
          <t>32285002599198</t>
        </is>
      </c>
      <c r="BD1452" t="inlineStr">
        <is>
          <t>893874567</t>
        </is>
      </c>
    </row>
    <row r="1453">
      <c r="A1453" t="inlineStr">
        <is>
          <t>No</t>
        </is>
      </c>
      <c r="B1453" t="inlineStr">
        <is>
          <t>LB885 .M66</t>
        </is>
      </c>
      <c r="C1453" t="inlineStr">
        <is>
          <t>0                      LB 0885000M  66</t>
        </is>
      </c>
      <c r="D1453" t="inlineStr">
        <is>
          <t>Existentialism in education: what it means.</t>
        </is>
      </c>
      <c r="F1453" t="inlineStr">
        <is>
          <t>No</t>
        </is>
      </c>
      <c r="G1453" t="inlineStr">
        <is>
          <t>1</t>
        </is>
      </c>
      <c r="H1453" t="inlineStr">
        <is>
          <t>No</t>
        </is>
      </c>
      <c r="I1453" t="inlineStr">
        <is>
          <t>No</t>
        </is>
      </c>
      <c r="J1453" t="inlineStr">
        <is>
          <t>0</t>
        </is>
      </c>
      <c r="K1453" t="inlineStr">
        <is>
          <t>Morris, Van Cleve.</t>
        </is>
      </c>
      <c r="L1453" t="inlineStr">
        <is>
          <t>New York, Harper &amp; Row [c1966]</t>
        </is>
      </c>
      <c r="M1453" t="inlineStr">
        <is>
          <t>1966</t>
        </is>
      </c>
      <c r="O1453" t="inlineStr">
        <is>
          <t>eng</t>
        </is>
      </c>
      <c r="P1453" t="inlineStr">
        <is>
          <t>nyu</t>
        </is>
      </c>
      <c r="Q1453" t="inlineStr">
        <is>
          <t>Harper's series on teaching</t>
        </is>
      </c>
      <c r="R1453" t="inlineStr">
        <is>
          <t xml:space="preserve">LB </t>
        </is>
      </c>
      <c r="S1453" t="n">
        <v>12</v>
      </c>
      <c r="T1453" t="n">
        <v>12</v>
      </c>
      <c r="U1453" t="inlineStr">
        <is>
          <t>2009-06-03</t>
        </is>
      </c>
      <c r="V1453" t="inlineStr">
        <is>
          <t>2009-06-03</t>
        </is>
      </c>
      <c r="W1453" t="inlineStr">
        <is>
          <t>1997-04-25</t>
        </is>
      </c>
      <c r="X1453" t="inlineStr">
        <is>
          <t>1997-04-25</t>
        </is>
      </c>
      <c r="Y1453" t="n">
        <v>975</v>
      </c>
      <c r="Z1453" t="n">
        <v>842</v>
      </c>
      <c r="AA1453" t="n">
        <v>882</v>
      </c>
      <c r="AB1453" t="n">
        <v>12</v>
      </c>
      <c r="AC1453" t="n">
        <v>13</v>
      </c>
      <c r="AD1453" t="n">
        <v>36</v>
      </c>
      <c r="AE1453" t="n">
        <v>38</v>
      </c>
      <c r="AF1453" t="n">
        <v>15</v>
      </c>
      <c r="AG1453" t="n">
        <v>16</v>
      </c>
      <c r="AH1453" t="n">
        <v>8</v>
      </c>
      <c r="AI1453" t="n">
        <v>8</v>
      </c>
      <c r="AJ1453" t="n">
        <v>16</v>
      </c>
      <c r="AK1453" t="n">
        <v>16</v>
      </c>
      <c r="AL1453" t="n">
        <v>5</v>
      </c>
      <c r="AM1453" t="n">
        <v>6</v>
      </c>
      <c r="AN1453" t="n">
        <v>0</v>
      </c>
      <c r="AO1453" t="n">
        <v>0</v>
      </c>
      <c r="AP1453" t="inlineStr">
        <is>
          <t>No</t>
        </is>
      </c>
      <c r="AQ1453" t="inlineStr">
        <is>
          <t>Yes</t>
        </is>
      </c>
      <c r="AR1453">
        <f>HYPERLINK("http://catalog.hathitrust.org/Record/001117458","HathiTrust Record")</f>
        <v/>
      </c>
      <c r="AS1453">
        <f>HYPERLINK("https://creighton-primo.hosted.exlibrisgroup.com/primo-explore/search?tab=default_tab&amp;search_scope=EVERYTHING&amp;vid=01CRU&amp;lang=en_US&amp;offset=0&amp;query=any,contains,991003180679702656","Catalog Record")</f>
        <v/>
      </c>
      <c r="AT1453">
        <f>HYPERLINK("http://www.worldcat.org/oclc/711713","WorldCat Record")</f>
        <v/>
      </c>
      <c r="AU1453" t="inlineStr">
        <is>
          <t>1659996:eng</t>
        </is>
      </c>
      <c r="AV1453" t="inlineStr">
        <is>
          <t>711713</t>
        </is>
      </c>
      <c r="AW1453" t="inlineStr">
        <is>
          <t>991003180679702656</t>
        </is>
      </c>
      <c r="AX1453" t="inlineStr">
        <is>
          <t>991003180679702656</t>
        </is>
      </c>
      <c r="AY1453" t="inlineStr">
        <is>
          <t>2261846280002656</t>
        </is>
      </c>
      <c r="AZ1453" t="inlineStr">
        <is>
          <t>BOOK</t>
        </is>
      </c>
      <c r="BC1453" t="inlineStr">
        <is>
          <t>32285002599248</t>
        </is>
      </c>
      <c r="BD1453" t="inlineStr">
        <is>
          <t>893336220</t>
        </is>
      </c>
    </row>
    <row r="1454">
      <c r="A1454" t="inlineStr">
        <is>
          <t>No</t>
        </is>
      </c>
      <c r="B1454" t="inlineStr">
        <is>
          <t>LB885 .M67 1976</t>
        </is>
      </c>
      <c r="C1454" t="inlineStr">
        <is>
          <t>0                      LB 0885000M  67          1976</t>
        </is>
      </c>
      <c r="D1454" t="inlineStr">
        <is>
          <t>Philosophy and the American school : an introduction to the philosophy of education / Van Cleve Morris, Young Pai.</t>
        </is>
      </c>
      <c r="F1454" t="inlineStr">
        <is>
          <t>No</t>
        </is>
      </c>
      <c r="G1454" t="inlineStr">
        <is>
          <t>1</t>
        </is>
      </c>
      <c r="H1454" t="inlineStr">
        <is>
          <t>No</t>
        </is>
      </c>
      <c r="I1454" t="inlineStr">
        <is>
          <t>No</t>
        </is>
      </c>
      <c r="J1454" t="inlineStr">
        <is>
          <t>0</t>
        </is>
      </c>
      <c r="K1454" t="inlineStr">
        <is>
          <t>Morris, Van Cleve.</t>
        </is>
      </c>
      <c r="L1454" t="inlineStr">
        <is>
          <t>Boston : Houghton Mifflin, c1976.</t>
        </is>
      </c>
      <c r="M1454" t="inlineStr">
        <is>
          <t>1976</t>
        </is>
      </c>
      <c r="N1454" t="inlineStr">
        <is>
          <t>2d ed.</t>
        </is>
      </c>
      <c r="O1454" t="inlineStr">
        <is>
          <t>eng</t>
        </is>
      </c>
      <c r="P1454" t="inlineStr">
        <is>
          <t>mau</t>
        </is>
      </c>
      <c r="R1454" t="inlineStr">
        <is>
          <t xml:space="preserve">LB </t>
        </is>
      </c>
      <c r="S1454" t="n">
        <v>8</v>
      </c>
      <c r="T1454" t="n">
        <v>8</v>
      </c>
      <c r="U1454" t="inlineStr">
        <is>
          <t>2006-04-19</t>
        </is>
      </c>
      <c r="V1454" t="inlineStr">
        <is>
          <t>2006-04-19</t>
        </is>
      </c>
      <c r="W1454" t="inlineStr">
        <is>
          <t>1991-06-26</t>
        </is>
      </c>
      <c r="X1454" t="inlineStr">
        <is>
          <t>1991-06-26</t>
        </is>
      </c>
      <c r="Y1454" t="n">
        <v>385</v>
      </c>
      <c r="Z1454" t="n">
        <v>335</v>
      </c>
      <c r="AA1454" t="n">
        <v>814</v>
      </c>
      <c r="AB1454" t="n">
        <v>1</v>
      </c>
      <c r="AC1454" t="n">
        <v>6</v>
      </c>
      <c r="AD1454" t="n">
        <v>14</v>
      </c>
      <c r="AE1454" t="n">
        <v>34</v>
      </c>
      <c r="AF1454" t="n">
        <v>5</v>
      </c>
      <c r="AG1454" t="n">
        <v>10</v>
      </c>
      <c r="AH1454" t="n">
        <v>1</v>
      </c>
      <c r="AI1454" t="n">
        <v>7</v>
      </c>
      <c r="AJ1454" t="n">
        <v>11</v>
      </c>
      <c r="AK1454" t="n">
        <v>17</v>
      </c>
      <c r="AL1454" t="n">
        <v>0</v>
      </c>
      <c r="AM1454" t="n">
        <v>5</v>
      </c>
      <c r="AN1454" t="n">
        <v>0</v>
      </c>
      <c r="AO1454" t="n">
        <v>0</v>
      </c>
      <c r="AP1454" t="inlineStr">
        <is>
          <t>No</t>
        </is>
      </c>
      <c r="AQ1454" t="inlineStr">
        <is>
          <t>No</t>
        </is>
      </c>
      <c r="AS1454">
        <f>HYPERLINK("https://creighton-primo.hosted.exlibrisgroup.com/primo-explore/search?tab=default_tab&amp;search_scope=EVERYTHING&amp;vid=01CRU&amp;lang=en_US&amp;offset=0&amp;query=any,contains,991003977879702656","Catalog Record")</f>
        <v/>
      </c>
      <c r="AT1454">
        <f>HYPERLINK("http://www.worldcat.org/oclc/2011458","WorldCat Record")</f>
        <v/>
      </c>
      <c r="AU1454" t="inlineStr">
        <is>
          <t>467694:eng</t>
        </is>
      </c>
      <c r="AV1454" t="inlineStr">
        <is>
          <t>2011458</t>
        </is>
      </c>
      <c r="AW1454" t="inlineStr">
        <is>
          <t>991003977879702656</t>
        </is>
      </c>
      <c r="AX1454" t="inlineStr">
        <is>
          <t>991003977879702656</t>
        </is>
      </c>
      <c r="AY1454" t="inlineStr">
        <is>
          <t>2268321800002656</t>
        </is>
      </c>
      <c r="AZ1454" t="inlineStr">
        <is>
          <t>BOOK</t>
        </is>
      </c>
      <c r="BB1454" t="inlineStr">
        <is>
          <t>9780395186206</t>
        </is>
      </c>
      <c r="BC1454" t="inlineStr">
        <is>
          <t>32285000633080</t>
        </is>
      </c>
      <c r="BD1454" t="inlineStr">
        <is>
          <t>893806493</t>
        </is>
      </c>
    </row>
    <row r="1455">
      <c r="A1455" t="inlineStr">
        <is>
          <t>No</t>
        </is>
      </c>
      <c r="B1455" t="inlineStr">
        <is>
          <t>LB885 .M73</t>
        </is>
      </c>
      <c r="C1455" t="inlineStr">
        <is>
          <t>0                      LB 0885000M  73</t>
        </is>
      </c>
      <c r="D1455" t="inlineStr">
        <is>
          <t>A synoptic philosophy of education : toward perspective, synthesis, and creativity / [by] Arthur W. Munk.</t>
        </is>
      </c>
      <c r="F1455" t="inlineStr">
        <is>
          <t>No</t>
        </is>
      </c>
      <c r="G1455" t="inlineStr">
        <is>
          <t>1</t>
        </is>
      </c>
      <c r="H1455" t="inlineStr">
        <is>
          <t>No</t>
        </is>
      </c>
      <c r="I1455" t="inlineStr">
        <is>
          <t>No</t>
        </is>
      </c>
      <c r="J1455" t="inlineStr">
        <is>
          <t>0</t>
        </is>
      </c>
      <c r="K1455" t="inlineStr">
        <is>
          <t>Munk, Arthur W.</t>
        </is>
      </c>
      <c r="L1455" t="inlineStr">
        <is>
          <t>New York, Abingdon Press [1965]</t>
        </is>
      </c>
      <c r="M1455" t="inlineStr">
        <is>
          <t>1965</t>
        </is>
      </c>
      <c r="O1455" t="inlineStr">
        <is>
          <t>eng</t>
        </is>
      </c>
      <c r="P1455" t="inlineStr">
        <is>
          <t>nyu</t>
        </is>
      </c>
      <c r="R1455" t="inlineStr">
        <is>
          <t xml:space="preserve">LB </t>
        </is>
      </c>
      <c r="S1455" t="n">
        <v>5</v>
      </c>
      <c r="T1455" t="n">
        <v>5</v>
      </c>
      <c r="U1455" t="inlineStr">
        <is>
          <t>2008-04-16</t>
        </is>
      </c>
      <c r="V1455" t="inlineStr">
        <is>
          <t>2008-04-16</t>
        </is>
      </c>
      <c r="W1455" t="inlineStr">
        <is>
          <t>1997-04-21</t>
        </is>
      </c>
      <c r="X1455" t="inlineStr">
        <is>
          <t>1997-04-21</t>
        </is>
      </c>
      <c r="Y1455" t="n">
        <v>468</v>
      </c>
      <c r="Z1455" t="n">
        <v>440</v>
      </c>
      <c r="AA1455" t="n">
        <v>441</v>
      </c>
      <c r="AB1455" t="n">
        <v>5</v>
      </c>
      <c r="AC1455" t="n">
        <v>5</v>
      </c>
      <c r="AD1455" t="n">
        <v>16</v>
      </c>
      <c r="AE1455" t="n">
        <v>16</v>
      </c>
      <c r="AF1455" t="n">
        <v>8</v>
      </c>
      <c r="AG1455" t="n">
        <v>8</v>
      </c>
      <c r="AH1455" t="n">
        <v>0</v>
      </c>
      <c r="AI1455" t="n">
        <v>0</v>
      </c>
      <c r="AJ1455" t="n">
        <v>7</v>
      </c>
      <c r="AK1455" t="n">
        <v>7</v>
      </c>
      <c r="AL1455" t="n">
        <v>4</v>
      </c>
      <c r="AM1455" t="n">
        <v>4</v>
      </c>
      <c r="AN1455" t="n">
        <v>0</v>
      </c>
      <c r="AO1455" t="n">
        <v>0</v>
      </c>
      <c r="AP1455" t="inlineStr">
        <is>
          <t>No</t>
        </is>
      </c>
      <c r="AQ1455" t="inlineStr">
        <is>
          <t>Yes</t>
        </is>
      </c>
      <c r="AR1455">
        <f>HYPERLINK("http://catalog.hathitrust.org/Record/001067543","HathiTrust Record")</f>
        <v/>
      </c>
      <c r="AS1455">
        <f>HYPERLINK("https://creighton-primo.hosted.exlibrisgroup.com/primo-explore/search?tab=default_tab&amp;search_scope=EVERYTHING&amp;vid=01CRU&amp;lang=en_US&amp;offset=0&amp;query=any,contains,991001059269702656","Catalog Record")</f>
        <v/>
      </c>
      <c r="AT1455">
        <f>HYPERLINK("http://www.worldcat.org/oclc/177976","WorldCat Record")</f>
        <v/>
      </c>
      <c r="AU1455" t="inlineStr">
        <is>
          <t>1315549:eng</t>
        </is>
      </c>
      <c r="AV1455" t="inlineStr">
        <is>
          <t>177976</t>
        </is>
      </c>
      <c r="AW1455" t="inlineStr">
        <is>
          <t>991001059269702656</t>
        </is>
      </c>
      <c r="AX1455" t="inlineStr">
        <is>
          <t>991001059269702656</t>
        </is>
      </c>
      <c r="AY1455" t="inlineStr">
        <is>
          <t>2266304300002656</t>
        </is>
      </c>
      <c r="AZ1455" t="inlineStr">
        <is>
          <t>BOOK</t>
        </is>
      </c>
      <c r="BC1455" t="inlineStr">
        <is>
          <t>32285002559507</t>
        </is>
      </c>
      <c r="BD1455" t="inlineStr">
        <is>
          <t>893327847</t>
        </is>
      </c>
    </row>
    <row r="1456">
      <c r="A1456" t="inlineStr">
        <is>
          <t>No</t>
        </is>
      </c>
      <c r="B1456" t="inlineStr">
        <is>
          <t>LB885 .N4</t>
        </is>
      </c>
      <c r="C1456" t="inlineStr">
        <is>
          <t>0                      LB 0885000N  4</t>
        </is>
      </c>
      <c r="D1456" t="inlineStr">
        <is>
          <t>Philosophy and American education [by] Frederick C. Neff.</t>
        </is>
      </c>
      <c r="F1456" t="inlineStr">
        <is>
          <t>No</t>
        </is>
      </c>
      <c r="G1456" t="inlineStr">
        <is>
          <t>1</t>
        </is>
      </c>
      <c r="H1456" t="inlineStr">
        <is>
          <t>No</t>
        </is>
      </c>
      <c r="I1456" t="inlineStr">
        <is>
          <t>No</t>
        </is>
      </c>
      <c r="J1456" t="inlineStr">
        <is>
          <t>0</t>
        </is>
      </c>
      <c r="K1456" t="inlineStr">
        <is>
          <t>Neff, Frederick C.</t>
        </is>
      </c>
      <c r="L1456" t="inlineStr">
        <is>
          <t>New York, Center for Applied Research in Education [1966]</t>
        </is>
      </c>
      <c r="M1456" t="inlineStr">
        <is>
          <t>1966</t>
        </is>
      </c>
      <c r="O1456" t="inlineStr">
        <is>
          <t>eng</t>
        </is>
      </c>
      <c r="P1456" t="inlineStr">
        <is>
          <t>nyu</t>
        </is>
      </c>
      <c r="Q1456" t="inlineStr">
        <is>
          <t>The Library of education</t>
        </is>
      </c>
      <c r="R1456" t="inlineStr">
        <is>
          <t xml:space="preserve">LB </t>
        </is>
      </c>
      <c r="S1456" t="n">
        <v>3</v>
      </c>
      <c r="T1456" t="n">
        <v>3</v>
      </c>
      <c r="U1456" t="inlineStr">
        <is>
          <t>2008-04-16</t>
        </is>
      </c>
      <c r="V1456" t="inlineStr">
        <is>
          <t>2008-04-16</t>
        </is>
      </c>
      <c r="W1456" t="inlineStr">
        <is>
          <t>1997-04-25</t>
        </is>
      </c>
      <c r="X1456" t="inlineStr">
        <is>
          <t>1997-04-25</t>
        </is>
      </c>
      <c r="Y1456" t="n">
        <v>622</v>
      </c>
      <c r="Z1456" t="n">
        <v>575</v>
      </c>
      <c r="AA1456" t="n">
        <v>577</v>
      </c>
      <c r="AB1456" t="n">
        <v>5</v>
      </c>
      <c r="AC1456" t="n">
        <v>5</v>
      </c>
      <c r="AD1456" t="n">
        <v>35</v>
      </c>
      <c r="AE1456" t="n">
        <v>35</v>
      </c>
      <c r="AF1456" t="n">
        <v>16</v>
      </c>
      <c r="AG1456" t="n">
        <v>16</v>
      </c>
      <c r="AH1456" t="n">
        <v>7</v>
      </c>
      <c r="AI1456" t="n">
        <v>7</v>
      </c>
      <c r="AJ1456" t="n">
        <v>18</v>
      </c>
      <c r="AK1456" t="n">
        <v>18</v>
      </c>
      <c r="AL1456" t="n">
        <v>4</v>
      </c>
      <c r="AM1456" t="n">
        <v>4</v>
      </c>
      <c r="AN1456" t="n">
        <v>0</v>
      </c>
      <c r="AO1456" t="n">
        <v>0</v>
      </c>
      <c r="AP1456" t="inlineStr">
        <is>
          <t>No</t>
        </is>
      </c>
      <c r="AQ1456" t="inlineStr">
        <is>
          <t>Yes</t>
        </is>
      </c>
      <c r="AR1456">
        <f>HYPERLINK("http://catalog.hathitrust.org/Record/001067544","HathiTrust Record")</f>
        <v/>
      </c>
      <c r="AS1456">
        <f>HYPERLINK("https://creighton-primo.hosted.exlibrisgroup.com/primo-explore/search?tab=default_tab&amp;search_scope=EVERYTHING&amp;vid=01CRU&amp;lang=en_US&amp;offset=0&amp;query=any,contains,991001085339702656","Catalog Record")</f>
        <v/>
      </c>
      <c r="AT1456">
        <f>HYPERLINK("http://www.worldcat.org/oclc/180093","WorldCat Record")</f>
        <v/>
      </c>
      <c r="AU1456" t="inlineStr">
        <is>
          <t>2157438:eng</t>
        </is>
      </c>
      <c r="AV1456" t="inlineStr">
        <is>
          <t>180093</t>
        </is>
      </c>
      <c r="AW1456" t="inlineStr">
        <is>
          <t>991001085339702656</t>
        </is>
      </c>
      <c r="AX1456" t="inlineStr">
        <is>
          <t>991001085339702656</t>
        </is>
      </c>
      <c r="AY1456" t="inlineStr">
        <is>
          <t>2272034440002656</t>
        </is>
      </c>
      <c r="AZ1456" t="inlineStr">
        <is>
          <t>BOOK</t>
        </is>
      </c>
      <c r="BC1456" t="inlineStr">
        <is>
          <t>32285002599255</t>
        </is>
      </c>
      <c r="BD1456" t="inlineStr">
        <is>
          <t>893791151</t>
        </is>
      </c>
    </row>
    <row r="1457">
      <c r="A1457" t="inlineStr">
        <is>
          <t>No</t>
        </is>
      </c>
      <c r="B1457" t="inlineStr">
        <is>
          <t>LB885 .P5</t>
        </is>
      </c>
      <c r="C1457" t="inlineStr">
        <is>
          <t>0                      LB 0885000P  5</t>
        </is>
      </c>
      <c r="D1457" t="inlineStr">
        <is>
          <t>Philosophy of education.</t>
        </is>
      </c>
      <c r="F1457" t="inlineStr">
        <is>
          <t>No</t>
        </is>
      </c>
      <c r="G1457" t="inlineStr">
        <is>
          <t>1</t>
        </is>
      </c>
      <c r="H1457" t="inlineStr">
        <is>
          <t>No</t>
        </is>
      </c>
      <c r="I1457" t="inlineStr">
        <is>
          <t>No</t>
        </is>
      </c>
      <c r="J1457" t="inlineStr">
        <is>
          <t>0</t>
        </is>
      </c>
      <c r="K1457" t="inlineStr">
        <is>
          <t>Phenix, Philip H. (Philip Henry), 1915-2002.</t>
        </is>
      </c>
      <c r="L1457" t="inlineStr">
        <is>
          <t>New York, Holt [1958]</t>
        </is>
      </c>
      <c r="M1457" t="inlineStr">
        <is>
          <t>1958</t>
        </is>
      </c>
      <c r="O1457" t="inlineStr">
        <is>
          <t>eng</t>
        </is>
      </c>
      <c r="P1457" t="inlineStr">
        <is>
          <t>nyu</t>
        </is>
      </c>
      <c r="R1457" t="inlineStr">
        <is>
          <t xml:space="preserve">LB </t>
        </is>
      </c>
      <c r="S1457" t="n">
        <v>6</v>
      </c>
      <c r="T1457" t="n">
        <v>6</v>
      </c>
      <c r="U1457" t="inlineStr">
        <is>
          <t>2006-04-20</t>
        </is>
      </c>
      <c r="V1457" t="inlineStr">
        <is>
          <t>2006-04-20</t>
        </is>
      </c>
      <c r="W1457" t="inlineStr">
        <is>
          <t>1997-04-25</t>
        </is>
      </c>
      <c r="X1457" t="inlineStr">
        <is>
          <t>1997-04-25</t>
        </is>
      </c>
      <c r="Y1457" t="n">
        <v>529</v>
      </c>
      <c r="Z1457" t="n">
        <v>454</v>
      </c>
      <c r="AA1457" t="n">
        <v>751</v>
      </c>
      <c r="AB1457" t="n">
        <v>6</v>
      </c>
      <c r="AC1457" t="n">
        <v>12</v>
      </c>
      <c r="AD1457" t="n">
        <v>22</v>
      </c>
      <c r="AE1457" t="n">
        <v>37</v>
      </c>
      <c r="AF1457" t="n">
        <v>6</v>
      </c>
      <c r="AG1457" t="n">
        <v>13</v>
      </c>
      <c r="AH1457" t="n">
        <v>5</v>
      </c>
      <c r="AI1457" t="n">
        <v>7</v>
      </c>
      <c r="AJ1457" t="n">
        <v>12</v>
      </c>
      <c r="AK1457" t="n">
        <v>15</v>
      </c>
      <c r="AL1457" t="n">
        <v>4</v>
      </c>
      <c r="AM1457" t="n">
        <v>9</v>
      </c>
      <c r="AN1457" t="n">
        <v>0</v>
      </c>
      <c r="AO1457" t="n">
        <v>0</v>
      </c>
      <c r="AP1457" t="inlineStr">
        <is>
          <t>No</t>
        </is>
      </c>
      <c r="AQ1457" t="inlineStr">
        <is>
          <t>Yes</t>
        </is>
      </c>
      <c r="AR1457">
        <f>HYPERLINK("http://catalog.hathitrust.org/Record/001067546","HathiTrust Record")</f>
        <v/>
      </c>
      <c r="AS1457">
        <f>HYPERLINK("https://creighton-primo.hosted.exlibrisgroup.com/primo-explore/search?tab=default_tab&amp;search_scope=EVERYTHING&amp;vid=01CRU&amp;lang=en_US&amp;offset=0&amp;query=any,contains,991001059229702656","Catalog Record")</f>
        <v/>
      </c>
      <c r="AT1457">
        <f>HYPERLINK("http://www.worldcat.org/oclc/177972","WorldCat Record")</f>
        <v/>
      </c>
      <c r="AU1457" t="inlineStr">
        <is>
          <t>3855268244:eng</t>
        </is>
      </c>
      <c r="AV1457" t="inlineStr">
        <is>
          <t>177972</t>
        </is>
      </c>
      <c r="AW1457" t="inlineStr">
        <is>
          <t>991001059229702656</t>
        </is>
      </c>
      <c r="AX1457" t="inlineStr">
        <is>
          <t>991001059229702656</t>
        </is>
      </c>
      <c r="AY1457" t="inlineStr">
        <is>
          <t>2266303830002656</t>
        </is>
      </c>
      <c r="AZ1457" t="inlineStr">
        <is>
          <t>BOOK</t>
        </is>
      </c>
      <c r="BC1457" t="inlineStr">
        <is>
          <t>32285002599263</t>
        </is>
      </c>
      <c r="BD1457" t="inlineStr">
        <is>
          <t>893602286</t>
        </is>
      </c>
    </row>
    <row r="1458">
      <c r="A1458" t="inlineStr">
        <is>
          <t>No</t>
        </is>
      </c>
      <c r="B1458" t="inlineStr">
        <is>
          <t>LB885.M26 C47 1994</t>
        </is>
      </c>
      <c r="C1458" t="inlineStr">
        <is>
          <t>0                      LB 0885000M  26                 C  47          1994</t>
        </is>
      </c>
      <c r="D1458" t="inlineStr">
        <is>
          <t>Changing the educational landscape : philosophy, women, and curriculum / Jane Roland Martin.</t>
        </is>
      </c>
      <c r="F1458" t="inlineStr">
        <is>
          <t>No</t>
        </is>
      </c>
      <c r="G1458" t="inlineStr">
        <is>
          <t>1</t>
        </is>
      </c>
      <c r="H1458" t="inlineStr">
        <is>
          <t>No</t>
        </is>
      </c>
      <c r="I1458" t="inlineStr">
        <is>
          <t>No</t>
        </is>
      </c>
      <c r="J1458" t="inlineStr">
        <is>
          <t>0</t>
        </is>
      </c>
      <c r="K1458" t="inlineStr">
        <is>
          <t>Martin, Jane Roland, 1929-</t>
        </is>
      </c>
      <c r="L1458" t="inlineStr">
        <is>
          <t>New York ; London : Routledge, 1994.</t>
        </is>
      </c>
      <c r="M1458" t="inlineStr">
        <is>
          <t>1994</t>
        </is>
      </c>
      <c r="O1458" t="inlineStr">
        <is>
          <t>eng</t>
        </is>
      </c>
      <c r="P1458" t="inlineStr">
        <is>
          <t>nyu</t>
        </is>
      </c>
      <c r="R1458" t="inlineStr">
        <is>
          <t xml:space="preserve">LB </t>
        </is>
      </c>
      <c r="S1458" t="n">
        <v>13</v>
      </c>
      <c r="T1458" t="n">
        <v>13</v>
      </c>
      <c r="U1458" t="inlineStr">
        <is>
          <t>2002-05-04</t>
        </is>
      </c>
      <c r="V1458" t="inlineStr">
        <is>
          <t>2002-05-04</t>
        </is>
      </c>
      <c r="W1458" t="inlineStr">
        <is>
          <t>1994-01-20</t>
        </is>
      </c>
      <c r="X1458" t="inlineStr">
        <is>
          <t>1994-01-20</t>
        </is>
      </c>
      <c r="Y1458" t="n">
        <v>405</v>
      </c>
      <c r="Z1458" t="n">
        <v>288</v>
      </c>
      <c r="AA1458" t="n">
        <v>319</v>
      </c>
      <c r="AB1458" t="n">
        <v>3</v>
      </c>
      <c r="AC1458" t="n">
        <v>3</v>
      </c>
      <c r="AD1458" t="n">
        <v>19</v>
      </c>
      <c r="AE1458" t="n">
        <v>19</v>
      </c>
      <c r="AF1458" t="n">
        <v>6</v>
      </c>
      <c r="AG1458" t="n">
        <v>6</v>
      </c>
      <c r="AH1458" t="n">
        <v>5</v>
      </c>
      <c r="AI1458" t="n">
        <v>5</v>
      </c>
      <c r="AJ1458" t="n">
        <v>10</v>
      </c>
      <c r="AK1458" t="n">
        <v>10</v>
      </c>
      <c r="AL1458" t="n">
        <v>2</v>
      </c>
      <c r="AM1458" t="n">
        <v>2</v>
      </c>
      <c r="AN1458" t="n">
        <v>1</v>
      </c>
      <c r="AO1458" t="n">
        <v>1</v>
      </c>
      <c r="AP1458" t="inlineStr">
        <is>
          <t>No</t>
        </is>
      </c>
      <c r="AQ1458" t="inlineStr">
        <is>
          <t>Yes</t>
        </is>
      </c>
      <c r="AR1458">
        <f>HYPERLINK("http://catalog.hathitrust.org/Record/002806302","HathiTrust Record")</f>
        <v/>
      </c>
      <c r="AS1458">
        <f>HYPERLINK("https://creighton-primo.hosted.exlibrisgroup.com/primo-explore/search?tab=default_tab&amp;search_scope=EVERYTHING&amp;vid=01CRU&amp;lang=en_US&amp;offset=0&amp;query=any,contains,991002210519702656","Catalog Record")</f>
        <v/>
      </c>
      <c r="AT1458">
        <f>HYPERLINK("http://www.worldcat.org/oclc/28422467","WorldCat Record")</f>
        <v/>
      </c>
      <c r="AU1458" t="inlineStr">
        <is>
          <t>30852797:eng</t>
        </is>
      </c>
      <c r="AV1458" t="inlineStr">
        <is>
          <t>28422467</t>
        </is>
      </c>
      <c r="AW1458" t="inlineStr">
        <is>
          <t>991002210519702656</t>
        </is>
      </c>
      <c r="AX1458" t="inlineStr">
        <is>
          <t>991002210519702656</t>
        </is>
      </c>
      <c r="AY1458" t="inlineStr">
        <is>
          <t>2259904340002656</t>
        </is>
      </c>
      <c r="AZ1458" t="inlineStr">
        <is>
          <t>BOOK</t>
        </is>
      </c>
      <c r="BB1458" t="inlineStr">
        <is>
          <t>9780415907941</t>
        </is>
      </c>
      <c r="BC1458" t="inlineStr">
        <is>
          <t>32285001832491</t>
        </is>
      </c>
      <c r="BD1458" t="inlineStr">
        <is>
          <t>893510444</t>
        </is>
      </c>
    </row>
    <row r="1459">
      <c r="A1459" t="inlineStr">
        <is>
          <t>No</t>
        </is>
      </c>
      <c r="B1459" t="inlineStr">
        <is>
          <t>LB885.W33 W33 1997</t>
        </is>
      </c>
      <c r="C1459" t="inlineStr">
        <is>
          <t>0                      LB 0885000W  33                 W  33          1997</t>
        </is>
      </c>
      <c r="D1459" t="inlineStr">
        <is>
          <t>Looking back and thinking forward : reexaminations of teaching and schooling / Lillian Weber ; edited by Beth Alberty.</t>
        </is>
      </c>
      <c r="F1459" t="inlineStr">
        <is>
          <t>No</t>
        </is>
      </c>
      <c r="G1459" t="inlineStr">
        <is>
          <t>1</t>
        </is>
      </c>
      <c r="H1459" t="inlineStr">
        <is>
          <t>No</t>
        </is>
      </c>
      <c r="I1459" t="inlineStr">
        <is>
          <t>No</t>
        </is>
      </c>
      <c r="J1459" t="inlineStr">
        <is>
          <t>0</t>
        </is>
      </c>
      <c r="K1459" t="inlineStr">
        <is>
          <t>Weber, Lillian.</t>
        </is>
      </c>
      <c r="L1459" t="inlineStr">
        <is>
          <t>New York : Teachers College Press, c1997.</t>
        </is>
      </c>
      <c r="M1459" t="inlineStr">
        <is>
          <t>1997</t>
        </is>
      </c>
      <c r="O1459" t="inlineStr">
        <is>
          <t>eng</t>
        </is>
      </c>
      <c r="P1459" t="inlineStr">
        <is>
          <t>nyu</t>
        </is>
      </c>
      <c r="R1459" t="inlineStr">
        <is>
          <t xml:space="preserve">LB </t>
        </is>
      </c>
      <c r="S1459" t="n">
        <v>8</v>
      </c>
      <c r="T1459" t="n">
        <v>8</v>
      </c>
      <c r="U1459" t="inlineStr">
        <is>
          <t>2005-06-06</t>
        </is>
      </c>
      <c r="V1459" t="inlineStr">
        <is>
          <t>2005-06-06</t>
        </is>
      </c>
      <c r="W1459" t="inlineStr">
        <is>
          <t>1998-07-23</t>
        </is>
      </c>
      <c r="X1459" t="inlineStr">
        <is>
          <t>1998-07-23</t>
        </is>
      </c>
      <c r="Y1459" t="n">
        <v>456</v>
      </c>
      <c r="Z1459" t="n">
        <v>418</v>
      </c>
      <c r="AA1459" t="n">
        <v>422</v>
      </c>
      <c r="AB1459" t="n">
        <v>4</v>
      </c>
      <c r="AC1459" t="n">
        <v>4</v>
      </c>
      <c r="AD1459" t="n">
        <v>23</v>
      </c>
      <c r="AE1459" t="n">
        <v>23</v>
      </c>
      <c r="AF1459" t="n">
        <v>10</v>
      </c>
      <c r="AG1459" t="n">
        <v>10</v>
      </c>
      <c r="AH1459" t="n">
        <v>3</v>
      </c>
      <c r="AI1459" t="n">
        <v>3</v>
      </c>
      <c r="AJ1459" t="n">
        <v>12</v>
      </c>
      <c r="AK1459" t="n">
        <v>12</v>
      </c>
      <c r="AL1459" t="n">
        <v>3</v>
      </c>
      <c r="AM1459" t="n">
        <v>3</v>
      </c>
      <c r="AN1459" t="n">
        <v>0</v>
      </c>
      <c r="AO1459" t="n">
        <v>0</v>
      </c>
      <c r="AP1459" t="inlineStr">
        <is>
          <t>No</t>
        </is>
      </c>
      <c r="AQ1459" t="inlineStr">
        <is>
          <t>No</t>
        </is>
      </c>
      <c r="AS1459">
        <f>HYPERLINK("https://creighton-primo.hosted.exlibrisgroup.com/primo-explore/search?tab=default_tab&amp;search_scope=EVERYTHING&amp;vid=01CRU&amp;lang=en_US&amp;offset=0&amp;query=any,contains,991002808309702656","Catalog Record")</f>
        <v/>
      </c>
      <c r="AT1459">
        <f>HYPERLINK("http://www.worldcat.org/oclc/36892882","WorldCat Record")</f>
        <v/>
      </c>
      <c r="AU1459" t="inlineStr">
        <is>
          <t>263828526:eng</t>
        </is>
      </c>
      <c r="AV1459" t="inlineStr">
        <is>
          <t>36892882</t>
        </is>
      </c>
      <c r="AW1459" t="inlineStr">
        <is>
          <t>991002808309702656</t>
        </is>
      </c>
      <c r="AX1459" t="inlineStr">
        <is>
          <t>991002808309702656</t>
        </is>
      </c>
      <c r="AY1459" t="inlineStr">
        <is>
          <t>2264983940002656</t>
        </is>
      </c>
      <c r="AZ1459" t="inlineStr">
        <is>
          <t>BOOK</t>
        </is>
      </c>
      <c r="BB1459" t="inlineStr">
        <is>
          <t>9780807736739</t>
        </is>
      </c>
      <c r="BC1459" t="inlineStr">
        <is>
          <t>32285003445169</t>
        </is>
      </c>
      <c r="BD1459" t="inlineStr">
        <is>
          <t>893899267</t>
        </is>
      </c>
    </row>
    <row r="1460">
      <c r="A1460" t="inlineStr">
        <is>
          <t>No</t>
        </is>
      </c>
      <c r="B1460" t="inlineStr">
        <is>
          <t>LB91 .Q7 1965</t>
        </is>
      </c>
      <c r="C1460" t="inlineStr">
        <is>
          <t>0                      LB 0091000Q  7           1965</t>
        </is>
      </c>
      <c r="D1460" t="inlineStr">
        <is>
          <t>On the early education of the citizen-orator : Institutio oratoria, book I, and book II, chapters one through ten / [by] Quintilian. Translated by John Selby Watson. Edited, with an introd. and notes, by James J. Murphy.</t>
        </is>
      </c>
      <c r="F1460" t="inlineStr">
        <is>
          <t>No</t>
        </is>
      </c>
      <c r="G1460" t="inlineStr">
        <is>
          <t>1</t>
        </is>
      </c>
      <c r="H1460" t="inlineStr">
        <is>
          <t>No</t>
        </is>
      </c>
      <c r="I1460" t="inlineStr">
        <is>
          <t>No</t>
        </is>
      </c>
      <c r="J1460" t="inlineStr">
        <is>
          <t>0</t>
        </is>
      </c>
      <c r="K1460" t="inlineStr">
        <is>
          <t>Quintilian.</t>
        </is>
      </c>
      <c r="L1460" t="inlineStr">
        <is>
          <t>Indianapolis, Bobbs-Merrill [1965]</t>
        </is>
      </c>
      <c r="M1460" t="inlineStr">
        <is>
          <t>1965</t>
        </is>
      </c>
      <c r="O1460" t="inlineStr">
        <is>
          <t>eng</t>
        </is>
      </c>
      <c r="P1460" t="inlineStr">
        <is>
          <t xml:space="preserve">xx </t>
        </is>
      </c>
      <c r="Q1460" t="inlineStr">
        <is>
          <t>The Library of liberal arts</t>
        </is>
      </c>
      <c r="R1460" t="inlineStr">
        <is>
          <t xml:space="preserve">LB </t>
        </is>
      </c>
      <c r="S1460" t="n">
        <v>1</v>
      </c>
      <c r="T1460" t="n">
        <v>1</v>
      </c>
      <c r="U1460" t="inlineStr">
        <is>
          <t>1997-04-23</t>
        </is>
      </c>
      <c r="V1460" t="inlineStr">
        <is>
          <t>1997-04-23</t>
        </is>
      </c>
      <c r="W1460" t="inlineStr">
        <is>
          <t>1997-04-21</t>
        </is>
      </c>
      <c r="X1460" t="inlineStr">
        <is>
          <t>1997-04-21</t>
        </is>
      </c>
      <c r="Y1460" t="n">
        <v>407</v>
      </c>
      <c r="Z1460" t="n">
        <v>369</v>
      </c>
      <c r="AA1460" t="n">
        <v>390</v>
      </c>
      <c r="AB1460" t="n">
        <v>5</v>
      </c>
      <c r="AC1460" t="n">
        <v>5</v>
      </c>
      <c r="AD1460" t="n">
        <v>19</v>
      </c>
      <c r="AE1460" t="n">
        <v>20</v>
      </c>
      <c r="AF1460" t="n">
        <v>6</v>
      </c>
      <c r="AG1460" t="n">
        <v>7</v>
      </c>
      <c r="AH1460" t="n">
        <v>5</v>
      </c>
      <c r="AI1460" t="n">
        <v>5</v>
      </c>
      <c r="AJ1460" t="n">
        <v>8</v>
      </c>
      <c r="AK1460" t="n">
        <v>8</v>
      </c>
      <c r="AL1460" t="n">
        <v>4</v>
      </c>
      <c r="AM1460" t="n">
        <v>4</v>
      </c>
      <c r="AN1460" t="n">
        <v>0</v>
      </c>
      <c r="AO1460" t="n">
        <v>0</v>
      </c>
      <c r="AP1460" t="inlineStr">
        <is>
          <t>No</t>
        </is>
      </c>
      <c r="AQ1460" t="inlineStr">
        <is>
          <t>Yes</t>
        </is>
      </c>
      <c r="AR1460">
        <f>HYPERLINK("http://catalog.hathitrust.org/Record/001221322","HathiTrust Record")</f>
        <v/>
      </c>
      <c r="AS1460">
        <f>HYPERLINK("https://creighton-primo.hosted.exlibrisgroup.com/primo-explore/search?tab=default_tab&amp;search_scope=EVERYTHING&amp;vid=01CRU&amp;lang=en_US&amp;offset=0&amp;query=any,contains,991003232749702656","Catalog Record")</f>
        <v/>
      </c>
      <c r="AT1460">
        <f>HYPERLINK("http://www.worldcat.org/oclc/757313","WorldCat Record")</f>
        <v/>
      </c>
      <c r="AU1460" t="inlineStr">
        <is>
          <t>1621827:eng</t>
        </is>
      </c>
      <c r="AV1460" t="inlineStr">
        <is>
          <t>757313</t>
        </is>
      </c>
      <c r="AW1460" t="inlineStr">
        <is>
          <t>991003232749702656</t>
        </is>
      </c>
      <c r="AX1460" t="inlineStr">
        <is>
          <t>991003232749702656</t>
        </is>
      </c>
      <c r="AY1460" t="inlineStr">
        <is>
          <t>2272387160002656</t>
        </is>
      </c>
      <c r="AZ1460" t="inlineStr">
        <is>
          <t>BOOK</t>
        </is>
      </c>
      <c r="BC1460" t="inlineStr">
        <is>
          <t>32285002559465</t>
        </is>
      </c>
      <c r="BD1460" t="inlineStr">
        <is>
          <t>893717447</t>
        </is>
      </c>
    </row>
    <row r="1461">
      <c r="A1461" t="inlineStr">
        <is>
          <t>No</t>
        </is>
      </c>
      <c r="B1461" t="inlineStr">
        <is>
          <t>LC1011 .A42 1984</t>
        </is>
      </c>
      <c r="C1461" t="inlineStr">
        <is>
          <t>0                      LC 1011000A  42          1984</t>
        </is>
      </c>
      <c r="D1461" t="inlineStr">
        <is>
          <t>Against mediocrity : the humanities in America's high schools / edited by Chester E. Finn, Jr., Diane Ravitch, Robert T. Fancher ; with a foreword by William Bennett.</t>
        </is>
      </c>
      <c r="F1461" t="inlineStr">
        <is>
          <t>No</t>
        </is>
      </c>
      <c r="G1461" t="inlineStr">
        <is>
          <t>1</t>
        </is>
      </c>
      <c r="H1461" t="inlineStr">
        <is>
          <t>No</t>
        </is>
      </c>
      <c r="I1461" t="inlineStr">
        <is>
          <t>No</t>
        </is>
      </c>
      <c r="J1461" t="inlineStr">
        <is>
          <t>0</t>
        </is>
      </c>
      <c r="L1461" t="inlineStr">
        <is>
          <t>New York : Holmes &amp; Meier, 1984.</t>
        </is>
      </c>
      <c r="M1461" t="inlineStr">
        <is>
          <t>1984</t>
        </is>
      </c>
      <c r="O1461" t="inlineStr">
        <is>
          <t>eng</t>
        </is>
      </c>
      <c r="P1461" t="inlineStr">
        <is>
          <t>nyu</t>
        </is>
      </c>
      <c r="R1461" t="inlineStr">
        <is>
          <t xml:space="preserve">LC </t>
        </is>
      </c>
      <c r="S1461" t="n">
        <v>1</v>
      </c>
      <c r="T1461" t="n">
        <v>1</v>
      </c>
      <c r="U1461" t="inlineStr">
        <is>
          <t>2001-06-09</t>
        </is>
      </c>
      <c r="V1461" t="inlineStr">
        <is>
          <t>2001-06-09</t>
        </is>
      </c>
      <c r="W1461" t="inlineStr">
        <is>
          <t>1992-08-27</t>
        </is>
      </c>
      <c r="X1461" t="inlineStr">
        <is>
          <t>1992-08-27</t>
        </is>
      </c>
      <c r="Y1461" t="n">
        <v>889</v>
      </c>
      <c r="Z1461" t="n">
        <v>821</v>
      </c>
      <c r="AA1461" t="n">
        <v>828</v>
      </c>
      <c r="AB1461" t="n">
        <v>6</v>
      </c>
      <c r="AC1461" t="n">
        <v>6</v>
      </c>
      <c r="AD1461" t="n">
        <v>37</v>
      </c>
      <c r="AE1461" t="n">
        <v>37</v>
      </c>
      <c r="AF1461" t="n">
        <v>15</v>
      </c>
      <c r="AG1461" t="n">
        <v>15</v>
      </c>
      <c r="AH1461" t="n">
        <v>9</v>
      </c>
      <c r="AI1461" t="n">
        <v>9</v>
      </c>
      <c r="AJ1461" t="n">
        <v>21</v>
      </c>
      <c r="AK1461" t="n">
        <v>21</v>
      </c>
      <c r="AL1461" t="n">
        <v>5</v>
      </c>
      <c r="AM1461" t="n">
        <v>5</v>
      </c>
      <c r="AN1461" t="n">
        <v>0</v>
      </c>
      <c r="AO1461" t="n">
        <v>0</v>
      </c>
      <c r="AP1461" t="inlineStr">
        <is>
          <t>No</t>
        </is>
      </c>
      <c r="AQ1461" t="inlineStr">
        <is>
          <t>Yes</t>
        </is>
      </c>
      <c r="AR1461">
        <f>HYPERLINK("http://catalog.hathitrust.org/Record/000247006","HathiTrust Record")</f>
        <v/>
      </c>
      <c r="AS1461">
        <f>HYPERLINK("https://creighton-primo.hosted.exlibrisgroup.com/primo-explore/search?tab=default_tab&amp;search_scope=EVERYTHING&amp;vid=01CRU&amp;lang=en_US&amp;offset=0&amp;query=any,contains,991000326619702656","Catalog Record")</f>
        <v/>
      </c>
      <c r="AT1461">
        <f>HYPERLINK("http://www.worldcat.org/oclc/10183375","WorldCat Record")</f>
        <v/>
      </c>
      <c r="AU1461" t="inlineStr">
        <is>
          <t>873666194:eng</t>
        </is>
      </c>
      <c r="AV1461" t="inlineStr">
        <is>
          <t>10183375</t>
        </is>
      </c>
      <c r="AW1461" t="inlineStr">
        <is>
          <t>991000326619702656</t>
        </is>
      </c>
      <c r="AX1461" t="inlineStr">
        <is>
          <t>991000326619702656</t>
        </is>
      </c>
      <c r="AY1461" t="inlineStr">
        <is>
          <t>2270704520002656</t>
        </is>
      </c>
      <c r="AZ1461" t="inlineStr">
        <is>
          <t>BOOK</t>
        </is>
      </c>
      <c r="BB1461" t="inlineStr">
        <is>
          <t>9780841909458</t>
        </is>
      </c>
      <c r="BC1461" t="inlineStr">
        <is>
          <t>32285001282390</t>
        </is>
      </c>
      <c r="BD1461" t="inlineStr">
        <is>
          <t>893496133</t>
        </is>
      </c>
    </row>
    <row r="1462">
      <c r="A1462" t="inlineStr">
        <is>
          <t>No</t>
        </is>
      </c>
      <c r="B1462" t="inlineStr">
        <is>
          <t>LC1011 .A89 1998</t>
        </is>
      </c>
      <c r="C1462" t="inlineStr">
        <is>
          <t>0                      LC 1011000A  89          1998</t>
        </is>
      </c>
      <c r="D1462" t="inlineStr">
        <is>
          <t>Rhetoric reclaimed : Aristotle and the liberal arts tradition / Janet M. Atwill.</t>
        </is>
      </c>
      <c r="F1462" t="inlineStr">
        <is>
          <t>No</t>
        </is>
      </c>
      <c r="G1462" t="inlineStr">
        <is>
          <t>1</t>
        </is>
      </c>
      <c r="H1462" t="inlineStr">
        <is>
          <t>No</t>
        </is>
      </c>
      <c r="I1462" t="inlineStr">
        <is>
          <t>No</t>
        </is>
      </c>
      <c r="J1462" t="inlineStr">
        <is>
          <t>0</t>
        </is>
      </c>
      <c r="K1462" t="inlineStr">
        <is>
          <t>Atwill, Janet, 1955-</t>
        </is>
      </c>
      <c r="L1462" t="inlineStr">
        <is>
          <t>Ithaca, N.Y. : Cornell University Press, 1998.</t>
        </is>
      </c>
      <c r="M1462" t="inlineStr">
        <is>
          <t>1998</t>
        </is>
      </c>
      <c r="O1462" t="inlineStr">
        <is>
          <t>eng</t>
        </is>
      </c>
      <c r="P1462" t="inlineStr">
        <is>
          <t>nyu</t>
        </is>
      </c>
      <c r="Q1462" t="inlineStr">
        <is>
          <t>Rhetoric &amp; society</t>
        </is>
      </c>
      <c r="R1462" t="inlineStr">
        <is>
          <t xml:space="preserve">LC </t>
        </is>
      </c>
      <c r="S1462" t="n">
        <v>1</v>
      </c>
      <c r="T1462" t="n">
        <v>1</v>
      </c>
      <c r="U1462" t="inlineStr">
        <is>
          <t>1998-12-09</t>
        </is>
      </c>
      <c r="V1462" t="inlineStr">
        <is>
          <t>1998-12-09</t>
        </is>
      </c>
      <c r="W1462" t="inlineStr">
        <is>
          <t>1998-04-21</t>
        </is>
      </c>
      <c r="X1462" t="inlineStr">
        <is>
          <t>1998-04-21</t>
        </is>
      </c>
      <c r="Y1462" t="n">
        <v>352</v>
      </c>
      <c r="Z1462" t="n">
        <v>292</v>
      </c>
      <c r="AA1462" t="n">
        <v>308</v>
      </c>
      <c r="AB1462" t="n">
        <v>3</v>
      </c>
      <c r="AC1462" t="n">
        <v>3</v>
      </c>
      <c r="AD1462" t="n">
        <v>14</v>
      </c>
      <c r="AE1462" t="n">
        <v>15</v>
      </c>
      <c r="AF1462" t="n">
        <v>5</v>
      </c>
      <c r="AG1462" t="n">
        <v>5</v>
      </c>
      <c r="AH1462" t="n">
        <v>3</v>
      </c>
      <c r="AI1462" t="n">
        <v>3</v>
      </c>
      <c r="AJ1462" t="n">
        <v>8</v>
      </c>
      <c r="AK1462" t="n">
        <v>9</v>
      </c>
      <c r="AL1462" t="n">
        <v>2</v>
      </c>
      <c r="AM1462" t="n">
        <v>2</v>
      </c>
      <c r="AN1462" t="n">
        <v>0</v>
      </c>
      <c r="AO1462" t="n">
        <v>0</v>
      </c>
      <c r="AP1462" t="inlineStr">
        <is>
          <t>No</t>
        </is>
      </c>
      <c r="AQ1462" t="inlineStr">
        <is>
          <t>No</t>
        </is>
      </c>
      <c r="AS1462">
        <f>HYPERLINK("https://creighton-primo.hosted.exlibrisgroup.com/primo-explore/search?tab=default_tab&amp;search_scope=EVERYTHING&amp;vid=01CRU&amp;lang=en_US&amp;offset=0&amp;query=any,contains,991002863329702656","Catalog Record")</f>
        <v/>
      </c>
      <c r="AT1462">
        <f>HYPERLINK("http://www.worldcat.org/oclc/37742244","WorldCat Record")</f>
        <v/>
      </c>
      <c r="AU1462" t="inlineStr">
        <is>
          <t>807267282:eng</t>
        </is>
      </c>
      <c r="AV1462" t="inlineStr">
        <is>
          <t>37742244</t>
        </is>
      </c>
      <c r="AW1462" t="inlineStr">
        <is>
          <t>991002863329702656</t>
        </is>
      </c>
      <c r="AX1462" t="inlineStr">
        <is>
          <t>991002863329702656</t>
        </is>
      </c>
      <c r="AY1462" t="inlineStr">
        <is>
          <t>2264964610002656</t>
        </is>
      </c>
      <c r="AZ1462" t="inlineStr">
        <is>
          <t>BOOK</t>
        </is>
      </c>
      <c r="BB1462" t="inlineStr">
        <is>
          <t>9780801432637</t>
        </is>
      </c>
      <c r="BC1462" t="inlineStr">
        <is>
          <t>32285003376133</t>
        </is>
      </c>
      <c r="BD1462" t="inlineStr">
        <is>
          <t>893886834</t>
        </is>
      </c>
    </row>
    <row r="1463">
      <c r="A1463" t="inlineStr">
        <is>
          <t>No</t>
        </is>
      </c>
      <c r="B1463" t="inlineStr">
        <is>
          <t>LC1011 .D3 1979</t>
        </is>
      </c>
      <c r="C1463" t="inlineStr">
        <is>
          <t>0                      LC 1011000D  3           1979</t>
        </is>
      </c>
      <c r="D1463" t="inlineStr">
        <is>
          <t>Three dialogues on liberal education / by William A. Darkey.</t>
        </is>
      </c>
      <c r="F1463" t="inlineStr">
        <is>
          <t>No</t>
        </is>
      </c>
      <c r="G1463" t="inlineStr">
        <is>
          <t>1</t>
        </is>
      </c>
      <c r="H1463" t="inlineStr">
        <is>
          <t>No</t>
        </is>
      </c>
      <c r="I1463" t="inlineStr">
        <is>
          <t>No</t>
        </is>
      </c>
      <c r="J1463" t="inlineStr">
        <is>
          <t>0</t>
        </is>
      </c>
      <c r="K1463" t="inlineStr">
        <is>
          <t>Darkey, William A., editor.</t>
        </is>
      </c>
      <c r="L1463" t="inlineStr">
        <is>
          <t>Annapolis, Md. : St. John's College Press, 1979.</t>
        </is>
      </c>
      <c r="M1463" t="inlineStr">
        <is>
          <t>1979</t>
        </is>
      </c>
      <c r="O1463" t="inlineStr">
        <is>
          <t>eng</t>
        </is>
      </c>
      <c r="P1463" t="inlineStr">
        <is>
          <t>mdu</t>
        </is>
      </c>
      <c r="R1463" t="inlineStr">
        <is>
          <t xml:space="preserve">LC </t>
        </is>
      </c>
      <c r="S1463" t="n">
        <v>1</v>
      </c>
      <c r="T1463" t="n">
        <v>1</v>
      </c>
      <c r="U1463" t="inlineStr">
        <is>
          <t>2006-12-04</t>
        </is>
      </c>
      <c r="V1463" t="inlineStr">
        <is>
          <t>2006-12-04</t>
        </is>
      </c>
      <c r="W1463" t="inlineStr">
        <is>
          <t>1992-08-27</t>
        </is>
      </c>
      <c r="X1463" t="inlineStr">
        <is>
          <t>1992-08-27</t>
        </is>
      </c>
      <c r="Y1463" t="n">
        <v>149</v>
      </c>
      <c r="Z1463" t="n">
        <v>149</v>
      </c>
      <c r="AA1463" t="n">
        <v>156</v>
      </c>
      <c r="AB1463" t="n">
        <v>1</v>
      </c>
      <c r="AC1463" t="n">
        <v>1</v>
      </c>
      <c r="AD1463" t="n">
        <v>8</v>
      </c>
      <c r="AE1463" t="n">
        <v>8</v>
      </c>
      <c r="AF1463" t="n">
        <v>2</v>
      </c>
      <c r="AG1463" t="n">
        <v>2</v>
      </c>
      <c r="AH1463" t="n">
        <v>3</v>
      </c>
      <c r="AI1463" t="n">
        <v>3</v>
      </c>
      <c r="AJ1463" t="n">
        <v>5</v>
      </c>
      <c r="AK1463" t="n">
        <v>5</v>
      </c>
      <c r="AL1463" t="n">
        <v>0</v>
      </c>
      <c r="AM1463" t="n">
        <v>0</v>
      </c>
      <c r="AN1463" t="n">
        <v>0</v>
      </c>
      <c r="AO1463" t="n">
        <v>0</v>
      </c>
      <c r="AP1463" t="inlineStr">
        <is>
          <t>No</t>
        </is>
      </c>
      <c r="AQ1463" t="inlineStr">
        <is>
          <t>No</t>
        </is>
      </c>
      <c r="AS1463">
        <f>HYPERLINK("https://creighton-primo.hosted.exlibrisgroup.com/primo-explore/search?tab=default_tab&amp;search_scope=EVERYTHING&amp;vid=01CRU&amp;lang=en_US&amp;offset=0&amp;query=any,contains,991004931519702656","Catalog Record")</f>
        <v/>
      </c>
      <c r="AT1463">
        <f>HYPERLINK("http://www.worldcat.org/oclc/6098139","WorldCat Record")</f>
        <v/>
      </c>
      <c r="AU1463" t="inlineStr">
        <is>
          <t>3754647215:eng</t>
        </is>
      </c>
      <c r="AV1463" t="inlineStr">
        <is>
          <t>6098139</t>
        </is>
      </c>
      <c r="AW1463" t="inlineStr">
        <is>
          <t>991004931519702656</t>
        </is>
      </c>
      <c r="AX1463" t="inlineStr">
        <is>
          <t>991004931519702656</t>
        </is>
      </c>
      <c r="AY1463" t="inlineStr">
        <is>
          <t>2260401210002656</t>
        </is>
      </c>
      <c r="AZ1463" t="inlineStr">
        <is>
          <t>BOOK</t>
        </is>
      </c>
      <c r="BB1463" t="inlineStr">
        <is>
          <t>9780960369027</t>
        </is>
      </c>
      <c r="BC1463" t="inlineStr">
        <is>
          <t>32285001282416</t>
        </is>
      </c>
      <c r="BD1463" t="inlineStr">
        <is>
          <t>893344419</t>
        </is>
      </c>
    </row>
    <row r="1464">
      <c r="A1464" t="inlineStr">
        <is>
          <t>No</t>
        </is>
      </c>
      <c r="B1464" t="inlineStr">
        <is>
          <t>LC1011 .S77 2006</t>
        </is>
      </c>
      <c r="C1464" t="inlineStr">
        <is>
          <t>0                      LC 1011000S  77          2006</t>
        </is>
      </c>
      <c r="D1464" t="inlineStr">
        <is>
          <t>Benefits of model syllabi / Michael J. Strada.</t>
        </is>
      </c>
      <c r="F1464" t="inlineStr">
        <is>
          <t>No</t>
        </is>
      </c>
      <c r="G1464" t="inlineStr">
        <is>
          <t>1</t>
        </is>
      </c>
      <c r="H1464" t="inlineStr">
        <is>
          <t>No</t>
        </is>
      </c>
      <c r="I1464" t="inlineStr">
        <is>
          <t>No</t>
        </is>
      </c>
      <c r="J1464" t="inlineStr">
        <is>
          <t>0</t>
        </is>
      </c>
      <c r="K1464" t="inlineStr">
        <is>
          <t>Strada, Michael J.</t>
        </is>
      </c>
      <c r="L1464" t="inlineStr">
        <is>
          <t>Lanham, Md. : University Press of America, c2006.</t>
        </is>
      </c>
      <c r="M1464" t="inlineStr">
        <is>
          <t>2006</t>
        </is>
      </c>
      <c r="O1464" t="inlineStr">
        <is>
          <t>eng</t>
        </is>
      </c>
      <c r="P1464" t="inlineStr">
        <is>
          <t>mdu</t>
        </is>
      </c>
      <c r="R1464" t="inlineStr">
        <is>
          <t xml:space="preserve">LC </t>
        </is>
      </c>
      <c r="S1464" t="n">
        <v>1</v>
      </c>
      <c r="T1464" t="n">
        <v>1</v>
      </c>
      <c r="U1464" t="inlineStr">
        <is>
          <t>2007-01-04</t>
        </is>
      </c>
      <c r="V1464" t="inlineStr">
        <is>
          <t>2007-01-04</t>
        </is>
      </c>
      <c r="W1464" t="inlineStr">
        <is>
          <t>2007-01-04</t>
        </is>
      </c>
      <c r="X1464" t="inlineStr">
        <is>
          <t>2007-01-04</t>
        </is>
      </c>
      <c r="Y1464" t="n">
        <v>138</v>
      </c>
      <c r="Z1464" t="n">
        <v>115</v>
      </c>
      <c r="AA1464" t="n">
        <v>116</v>
      </c>
      <c r="AB1464" t="n">
        <v>2</v>
      </c>
      <c r="AC1464" t="n">
        <v>2</v>
      </c>
      <c r="AD1464" t="n">
        <v>6</v>
      </c>
      <c r="AE1464" t="n">
        <v>6</v>
      </c>
      <c r="AF1464" t="n">
        <v>1</v>
      </c>
      <c r="AG1464" t="n">
        <v>1</v>
      </c>
      <c r="AH1464" t="n">
        <v>1</v>
      </c>
      <c r="AI1464" t="n">
        <v>1</v>
      </c>
      <c r="AJ1464" t="n">
        <v>4</v>
      </c>
      <c r="AK1464" t="n">
        <v>4</v>
      </c>
      <c r="AL1464" t="n">
        <v>1</v>
      </c>
      <c r="AM1464" t="n">
        <v>1</v>
      </c>
      <c r="AN1464" t="n">
        <v>0</v>
      </c>
      <c r="AO1464" t="n">
        <v>0</v>
      </c>
      <c r="AP1464" t="inlineStr">
        <is>
          <t>No</t>
        </is>
      </c>
      <c r="AQ1464" t="inlineStr">
        <is>
          <t>Yes</t>
        </is>
      </c>
      <c r="AR1464">
        <f>HYPERLINK("http://catalog.hathitrust.org/Record/102048261","HathiTrust Record")</f>
        <v/>
      </c>
      <c r="AS1464">
        <f>HYPERLINK("https://creighton-primo.hosted.exlibrisgroup.com/primo-explore/search?tab=default_tab&amp;search_scope=EVERYTHING&amp;vid=01CRU&amp;lang=en_US&amp;offset=0&amp;query=any,contains,991004989059702656","Catalog Record")</f>
        <v/>
      </c>
      <c r="AT1464">
        <f>HYPERLINK("http://www.worldcat.org/oclc/71779652","WorldCat Record")</f>
        <v/>
      </c>
      <c r="AU1464" t="inlineStr">
        <is>
          <t>58660310:eng</t>
        </is>
      </c>
      <c r="AV1464" t="inlineStr">
        <is>
          <t>71779652</t>
        </is>
      </c>
      <c r="AW1464" t="inlineStr">
        <is>
          <t>991004989059702656</t>
        </is>
      </c>
      <c r="AX1464" t="inlineStr">
        <is>
          <t>991004989059702656</t>
        </is>
      </c>
      <c r="AY1464" t="inlineStr">
        <is>
          <t>2256448590002656</t>
        </is>
      </c>
      <c r="AZ1464" t="inlineStr">
        <is>
          <t>BOOK</t>
        </is>
      </c>
      <c r="BB1464" t="inlineStr">
        <is>
          <t>9780761835172</t>
        </is>
      </c>
      <c r="BC1464" t="inlineStr">
        <is>
          <t>32285005268437</t>
        </is>
      </c>
      <c r="BD1464" t="inlineStr">
        <is>
          <t>893688443</t>
        </is>
      </c>
    </row>
    <row r="1465">
      <c r="A1465" t="inlineStr">
        <is>
          <t>No</t>
        </is>
      </c>
      <c r="B1465" t="inlineStr">
        <is>
          <t>LC1011 .S78 2003</t>
        </is>
      </c>
      <c r="C1465" t="inlineStr">
        <is>
          <t>0                      LC 1011000S  78          2003</t>
        </is>
      </c>
      <c r="D1465" t="inlineStr">
        <is>
          <t>A Student's guide to the liberal arts / edited by Wilburn T. Stancil.</t>
        </is>
      </c>
      <c r="F1465" t="inlineStr">
        <is>
          <t>No</t>
        </is>
      </c>
      <c r="G1465" t="inlineStr">
        <is>
          <t>1</t>
        </is>
      </c>
      <c r="H1465" t="inlineStr">
        <is>
          <t>No</t>
        </is>
      </c>
      <c r="I1465" t="inlineStr">
        <is>
          <t>No</t>
        </is>
      </c>
      <c r="J1465" t="inlineStr">
        <is>
          <t>0</t>
        </is>
      </c>
      <c r="L1465" t="inlineStr">
        <is>
          <t>Kansas City, Missouri : Rockhurst University Press, 2003.</t>
        </is>
      </c>
      <c r="M1465" t="inlineStr">
        <is>
          <t>2003</t>
        </is>
      </c>
      <c r="N1465" t="inlineStr">
        <is>
          <t>1st ed.</t>
        </is>
      </c>
      <c r="O1465" t="inlineStr">
        <is>
          <t>eng</t>
        </is>
      </c>
      <c r="P1465" t="inlineStr">
        <is>
          <t>mou</t>
        </is>
      </c>
      <c r="R1465" t="inlineStr">
        <is>
          <t xml:space="preserve">LC </t>
        </is>
      </c>
      <c r="S1465" t="n">
        <v>2</v>
      </c>
      <c r="T1465" t="n">
        <v>2</v>
      </c>
      <c r="U1465" t="inlineStr">
        <is>
          <t>2006-09-11</t>
        </is>
      </c>
      <c r="V1465" t="inlineStr">
        <is>
          <t>2006-09-11</t>
        </is>
      </c>
      <c r="W1465" t="inlineStr">
        <is>
          <t>2003-04-02</t>
        </is>
      </c>
      <c r="X1465" t="inlineStr">
        <is>
          <t>2003-04-02</t>
        </is>
      </c>
      <c r="Y1465" t="n">
        <v>191</v>
      </c>
      <c r="Z1465" t="n">
        <v>181</v>
      </c>
      <c r="AA1465" t="n">
        <v>187</v>
      </c>
      <c r="AB1465" t="n">
        <v>3</v>
      </c>
      <c r="AC1465" t="n">
        <v>3</v>
      </c>
      <c r="AD1465" t="n">
        <v>15</v>
      </c>
      <c r="AE1465" t="n">
        <v>15</v>
      </c>
      <c r="AF1465" t="n">
        <v>4</v>
      </c>
      <c r="AG1465" t="n">
        <v>4</v>
      </c>
      <c r="AH1465" t="n">
        <v>2</v>
      </c>
      <c r="AI1465" t="n">
        <v>2</v>
      </c>
      <c r="AJ1465" t="n">
        <v>9</v>
      </c>
      <c r="AK1465" t="n">
        <v>9</v>
      </c>
      <c r="AL1465" t="n">
        <v>2</v>
      </c>
      <c r="AM1465" t="n">
        <v>2</v>
      </c>
      <c r="AN1465" t="n">
        <v>0</v>
      </c>
      <c r="AO1465" t="n">
        <v>0</v>
      </c>
      <c r="AP1465" t="inlineStr">
        <is>
          <t>No</t>
        </is>
      </c>
      <c r="AQ1465" t="inlineStr">
        <is>
          <t>Yes</t>
        </is>
      </c>
      <c r="AR1465">
        <f>HYPERLINK("http://catalog.hathitrust.org/Record/004306249","HathiTrust Record")</f>
        <v/>
      </c>
      <c r="AS1465">
        <f>HYPERLINK("https://creighton-primo.hosted.exlibrisgroup.com/primo-explore/search?tab=default_tab&amp;search_scope=EVERYTHING&amp;vid=01CRU&amp;lang=en_US&amp;offset=0&amp;query=any,contains,991004003039702656","Catalog Record")</f>
        <v/>
      </c>
      <c r="AT1465">
        <f>HYPERLINK("http://www.worldcat.org/oclc/51657332","WorldCat Record")</f>
        <v/>
      </c>
      <c r="AU1465" t="inlineStr">
        <is>
          <t>1068473:eng</t>
        </is>
      </c>
      <c r="AV1465" t="inlineStr">
        <is>
          <t>51657332</t>
        </is>
      </c>
      <c r="AW1465" t="inlineStr">
        <is>
          <t>991004003039702656</t>
        </is>
      </c>
      <c r="AX1465" t="inlineStr">
        <is>
          <t>991004003039702656</t>
        </is>
      </c>
      <c r="AY1465" t="inlineStr">
        <is>
          <t>2271096560002656</t>
        </is>
      </c>
      <c r="AZ1465" t="inlineStr">
        <is>
          <t>BOOK</t>
        </is>
      </c>
      <c r="BB1465" t="inlineStr">
        <is>
          <t>9781886761278</t>
        </is>
      </c>
      <c r="BC1465" t="inlineStr">
        <is>
          <t>32285004689039</t>
        </is>
      </c>
      <c r="BD1465" t="inlineStr">
        <is>
          <t>893618099</t>
        </is>
      </c>
    </row>
    <row r="1466">
      <c r="A1466" t="inlineStr">
        <is>
          <t>No</t>
        </is>
      </c>
      <c r="B1466" t="inlineStr">
        <is>
          <t>LC1011 .W53</t>
        </is>
      </c>
      <c r="C1466" t="inlineStr">
        <is>
          <t>0                      LC 1011000W  53</t>
        </is>
      </c>
      <c r="D1466" t="inlineStr">
        <is>
          <t>A new case for the liberal arts / David G. Winter, David C. McClelland, Abigail J. Stewart.</t>
        </is>
      </c>
      <c r="F1466" t="inlineStr">
        <is>
          <t>No</t>
        </is>
      </c>
      <c r="G1466" t="inlineStr">
        <is>
          <t>1</t>
        </is>
      </c>
      <c r="H1466" t="inlineStr">
        <is>
          <t>No</t>
        </is>
      </c>
      <c r="I1466" t="inlineStr">
        <is>
          <t>No</t>
        </is>
      </c>
      <c r="J1466" t="inlineStr">
        <is>
          <t>0</t>
        </is>
      </c>
      <c r="K1466" t="inlineStr">
        <is>
          <t>Winter, David G., 1939-</t>
        </is>
      </c>
      <c r="L1466" t="inlineStr">
        <is>
          <t>San Francisco : Jossey-Bass, 1981.</t>
        </is>
      </c>
      <c r="M1466" t="inlineStr">
        <is>
          <t>1981</t>
        </is>
      </c>
      <c r="N1466" t="inlineStr">
        <is>
          <t>1st ed.</t>
        </is>
      </c>
      <c r="O1466" t="inlineStr">
        <is>
          <t>eng</t>
        </is>
      </c>
      <c r="P1466" t="inlineStr">
        <is>
          <t>cau</t>
        </is>
      </c>
      <c r="Q1466" t="inlineStr">
        <is>
          <t>The Jossey-Bass series in higher education</t>
        </is>
      </c>
      <c r="R1466" t="inlineStr">
        <is>
          <t xml:space="preserve">LC </t>
        </is>
      </c>
      <c r="S1466" t="n">
        <v>2</v>
      </c>
      <c r="T1466" t="n">
        <v>2</v>
      </c>
      <c r="U1466" t="inlineStr">
        <is>
          <t>2006-09-11</t>
        </is>
      </c>
      <c r="V1466" t="inlineStr">
        <is>
          <t>2006-09-11</t>
        </is>
      </c>
      <c r="W1466" t="inlineStr">
        <is>
          <t>1992-04-14</t>
        </is>
      </c>
      <c r="X1466" t="inlineStr">
        <is>
          <t>1992-04-14</t>
        </is>
      </c>
      <c r="Y1466" t="n">
        <v>960</v>
      </c>
      <c r="Z1466" t="n">
        <v>876</v>
      </c>
      <c r="AA1466" t="n">
        <v>903</v>
      </c>
      <c r="AB1466" t="n">
        <v>7</v>
      </c>
      <c r="AC1466" t="n">
        <v>7</v>
      </c>
      <c r="AD1466" t="n">
        <v>42</v>
      </c>
      <c r="AE1466" t="n">
        <v>43</v>
      </c>
      <c r="AF1466" t="n">
        <v>20</v>
      </c>
      <c r="AG1466" t="n">
        <v>21</v>
      </c>
      <c r="AH1466" t="n">
        <v>8</v>
      </c>
      <c r="AI1466" t="n">
        <v>8</v>
      </c>
      <c r="AJ1466" t="n">
        <v>22</v>
      </c>
      <c r="AK1466" t="n">
        <v>22</v>
      </c>
      <c r="AL1466" t="n">
        <v>6</v>
      </c>
      <c r="AM1466" t="n">
        <v>6</v>
      </c>
      <c r="AN1466" t="n">
        <v>0</v>
      </c>
      <c r="AO1466" t="n">
        <v>0</v>
      </c>
      <c r="AP1466" t="inlineStr">
        <is>
          <t>No</t>
        </is>
      </c>
      <c r="AQ1466" t="inlineStr">
        <is>
          <t>Yes</t>
        </is>
      </c>
      <c r="AR1466">
        <f>HYPERLINK("http://catalog.hathitrust.org/Record/000141539","HathiTrust Record")</f>
        <v/>
      </c>
      <c r="AS1466">
        <f>HYPERLINK("https://creighton-primo.hosted.exlibrisgroup.com/primo-explore/search?tab=default_tab&amp;search_scope=EVERYTHING&amp;vid=01CRU&amp;lang=en_US&amp;offset=0&amp;query=any,contains,991005254739702656","Catalog Record")</f>
        <v/>
      </c>
      <c r="AT1466">
        <f>HYPERLINK("http://www.worldcat.org/oclc/7653834","WorldCat Record")</f>
        <v/>
      </c>
      <c r="AU1466" t="inlineStr">
        <is>
          <t>532894:eng</t>
        </is>
      </c>
      <c r="AV1466" t="inlineStr">
        <is>
          <t>7653834</t>
        </is>
      </c>
      <c r="AW1466" t="inlineStr">
        <is>
          <t>991005254739702656</t>
        </is>
      </c>
      <c r="AX1466" t="inlineStr">
        <is>
          <t>991005254739702656</t>
        </is>
      </c>
      <c r="AY1466" t="inlineStr">
        <is>
          <t>2258744180002656</t>
        </is>
      </c>
      <c r="AZ1466" t="inlineStr">
        <is>
          <t>BOOK</t>
        </is>
      </c>
      <c r="BB1466" t="inlineStr">
        <is>
          <t>9780875895024</t>
        </is>
      </c>
      <c r="BC1466" t="inlineStr">
        <is>
          <t>32285001068310</t>
        </is>
      </c>
      <c r="BD1466" t="inlineStr">
        <is>
          <t>893902376</t>
        </is>
      </c>
    </row>
    <row r="1467">
      <c r="A1467" t="inlineStr">
        <is>
          <t>No</t>
        </is>
      </c>
      <c r="B1467" t="inlineStr">
        <is>
          <t>LC1023 .K56 1998</t>
        </is>
      </c>
      <c r="C1467" t="inlineStr">
        <is>
          <t>0                      LC 1023000K  56          1998</t>
        </is>
      </c>
      <c r="D1467" t="inlineStr">
        <is>
          <t>Tenured radicals : how politics has corrupted our higher education / Roger Kimball.</t>
        </is>
      </c>
      <c r="F1467" t="inlineStr">
        <is>
          <t>No</t>
        </is>
      </c>
      <c r="G1467" t="inlineStr">
        <is>
          <t>1</t>
        </is>
      </c>
      <c r="H1467" t="inlineStr">
        <is>
          <t>No</t>
        </is>
      </c>
      <c r="I1467" t="inlineStr">
        <is>
          <t>No</t>
        </is>
      </c>
      <c r="J1467" t="inlineStr">
        <is>
          <t>0</t>
        </is>
      </c>
      <c r="K1467" t="inlineStr">
        <is>
          <t>Kimball, Roger, 1953-</t>
        </is>
      </c>
      <c r="L1467" t="inlineStr">
        <is>
          <t>Chicago : Elephant Paperbacks, 1998.</t>
        </is>
      </c>
      <c r="M1467" t="inlineStr">
        <is>
          <t>1998</t>
        </is>
      </c>
      <c r="N1467" t="inlineStr">
        <is>
          <t>Rev. ed., with a new introd. by the author, 1st Elephant pbk. ed.</t>
        </is>
      </c>
      <c r="O1467" t="inlineStr">
        <is>
          <t>eng</t>
        </is>
      </c>
      <c r="P1467" t="inlineStr">
        <is>
          <t>ilu</t>
        </is>
      </c>
      <c r="R1467" t="inlineStr">
        <is>
          <t xml:space="preserve">LC </t>
        </is>
      </c>
      <c r="S1467" t="n">
        <v>4</v>
      </c>
      <c r="T1467" t="n">
        <v>4</v>
      </c>
      <c r="U1467" t="inlineStr">
        <is>
          <t>2008-07-02</t>
        </is>
      </c>
      <c r="V1467" t="inlineStr">
        <is>
          <t>2008-07-02</t>
        </is>
      </c>
      <c r="W1467" t="inlineStr">
        <is>
          <t>1998-08-25</t>
        </is>
      </c>
      <c r="X1467" t="inlineStr">
        <is>
          <t>1998-08-25</t>
        </is>
      </c>
      <c r="Y1467" t="n">
        <v>264</v>
      </c>
      <c r="Z1467" t="n">
        <v>221</v>
      </c>
      <c r="AA1467" t="n">
        <v>1125</v>
      </c>
      <c r="AB1467" t="n">
        <v>2</v>
      </c>
      <c r="AC1467" t="n">
        <v>6</v>
      </c>
      <c r="AD1467" t="n">
        <v>11</v>
      </c>
      <c r="AE1467" t="n">
        <v>47</v>
      </c>
      <c r="AF1467" t="n">
        <v>3</v>
      </c>
      <c r="AG1467" t="n">
        <v>19</v>
      </c>
      <c r="AH1467" t="n">
        <v>3</v>
      </c>
      <c r="AI1467" t="n">
        <v>9</v>
      </c>
      <c r="AJ1467" t="n">
        <v>5</v>
      </c>
      <c r="AK1467" t="n">
        <v>21</v>
      </c>
      <c r="AL1467" t="n">
        <v>1</v>
      </c>
      <c r="AM1467" t="n">
        <v>5</v>
      </c>
      <c r="AN1467" t="n">
        <v>1</v>
      </c>
      <c r="AO1467" t="n">
        <v>5</v>
      </c>
      <c r="AP1467" t="inlineStr">
        <is>
          <t>No</t>
        </is>
      </c>
      <c r="AQ1467" t="inlineStr">
        <is>
          <t>Yes</t>
        </is>
      </c>
      <c r="AR1467">
        <f>HYPERLINK("http://catalog.hathitrust.org/Record/003991919","HathiTrust Record")</f>
        <v/>
      </c>
      <c r="AS1467">
        <f>HYPERLINK("https://creighton-primo.hosted.exlibrisgroup.com/primo-explore/search?tab=default_tab&amp;search_scope=EVERYTHING&amp;vid=01CRU&amp;lang=en_US&amp;offset=0&amp;query=any,contains,991002901589702656","Catalog Record")</f>
        <v/>
      </c>
      <c r="AT1467">
        <f>HYPERLINK("http://www.worldcat.org/oclc/38257884","WorldCat Record")</f>
        <v/>
      </c>
      <c r="AU1467" t="inlineStr">
        <is>
          <t>678026:eng</t>
        </is>
      </c>
      <c r="AV1467" t="inlineStr">
        <is>
          <t>38257884</t>
        </is>
      </c>
      <c r="AW1467" t="inlineStr">
        <is>
          <t>991002901589702656</t>
        </is>
      </c>
      <c r="AX1467" t="inlineStr">
        <is>
          <t>991002901589702656</t>
        </is>
      </c>
      <c r="AY1467" t="inlineStr">
        <is>
          <t>2270680420002656</t>
        </is>
      </c>
      <c r="AZ1467" t="inlineStr">
        <is>
          <t>BOOK</t>
        </is>
      </c>
      <c r="BB1467" t="inlineStr">
        <is>
          <t>9781566631952</t>
        </is>
      </c>
      <c r="BC1467" t="inlineStr">
        <is>
          <t>32285003461570</t>
        </is>
      </c>
      <c r="BD1467" t="inlineStr">
        <is>
          <t>893780371</t>
        </is>
      </c>
    </row>
    <row r="1468">
      <c r="A1468" t="inlineStr">
        <is>
          <t>No</t>
        </is>
      </c>
      <c r="B1468" t="inlineStr">
        <is>
          <t>LC1037.5 .C684 2007</t>
        </is>
      </c>
      <c r="C1468" t="inlineStr">
        <is>
          <t>0                      LC 1037500C  684         2007</t>
        </is>
      </c>
      <c r="D1468" t="inlineStr">
        <is>
          <t>25 ways to make college pay off : advice for anxious parents from a professor who's seen it all / Bill Coplin.</t>
        </is>
      </c>
      <c r="F1468" t="inlineStr">
        <is>
          <t>No</t>
        </is>
      </c>
      <c r="G1468" t="inlineStr">
        <is>
          <t>1</t>
        </is>
      </c>
      <c r="H1468" t="inlineStr">
        <is>
          <t>No</t>
        </is>
      </c>
      <c r="I1468" t="inlineStr">
        <is>
          <t>No</t>
        </is>
      </c>
      <c r="J1468" t="inlineStr">
        <is>
          <t>0</t>
        </is>
      </c>
      <c r="K1468" t="inlineStr">
        <is>
          <t>Coplin, William D.</t>
        </is>
      </c>
      <c r="L1468" t="inlineStr">
        <is>
          <t>New York : AMACOM/American Management Association, c2007.</t>
        </is>
      </c>
      <c r="M1468" t="inlineStr">
        <is>
          <t>2007</t>
        </is>
      </c>
      <c r="O1468" t="inlineStr">
        <is>
          <t>eng</t>
        </is>
      </c>
      <c r="P1468" t="inlineStr">
        <is>
          <t>nyu</t>
        </is>
      </c>
      <c r="R1468" t="inlineStr">
        <is>
          <t xml:space="preserve">LC </t>
        </is>
      </c>
      <c r="S1468" t="n">
        <v>3</v>
      </c>
      <c r="T1468" t="n">
        <v>3</v>
      </c>
      <c r="U1468" t="inlineStr">
        <is>
          <t>2007-08-28</t>
        </is>
      </c>
      <c r="V1468" t="inlineStr">
        <is>
          <t>2007-08-28</t>
        </is>
      </c>
      <c r="W1468" t="inlineStr">
        <is>
          <t>2007-07-23</t>
        </is>
      </c>
      <c r="X1468" t="inlineStr">
        <is>
          <t>2007-07-23</t>
        </is>
      </c>
      <c r="Y1468" t="n">
        <v>155</v>
      </c>
      <c r="Z1468" t="n">
        <v>147</v>
      </c>
      <c r="AA1468" t="n">
        <v>769</v>
      </c>
      <c r="AB1468" t="n">
        <v>2</v>
      </c>
      <c r="AC1468" t="n">
        <v>13</v>
      </c>
      <c r="AD1468" t="n">
        <v>4</v>
      </c>
      <c r="AE1468" t="n">
        <v>18</v>
      </c>
      <c r="AF1468" t="n">
        <v>1</v>
      </c>
      <c r="AG1468" t="n">
        <v>8</v>
      </c>
      <c r="AH1468" t="n">
        <v>1</v>
      </c>
      <c r="AI1468" t="n">
        <v>2</v>
      </c>
      <c r="AJ1468" t="n">
        <v>2</v>
      </c>
      <c r="AK1468" t="n">
        <v>4</v>
      </c>
      <c r="AL1468" t="n">
        <v>1</v>
      </c>
      <c r="AM1468" t="n">
        <v>8</v>
      </c>
      <c r="AN1468" t="n">
        <v>0</v>
      </c>
      <c r="AO1468" t="n">
        <v>0</v>
      </c>
      <c r="AP1468" t="inlineStr">
        <is>
          <t>No</t>
        </is>
      </c>
      <c r="AQ1468" t="inlineStr">
        <is>
          <t>No</t>
        </is>
      </c>
      <c r="AS1468">
        <f>HYPERLINK("https://creighton-primo.hosted.exlibrisgroup.com/primo-explore/search?tab=default_tab&amp;search_scope=EVERYTHING&amp;vid=01CRU&amp;lang=en_US&amp;offset=0&amp;query=any,contains,991005102959702656","Catalog Record")</f>
        <v/>
      </c>
      <c r="AT1468">
        <f>HYPERLINK("http://www.worldcat.org/oclc/84838764","WorldCat Record")</f>
        <v/>
      </c>
      <c r="AU1468" t="inlineStr">
        <is>
          <t>801667954:eng</t>
        </is>
      </c>
      <c r="AV1468" t="inlineStr">
        <is>
          <t>84838764</t>
        </is>
      </c>
      <c r="AW1468" t="inlineStr">
        <is>
          <t>991005102959702656</t>
        </is>
      </c>
      <c r="AX1468" t="inlineStr">
        <is>
          <t>991005102959702656</t>
        </is>
      </c>
      <c r="AY1468" t="inlineStr">
        <is>
          <t>2259178100002656</t>
        </is>
      </c>
      <c r="AZ1468" t="inlineStr">
        <is>
          <t>BOOK</t>
        </is>
      </c>
      <c r="BB1468" t="inlineStr">
        <is>
          <t>9780814474563</t>
        </is>
      </c>
      <c r="BC1468" t="inlineStr">
        <is>
          <t>32285005321368</t>
        </is>
      </c>
      <c r="BD1468" t="inlineStr">
        <is>
          <t>893236281</t>
        </is>
      </c>
    </row>
    <row r="1469">
      <c r="A1469" t="inlineStr">
        <is>
          <t>No</t>
        </is>
      </c>
      <c r="B1469" t="inlineStr">
        <is>
          <t>LC1049.5 .L4 1995</t>
        </is>
      </c>
      <c r="C1469" t="inlineStr">
        <is>
          <t>0                      LC 1049500L  4           1995</t>
        </is>
      </c>
      <c r="D1469" t="inlineStr">
        <is>
          <t>Learning to work : employer involvement in school-to-work transition programs / edited by Thomas R. Bailey.</t>
        </is>
      </c>
      <c r="F1469" t="inlineStr">
        <is>
          <t>No</t>
        </is>
      </c>
      <c r="G1469" t="inlineStr">
        <is>
          <t>1</t>
        </is>
      </c>
      <c r="H1469" t="inlineStr">
        <is>
          <t>No</t>
        </is>
      </c>
      <c r="I1469" t="inlineStr">
        <is>
          <t>No</t>
        </is>
      </c>
      <c r="J1469" t="inlineStr">
        <is>
          <t>0</t>
        </is>
      </c>
      <c r="L1469" t="inlineStr">
        <is>
          <t>Washington, D.C. : Brookings Institution, c1995.</t>
        </is>
      </c>
      <c r="M1469" t="inlineStr">
        <is>
          <t>1995</t>
        </is>
      </c>
      <c r="O1469" t="inlineStr">
        <is>
          <t>eng</t>
        </is>
      </c>
      <c r="P1469" t="inlineStr">
        <is>
          <t>dcu</t>
        </is>
      </c>
      <c r="Q1469" t="inlineStr">
        <is>
          <t>Brookings dialogues on public policy</t>
        </is>
      </c>
      <c r="R1469" t="inlineStr">
        <is>
          <t xml:space="preserve">LC </t>
        </is>
      </c>
      <c r="S1469" t="n">
        <v>4</v>
      </c>
      <c r="T1469" t="n">
        <v>4</v>
      </c>
      <c r="U1469" t="inlineStr">
        <is>
          <t>2002-09-25</t>
        </is>
      </c>
      <c r="V1469" t="inlineStr">
        <is>
          <t>2002-09-25</t>
        </is>
      </c>
      <c r="W1469" t="inlineStr">
        <is>
          <t>1995-11-14</t>
        </is>
      </c>
      <c r="X1469" t="inlineStr">
        <is>
          <t>1995-11-14</t>
        </is>
      </c>
      <c r="Y1469" t="n">
        <v>424</v>
      </c>
      <c r="Z1469" t="n">
        <v>387</v>
      </c>
      <c r="AA1469" t="n">
        <v>389</v>
      </c>
      <c r="AB1469" t="n">
        <v>4</v>
      </c>
      <c r="AC1469" t="n">
        <v>4</v>
      </c>
      <c r="AD1469" t="n">
        <v>18</v>
      </c>
      <c r="AE1469" t="n">
        <v>18</v>
      </c>
      <c r="AF1469" t="n">
        <v>6</v>
      </c>
      <c r="AG1469" t="n">
        <v>6</v>
      </c>
      <c r="AH1469" t="n">
        <v>3</v>
      </c>
      <c r="AI1469" t="n">
        <v>3</v>
      </c>
      <c r="AJ1469" t="n">
        <v>9</v>
      </c>
      <c r="AK1469" t="n">
        <v>9</v>
      </c>
      <c r="AL1469" t="n">
        <v>3</v>
      </c>
      <c r="AM1469" t="n">
        <v>3</v>
      </c>
      <c r="AN1469" t="n">
        <v>1</v>
      </c>
      <c r="AO1469" t="n">
        <v>1</v>
      </c>
      <c r="AP1469" t="inlineStr">
        <is>
          <t>No</t>
        </is>
      </c>
      <c r="AQ1469" t="inlineStr">
        <is>
          <t>Yes</t>
        </is>
      </c>
      <c r="AR1469">
        <f>HYPERLINK("http://catalog.hathitrust.org/Record/003018367","HathiTrust Record")</f>
        <v/>
      </c>
      <c r="AS1469">
        <f>HYPERLINK("https://creighton-primo.hosted.exlibrisgroup.com/primo-explore/search?tab=default_tab&amp;search_scope=EVERYTHING&amp;vid=01CRU&amp;lang=en_US&amp;offset=0&amp;query=any,contains,991002553349702656","Catalog Record")</f>
        <v/>
      </c>
      <c r="AT1469">
        <f>HYPERLINK("http://www.worldcat.org/oclc/33181553","WorldCat Record")</f>
        <v/>
      </c>
      <c r="AU1469" t="inlineStr">
        <is>
          <t>891707145:eng</t>
        </is>
      </c>
      <c r="AV1469" t="inlineStr">
        <is>
          <t>33181553</t>
        </is>
      </c>
      <c r="AW1469" t="inlineStr">
        <is>
          <t>991002553349702656</t>
        </is>
      </c>
      <c r="AX1469" t="inlineStr">
        <is>
          <t>991002553349702656</t>
        </is>
      </c>
      <c r="AY1469" t="inlineStr">
        <is>
          <t>2262684180002656</t>
        </is>
      </c>
      <c r="AZ1469" t="inlineStr">
        <is>
          <t>BOOK</t>
        </is>
      </c>
      <c r="BB1469" t="inlineStr">
        <is>
          <t>9780815707738</t>
        </is>
      </c>
      <c r="BC1469" t="inlineStr">
        <is>
          <t>32285002088127</t>
        </is>
      </c>
      <c r="BD1469" t="inlineStr">
        <is>
          <t>893434012</t>
        </is>
      </c>
    </row>
    <row r="1470">
      <c r="A1470" t="inlineStr">
        <is>
          <t>No</t>
        </is>
      </c>
      <c r="B1470" t="inlineStr">
        <is>
          <t>LC1059 .P75 1994</t>
        </is>
      </c>
      <c r="C1470" t="inlineStr">
        <is>
          <t>0                      LC 1059000P  75          1994</t>
        </is>
      </c>
      <c r="D1470" t="inlineStr">
        <is>
          <t>Professional education in the United States : experiential learning, issues, and prospects / edited by Solomon Hoberman and Sidney Mailick ; with contributions by Robert H. Ebert ... [et al.].</t>
        </is>
      </c>
      <c r="F1470" t="inlineStr">
        <is>
          <t>No</t>
        </is>
      </c>
      <c r="G1470" t="inlineStr">
        <is>
          <t>1</t>
        </is>
      </c>
      <c r="H1470" t="inlineStr">
        <is>
          <t>No</t>
        </is>
      </c>
      <c r="I1470" t="inlineStr">
        <is>
          <t>No</t>
        </is>
      </c>
      <c r="J1470" t="inlineStr">
        <is>
          <t>0</t>
        </is>
      </c>
      <c r="L1470" t="inlineStr">
        <is>
          <t>Westport, Conn. : Praeger, 1994.</t>
        </is>
      </c>
      <c r="M1470" t="inlineStr">
        <is>
          <t>1994</t>
        </is>
      </c>
      <c r="O1470" t="inlineStr">
        <is>
          <t>eng</t>
        </is>
      </c>
      <c r="P1470" t="inlineStr">
        <is>
          <t>ctu</t>
        </is>
      </c>
      <c r="R1470" t="inlineStr">
        <is>
          <t xml:space="preserve">LC </t>
        </is>
      </c>
      <c r="S1470" t="n">
        <v>2</v>
      </c>
      <c r="T1470" t="n">
        <v>2</v>
      </c>
      <c r="U1470" t="inlineStr">
        <is>
          <t>2004-03-29</t>
        </is>
      </c>
      <c r="V1470" t="inlineStr">
        <is>
          <t>2004-03-29</t>
        </is>
      </c>
      <c r="W1470" t="inlineStr">
        <is>
          <t>2001-12-20</t>
        </is>
      </c>
      <c r="X1470" t="inlineStr">
        <is>
          <t>2001-12-20</t>
        </is>
      </c>
      <c r="Y1470" t="n">
        <v>209</v>
      </c>
      <c r="Z1470" t="n">
        <v>184</v>
      </c>
      <c r="AA1470" t="n">
        <v>502</v>
      </c>
      <c r="AB1470" t="n">
        <v>2</v>
      </c>
      <c r="AC1470" t="n">
        <v>4</v>
      </c>
      <c r="AD1470" t="n">
        <v>8</v>
      </c>
      <c r="AE1470" t="n">
        <v>14</v>
      </c>
      <c r="AF1470" t="n">
        <v>1</v>
      </c>
      <c r="AG1470" t="n">
        <v>4</v>
      </c>
      <c r="AH1470" t="n">
        <v>4</v>
      </c>
      <c r="AI1470" t="n">
        <v>4</v>
      </c>
      <c r="AJ1470" t="n">
        <v>5</v>
      </c>
      <c r="AK1470" t="n">
        <v>7</v>
      </c>
      <c r="AL1470" t="n">
        <v>1</v>
      </c>
      <c r="AM1470" t="n">
        <v>3</v>
      </c>
      <c r="AN1470" t="n">
        <v>0</v>
      </c>
      <c r="AO1470" t="n">
        <v>0</v>
      </c>
      <c r="AP1470" t="inlineStr">
        <is>
          <t>No</t>
        </is>
      </c>
      <c r="AQ1470" t="inlineStr">
        <is>
          <t>Yes</t>
        </is>
      </c>
      <c r="AR1470">
        <f>HYPERLINK("http://catalog.hathitrust.org/Record/002908344","HathiTrust Record")</f>
        <v/>
      </c>
      <c r="AS1470">
        <f>HYPERLINK("https://creighton-primo.hosted.exlibrisgroup.com/primo-explore/search?tab=default_tab&amp;search_scope=EVERYTHING&amp;vid=01CRU&amp;lang=en_US&amp;offset=0&amp;query=any,contains,991003679689702656","Catalog Record")</f>
        <v/>
      </c>
      <c r="AT1470">
        <f>HYPERLINK("http://www.worldcat.org/oclc/29794125","WorldCat Record")</f>
        <v/>
      </c>
      <c r="AU1470" t="inlineStr">
        <is>
          <t>797298678:eng</t>
        </is>
      </c>
      <c r="AV1470" t="inlineStr">
        <is>
          <t>29794125</t>
        </is>
      </c>
      <c r="AW1470" t="inlineStr">
        <is>
          <t>991003679689702656</t>
        </is>
      </c>
      <c r="AX1470" t="inlineStr">
        <is>
          <t>991003679689702656</t>
        </is>
      </c>
      <c r="AY1470" t="inlineStr">
        <is>
          <t>2257445460002656</t>
        </is>
      </c>
      <c r="AZ1470" t="inlineStr">
        <is>
          <t>BOOK</t>
        </is>
      </c>
      <c r="BB1470" t="inlineStr">
        <is>
          <t>9780275933869</t>
        </is>
      </c>
      <c r="BC1470" t="inlineStr">
        <is>
          <t>32285004429600</t>
        </is>
      </c>
      <c r="BD1470" t="inlineStr">
        <is>
          <t>893900241</t>
        </is>
      </c>
    </row>
    <row r="1471">
      <c r="A1471" t="inlineStr">
        <is>
          <t>No</t>
        </is>
      </c>
      <c r="B1471" t="inlineStr">
        <is>
          <t>LC1085.2 .A48 1988</t>
        </is>
      </c>
      <c r="C1471" t="inlineStr">
        <is>
          <t>0                      LC 1085200A  48          1988</t>
        </is>
      </c>
      <c r="D1471" t="inlineStr">
        <is>
          <t>American business and the public school : case studies of corporate involvement in public education / Marsha Levine, Roberta Trachtman, editors.</t>
        </is>
      </c>
      <c r="F1471" t="inlineStr">
        <is>
          <t>No</t>
        </is>
      </c>
      <c r="G1471" t="inlineStr">
        <is>
          <t>1</t>
        </is>
      </c>
      <c r="H1471" t="inlineStr">
        <is>
          <t>No</t>
        </is>
      </c>
      <c r="I1471" t="inlineStr">
        <is>
          <t>No</t>
        </is>
      </c>
      <c r="J1471" t="inlineStr">
        <is>
          <t>0</t>
        </is>
      </c>
      <c r="L1471" t="inlineStr">
        <is>
          <t>New York, NY : Teachers College Press, c1988.</t>
        </is>
      </c>
      <c r="M1471" t="inlineStr">
        <is>
          <t>1988</t>
        </is>
      </c>
      <c r="O1471" t="inlineStr">
        <is>
          <t>eng</t>
        </is>
      </c>
      <c r="P1471" t="inlineStr">
        <is>
          <t>nyu</t>
        </is>
      </c>
      <c r="R1471" t="inlineStr">
        <is>
          <t xml:space="preserve">LC </t>
        </is>
      </c>
      <c r="S1471" t="n">
        <v>4</v>
      </c>
      <c r="T1471" t="n">
        <v>4</v>
      </c>
      <c r="U1471" t="inlineStr">
        <is>
          <t>1996-07-22</t>
        </is>
      </c>
      <c r="V1471" t="inlineStr">
        <is>
          <t>1996-07-22</t>
        </is>
      </c>
      <c r="W1471" t="inlineStr">
        <is>
          <t>1992-08-27</t>
        </is>
      </c>
      <c r="X1471" t="inlineStr">
        <is>
          <t>1992-08-27</t>
        </is>
      </c>
      <c r="Y1471" t="n">
        <v>449</v>
      </c>
      <c r="Z1471" t="n">
        <v>416</v>
      </c>
      <c r="AA1471" t="n">
        <v>417</v>
      </c>
      <c r="AB1471" t="n">
        <v>3</v>
      </c>
      <c r="AC1471" t="n">
        <v>3</v>
      </c>
      <c r="AD1471" t="n">
        <v>17</v>
      </c>
      <c r="AE1471" t="n">
        <v>17</v>
      </c>
      <c r="AF1471" t="n">
        <v>6</v>
      </c>
      <c r="AG1471" t="n">
        <v>6</v>
      </c>
      <c r="AH1471" t="n">
        <v>2</v>
      </c>
      <c r="AI1471" t="n">
        <v>2</v>
      </c>
      <c r="AJ1471" t="n">
        <v>10</v>
      </c>
      <c r="AK1471" t="n">
        <v>10</v>
      </c>
      <c r="AL1471" t="n">
        <v>2</v>
      </c>
      <c r="AM1471" t="n">
        <v>2</v>
      </c>
      <c r="AN1471" t="n">
        <v>0</v>
      </c>
      <c r="AO1471" t="n">
        <v>0</v>
      </c>
      <c r="AP1471" t="inlineStr">
        <is>
          <t>No</t>
        </is>
      </c>
      <c r="AQ1471" t="inlineStr">
        <is>
          <t>No</t>
        </is>
      </c>
      <c r="AS1471">
        <f>HYPERLINK("https://creighton-primo.hosted.exlibrisgroup.com/primo-explore/search?tab=default_tab&amp;search_scope=EVERYTHING&amp;vid=01CRU&amp;lang=en_US&amp;offset=0&amp;query=any,contains,991001150049702656","Catalog Record")</f>
        <v/>
      </c>
      <c r="AT1471">
        <f>HYPERLINK("http://www.worldcat.org/oclc/16805426","WorldCat Record")</f>
        <v/>
      </c>
      <c r="AU1471" t="inlineStr">
        <is>
          <t>355900368:eng</t>
        </is>
      </c>
      <c r="AV1471" t="inlineStr">
        <is>
          <t>16805426</t>
        </is>
      </c>
      <c r="AW1471" t="inlineStr">
        <is>
          <t>991001150049702656</t>
        </is>
      </c>
      <c r="AX1471" t="inlineStr">
        <is>
          <t>991001150049702656</t>
        </is>
      </c>
      <c r="AY1471" t="inlineStr">
        <is>
          <t>2269897570002656</t>
        </is>
      </c>
      <c r="AZ1471" t="inlineStr">
        <is>
          <t>BOOK</t>
        </is>
      </c>
      <c r="BB1471" t="inlineStr">
        <is>
          <t>9780807728802</t>
        </is>
      </c>
      <c r="BC1471" t="inlineStr">
        <is>
          <t>32285001282994</t>
        </is>
      </c>
      <c r="BD1471" t="inlineStr">
        <is>
          <t>893250015</t>
        </is>
      </c>
    </row>
    <row r="1472">
      <c r="A1472" t="inlineStr">
        <is>
          <t>No</t>
        </is>
      </c>
      <c r="B1472" t="inlineStr">
        <is>
          <t>LC1085.2 .L86 1992</t>
        </is>
      </c>
      <c r="C1472" t="inlineStr">
        <is>
          <t>0                      LC 1085200L  86          1992</t>
        </is>
      </c>
      <c r="D1472" t="inlineStr">
        <is>
          <t>Corporate mentoring in U.S. schools : the outstretched hand / [by Leonard Lund].</t>
        </is>
      </c>
      <c r="F1472" t="inlineStr">
        <is>
          <t>No</t>
        </is>
      </c>
      <c r="G1472" t="inlineStr">
        <is>
          <t>1</t>
        </is>
      </c>
      <c r="H1472" t="inlineStr">
        <is>
          <t>No</t>
        </is>
      </c>
      <c r="I1472" t="inlineStr">
        <is>
          <t>No</t>
        </is>
      </c>
      <c r="J1472" t="inlineStr">
        <is>
          <t>0</t>
        </is>
      </c>
      <c r="K1472" t="inlineStr">
        <is>
          <t>Lund, Leonard.</t>
        </is>
      </c>
      <c r="L1472" t="inlineStr">
        <is>
          <t>New York, NY : Conference Board, c1992.</t>
        </is>
      </c>
      <c r="M1472" t="inlineStr">
        <is>
          <t>1992</t>
        </is>
      </c>
      <c r="O1472" t="inlineStr">
        <is>
          <t>eng</t>
        </is>
      </c>
      <c r="P1472" t="inlineStr">
        <is>
          <t>nyu</t>
        </is>
      </c>
      <c r="Q1472" t="inlineStr">
        <is>
          <t>Conference Board research report ; no. 1007</t>
        </is>
      </c>
      <c r="R1472" t="inlineStr">
        <is>
          <t xml:space="preserve">LC </t>
        </is>
      </c>
      <c r="S1472" t="n">
        <v>3</v>
      </c>
      <c r="T1472" t="n">
        <v>3</v>
      </c>
      <c r="U1472" t="inlineStr">
        <is>
          <t>2002-09-25</t>
        </is>
      </c>
      <c r="V1472" t="inlineStr">
        <is>
          <t>2002-09-25</t>
        </is>
      </c>
      <c r="W1472" t="inlineStr">
        <is>
          <t>1992-08-25</t>
        </is>
      </c>
      <c r="X1472" t="inlineStr">
        <is>
          <t>1992-08-25</t>
        </is>
      </c>
      <c r="Y1472" t="n">
        <v>233</v>
      </c>
      <c r="Z1472" t="n">
        <v>227</v>
      </c>
      <c r="AA1472" t="n">
        <v>228</v>
      </c>
      <c r="AB1472" t="n">
        <v>2</v>
      </c>
      <c r="AC1472" t="n">
        <v>2</v>
      </c>
      <c r="AD1472" t="n">
        <v>11</v>
      </c>
      <c r="AE1472" t="n">
        <v>11</v>
      </c>
      <c r="AF1472" t="n">
        <v>3</v>
      </c>
      <c r="AG1472" t="n">
        <v>3</v>
      </c>
      <c r="AH1472" t="n">
        <v>3</v>
      </c>
      <c r="AI1472" t="n">
        <v>3</v>
      </c>
      <c r="AJ1472" t="n">
        <v>8</v>
      </c>
      <c r="AK1472" t="n">
        <v>8</v>
      </c>
      <c r="AL1472" t="n">
        <v>1</v>
      </c>
      <c r="AM1472" t="n">
        <v>1</v>
      </c>
      <c r="AN1472" t="n">
        <v>0</v>
      </c>
      <c r="AO1472" t="n">
        <v>0</v>
      </c>
      <c r="AP1472" t="inlineStr">
        <is>
          <t>No</t>
        </is>
      </c>
      <c r="AQ1472" t="inlineStr">
        <is>
          <t>No</t>
        </is>
      </c>
      <c r="AS1472">
        <f>HYPERLINK("https://creighton-primo.hosted.exlibrisgroup.com/primo-explore/search?tab=default_tab&amp;search_scope=EVERYTHING&amp;vid=01CRU&amp;lang=en_US&amp;offset=0&amp;query=any,contains,991002058289702656","Catalog Record")</f>
        <v/>
      </c>
      <c r="AT1472">
        <f>HYPERLINK("http://www.worldcat.org/oclc/26347461","WorldCat Record")</f>
        <v/>
      </c>
      <c r="AU1472" t="inlineStr">
        <is>
          <t>29313498:eng</t>
        </is>
      </c>
      <c r="AV1472" t="inlineStr">
        <is>
          <t>26347461</t>
        </is>
      </c>
      <c r="AW1472" t="inlineStr">
        <is>
          <t>991002058289702656</t>
        </is>
      </c>
      <c r="AX1472" t="inlineStr">
        <is>
          <t>991002058289702656</t>
        </is>
      </c>
      <c r="AY1472" t="inlineStr">
        <is>
          <t>2268543460002656</t>
        </is>
      </c>
      <c r="AZ1472" t="inlineStr">
        <is>
          <t>BOOK</t>
        </is>
      </c>
      <c r="BB1472" t="inlineStr">
        <is>
          <t>9780823704507</t>
        </is>
      </c>
      <c r="BC1472" t="inlineStr">
        <is>
          <t>32285001261402</t>
        </is>
      </c>
      <c r="BD1472" t="inlineStr">
        <is>
          <t>893590865</t>
        </is>
      </c>
    </row>
    <row r="1473">
      <c r="A1473" t="inlineStr">
        <is>
          <t>No</t>
        </is>
      </c>
      <c r="B1473" t="inlineStr">
        <is>
          <t>LC1085.2 .O35 1998</t>
        </is>
      </c>
      <c r="C1473" t="inlineStr">
        <is>
          <t>0                      LC 1085200O  35          1998</t>
        </is>
      </c>
      <c r="D1473" t="inlineStr">
        <is>
          <t>What business wants from higher education / Diana G. Oblinger, Anne-Lee Verville.</t>
        </is>
      </c>
      <c r="F1473" t="inlineStr">
        <is>
          <t>No</t>
        </is>
      </c>
      <c r="G1473" t="inlineStr">
        <is>
          <t>1</t>
        </is>
      </c>
      <c r="H1473" t="inlineStr">
        <is>
          <t>No</t>
        </is>
      </c>
      <c r="I1473" t="inlineStr">
        <is>
          <t>No</t>
        </is>
      </c>
      <c r="J1473" t="inlineStr">
        <is>
          <t>0</t>
        </is>
      </c>
      <c r="K1473" t="inlineStr">
        <is>
          <t>Oblinger, Diana.</t>
        </is>
      </c>
      <c r="L1473" t="inlineStr">
        <is>
          <t>Phoenix, Ariz. : Oryx Press, 1998.</t>
        </is>
      </c>
      <c r="M1473" t="inlineStr">
        <is>
          <t>1998</t>
        </is>
      </c>
      <c r="O1473" t="inlineStr">
        <is>
          <t>eng</t>
        </is>
      </c>
      <c r="P1473" t="inlineStr">
        <is>
          <t>azu</t>
        </is>
      </c>
      <c r="Q1473" t="inlineStr">
        <is>
          <t>American Council on Education/Oryx Press series on higher education</t>
        </is>
      </c>
      <c r="R1473" t="inlineStr">
        <is>
          <t xml:space="preserve">LC </t>
        </is>
      </c>
      <c r="S1473" t="n">
        <v>1</v>
      </c>
      <c r="T1473" t="n">
        <v>1</v>
      </c>
      <c r="U1473" t="inlineStr">
        <is>
          <t>2005-09-30</t>
        </is>
      </c>
      <c r="V1473" t="inlineStr">
        <is>
          <t>2005-09-30</t>
        </is>
      </c>
      <c r="W1473" t="inlineStr">
        <is>
          <t>1998-09-08</t>
        </is>
      </c>
      <c r="X1473" t="inlineStr">
        <is>
          <t>1998-09-08</t>
        </is>
      </c>
      <c r="Y1473" t="n">
        <v>650</v>
      </c>
      <c r="Z1473" t="n">
        <v>576</v>
      </c>
      <c r="AA1473" t="n">
        <v>584</v>
      </c>
      <c r="AB1473" t="n">
        <v>6</v>
      </c>
      <c r="AC1473" t="n">
        <v>6</v>
      </c>
      <c r="AD1473" t="n">
        <v>28</v>
      </c>
      <c r="AE1473" t="n">
        <v>28</v>
      </c>
      <c r="AF1473" t="n">
        <v>8</v>
      </c>
      <c r="AG1473" t="n">
        <v>8</v>
      </c>
      <c r="AH1473" t="n">
        <v>7</v>
      </c>
      <c r="AI1473" t="n">
        <v>7</v>
      </c>
      <c r="AJ1473" t="n">
        <v>15</v>
      </c>
      <c r="AK1473" t="n">
        <v>15</v>
      </c>
      <c r="AL1473" t="n">
        <v>5</v>
      </c>
      <c r="AM1473" t="n">
        <v>5</v>
      </c>
      <c r="AN1473" t="n">
        <v>0</v>
      </c>
      <c r="AO1473" t="n">
        <v>0</v>
      </c>
      <c r="AP1473" t="inlineStr">
        <is>
          <t>No</t>
        </is>
      </c>
      <c r="AQ1473" t="inlineStr">
        <is>
          <t>Yes</t>
        </is>
      </c>
      <c r="AR1473">
        <f>HYPERLINK("http://catalog.hathitrust.org/Record/003971393","HathiTrust Record")</f>
        <v/>
      </c>
      <c r="AS1473">
        <f>HYPERLINK("https://creighton-primo.hosted.exlibrisgroup.com/primo-explore/search?tab=default_tab&amp;search_scope=EVERYTHING&amp;vid=01CRU&amp;lang=en_US&amp;offset=0&amp;query=any,contains,991002913889702656","Catalog Record")</f>
        <v/>
      </c>
      <c r="AT1473">
        <f>HYPERLINK("http://www.worldcat.org/oclc/38527960","WorldCat Record")</f>
        <v/>
      </c>
      <c r="AU1473" t="inlineStr">
        <is>
          <t>3039377:eng</t>
        </is>
      </c>
      <c r="AV1473" t="inlineStr">
        <is>
          <t>38527960</t>
        </is>
      </c>
      <c r="AW1473" t="inlineStr">
        <is>
          <t>991002913889702656</t>
        </is>
      </c>
      <c r="AX1473" t="inlineStr">
        <is>
          <t>991002913889702656</t>
        </is>
      </c>
      <c r="AY1473" t="inlineStr">
        <is>
          <t>2268819620002656</t>
        </is>
      </c>
      <c r="AZ1473" t="inlineStr">
        <is>
          <t>BOOK</t>
        </is>
      </c>
      <c r="BB1473" t="inlineStr">
        <is>
          <t>9781573562065</t>
        </is>
      </c>
      <c r="BC1473" t="inlineStr">
        <is>
          <t>32285003466116</t>
        </is>
      </c>
      <c r="BD1473" t="inlineStr">
        <is>
          <t>893233599</t>
        </is>
      </c>
    </row>
    <row r="1474">
      <c r="A1474" t="inlineStr">
        <is>
          <t>No</t>
        </is>
      </c>
      <c r="B1474" t="inlineStr">
        <is>
          <t>LC1091 .B87</t>
        </is>
      </c>
      <c r="C1474" t="inlineStr">
        <is>
          <t>0                      LC 1091000B  87</t>
        </is>
      </c>
      <c r="D1474" t="inlineStr">
        <is>
          <t>The revival of civic learning : a rationale for citizenship education in American schools / by R. Freeman Butts.</t>
        </is>
      </c>
      <c r="F1474" t="inlineStr">
        <is>
          <t>No</t>
        </is>
      </c>
      <c r="G1474" t="inlineStr">
        <is>
          <t>1</t>
        </is>
      </c>
      <c r="H1474" t="inlineStr">
        <is>
          <t>No</t>
        </is>
      </c>
      <c r="I1474" t="inlineStr">
        <is>
          <t>No</t>
        </is>
      </c>
      <c r="J1474" t="inlineStr">
        <is>
          <t>0</t>
        </is>
      </c>
      <c r="K1474" t="inlineStr">
        <is>
          <t>Butts, R. Freeman (Robert Freeman), 1910-2010.</t>
        </is>
      </c>
      <c r="L1474" t="inlineStr">
        <is>
          <t>[Bloomington, Ind.] : Phi Delta Kappa Educational Foundation, c1980.</t>
        </is>
      </c>
      <c r="M1474" t="inlineStr">
        <is>
          <t>1980</t>
        </is>
      </c>
      <c r="O1474" t="inlineStr">
        <is>
          <t>eng</t>
        </is>
      </c>
      <c r="P1474" t="inlineStr">
        <is>
          <t>inu</t>
        </is>
      </c>
      <c r="R1474" t="inlineStr">
        <is>
          <t xml:space="preserve">LC </t>
        </is>
      </c>
      <c r="S1474" t="n">
        <v>1</v>
      </c>
      <c r="T1474" t="n">
        <v>1</v>
      </c>
      <c r="U1474" t="inlineStr">
        <is>
          <t>2010-10-12</t>
        </is>
      </c>
      <c r="V1474" t="inlineStr">
        <is>
          <t>2010-10-12</t>
        </is>
      </c>
      <c r="W1474" t="inlineStr">
        <is>
          <t>1992-08-27</t>
        </is>
      </c>
      <c r="X1474" t="inlineStr">
        <is>
          <t>1992-08-27</t>
        </is>
      </c>
      <c r="Y1474" t="n">
        <v>472</v>
      </c>
      <c r="Z1474" t="n">
        <v>435</v>
      </c>
      <c r="AA1474" t="n">
        <v>439</v>
      </c>
      <c r="AB1474" t="n">
        <v>3</v>
      </c>
      <c r="AC1474" t="n">
        <v>3</v>
      </c>
      <c r="AD1474" t="n">
        <v>16</v>
      </c>
      <c r="AE1474" t="n">
        <v>16</v>
      </c>
      <c r="AF1474" t="n">
        <v>8</v>
      </c>
      <c r="AG1474" t="n">
        <v>8</v>
      </c>
      <c r="AH1474" t="n">
        <v>1</v>
      </c>
      <c r="AI1474" t="n">
        <v>1</v>
      </c>
      <c r="AJ1474" t="n">
        <v>9</v>
      </c>
      <c r="AK1474" t="n">
        <v>9</v>
      </c>
      <c r="AL1474" t="n">
        <v>2</v>
      </c>
      <c r="AM1474" t="n">
        <v>2</v>
      </c>
      <c r="AN1474" t="n">
        <v>0</v>
      </c>
      <c r="AO1474" t="n">
        <v>0</v>
      </c>
      <c r="AP1474" t="inlineStr">
        <is>
          <t>No</t>
        </is>
      </c>
      <c r="AQ1474" t="inlineStr">
        <is>
          <t>Yes</t>
        </is>
      </c>
      <c r="AR1474">
        <f>HYPERLINK("http://catalog.hathitrust.org/Record/000733845","HathiTrust Record")</f>
        <v/>
      </c>
      <c r="AS1474">
        <f>HYPERLINK("https://creighton-primo.hosted.exlibrisgroup.com/primo-explore/search?tab=default_tab&amp;search_scope=EVERYTHING&amp;vid=01CRU&amp;lang=en_US&amp;offset=0&amp;query=any,contains,991005070909702656","Catalog Record")</f>
        <v/>
      </c>
      <c r="AT1474">
        <f>HYPERLINK("http://www.worldcat.org/oclc/7021909","WorldCat Record")</f>
        <v/>
      </c>
      <c r="AU1474" t="inlineStr">
        <is>
          <t>521247:eng</t>
        </is>
      </c>
      <c r="AV1474" t="inlineStr">
        <is>
          <t>7021909</t>
        </is>
      </c>
      <c r="AW1474" t="inlineStr">
        <is>
          <t>991005070909702656</t>
        </is>
      </c>
      <c r="AX1474" t="inlineStr">
        <is>
          <t>991005070909702656</t>
        </is>
      </c>
      <c r="AY1474" t="inlineStr">
        <is>
          <t>2256839830002656</t>
        </is>
      </c>
      <c r="AZ1474" t="inlineStr">
        <is>
          <t>BOOK</t>
        </is>
      </c>
      <c r="BB1474" t="inlineStr">
        <is>
          <t>9780873674232</t>
        </is>
      </c>
      <c r="BC1474" t="inlineStr">
        <is>
          <t>32285001283059</t>
        </is>
      </c>
      <c r="BD1474" t="inlineStr">
        <is>
          <t>893248308</t>
        </is>
      </c>
    </row>
    <row r="1475">
      <c r="A1475" t="inlineStr">
        <is>
          <t>No</t>
        </is>
      </c>
      <c r="B1475" t="inlineStr">
        <is>
          <t>LC1099 .B68 1988</t>
        </is>
      </c>
      <c r="C1475" t="inlineStr">
        <is>
          <t>0                      LC 1099000B  68          1988</t>
        </is>
      </c>
      <c r="D1475" t="inlineStr">
        <is>
          <t>Building a global civic culture : education for an interdependent world / Elise Boulding.</t>
        </is>
      </c>
      <c r="F1475" t="inlineStr">
        <is>
          <t>No</t>
        </is>
      </c>
      <c r="G1475" t="inlineStr">
        <is>
          <t>1</t>
        </is>
      </c>
      <c r="H1475" t="inlineStr">
        <is>
          <t>No</t>
        </is>
      </c>
      <c r="I1475" t="inlineStr">
        <is>
          <t>No</t>
        </is>
      </c>
      <c r="J1475" t="inlineStr">
        <is>
          <t>0</t>
        </is>
      </c>
      <c r="K1475" t="inlineStr">
        <is>
          <t>Boulding, Elise.</t>
        </is>
      </c>
      <c r="L1475" t="inlineStr">
        <is>
          <t>New York : Teachers College Press, Teachers College, Columbia University, c1988.</t>
        </is>
      </c>
      <c r="M1475" t="inlineStr">
        <is>
          <t>1988</t>
        </is>
      </c>
      <c r="O1475" t="inlineStr">
        <is>
          <t>eng</t>
        </is>
      </c>
      <c r="P1475" t="inlineStr">
        <is>
          <t>nyu</t>
        </is>
      </c>
      <c r="Q1475" t="inlineStr">
        <is>
          <t>The John Dewey lecture</t>
        </is>
      </c>
      <c r="R1475" t="inlineStr">
        <is>
          <t xml:space="preserve">LC </t>
        </is>
      </c>
      <c r="S1475" t="n">
        <v>10</v>
      </c>
      <c r="T1475" t="n">
        <v>10</v>
      </c>
      <c r="U1475" t="inlineStr">
        <is>
          <t>2005-04-19</t>
        </is>
      </c>
      <c r="V1475" t="inlineStr">
        <is>
          <t>2005-04-19</t>
        </is>
      </c>
      <c r="W1475" t="inlineStr">
        <is>
          <t>1992-08-19</t>
        </is>
      </c>
      <c r="X1475" t="inlineStr">
        <is>
          <t>1992-08-19</t>
        </is>
      </c>
      <c r="Y1475" t="n">
        <v>516</v>
      </c>
      <c r="Z1475" t="n">
        <v>449</v>
      </c>
      <c r="AA1475" t="n">
        <v>562</v>
      </c>
      <c r="AB1475" t="n">
        <v>4</v>
      </c>
      <c r="AC1475" t="n">
        <v>5</v>
      </c>
      <c r="AD1475" t="n">
        <v>23</v>
      </c>
      <c r="AE1475" t="n">
        <v>27</v>
      </c>
      <c r="AF1475" t="n">
        <v>8</v>
      </c>
      <c r="AG1475" t="n">
        <v>9</v>
      </c>
      <c r="AH1475" t="n">
        <v>4</v>
      </c>
      <c r="AI1475" t="n">
        <v>6</v>
      </c>
      <c r="AJ1475" t="n">
        <v>14</v>
      </c>
      <c r="AK1475" t="n">
        <v>14</v>
      </c>
      <c r="AL1475" t="n">
        <v>3</v>
      </c>
      <c r="AM1475" t="n">
        <v>4</v>
      </c>
      <c r="AN1475" t="n">
        <v>0</v>
      </c>
      <c r="AO1475" t="n">
        <v>0</v>
      </c>
      <c r="AP1475" t="inlineStr">
        <is>
          <t>No</t>
        </is>
      </c>
      <c r="AQ1475" t="inlineStr">
        <is>
          <t>No</t>
        </is>
      </c>
      <c r="AS1475">
        <f>HYPERLINK("https://creighton-primo.hosted.exlibrisgroup.com/primo-explore/search?tab=default_tab&amp;search_scope=EVERYTHING&amp;vid=01CRU&amp;lang=en_US&amp;offset=0&amp;query=any,contains,991001166239702656","Catalog Record")</f>
        <v/>
      </c>
      <c r="AT1475">
        <f>HYPERLINK("http://www.worldcat.org/oclc/16923981","WorldCat Record")</f>
        <v/>
      </c>
      <c r="AU1475" t="inlineStr">
        <is>
          <t>889682864:eng</t>
        </is>
      </c>
      <c r="AV1475" t="inlineStr">
        <is>
          <t>16923981</t>
        </is>
      </c>
      <c r="AW1475" t="inlineStr">
        <is>
          <t>991001166239702656</t>
        </is>
      </c>
      <c r="AX1475" t="inlineStr">
        <is>
          <t>991001166239702656</t>
        </is>
      </c>
      <c r="AY1475" t="inlineStr">
        <is>
          <t>2271509790002656</t>
        </is>
      </c>
      <c r="AZ1475" t="inlineStr">
        <is>
          <t>BOOK</t>
        </is>
      </c>
      <c r="BB1475" t="inlineStr">
        <is>
          <t>9780807728673</t>
        </is>
      </c>
      <c r="BC1475" t="inlineStr">
        <is>
          <t>32285001246619</t>
        </is>
      </c>
      <c r="BD1475" t="inlineStr">
        <is>
          <t>893315572</t>
        </is>
      </c>
    </row>
    <row r="1476">
      <c r="A1476" t="inlineStr">
        <is>
          <t>No</t>
        </is>
      </c>
      <c r="B1476" t="inlineStr">
        <is>
          <t>LC111 .B55</t>
        </is>
      </c>
      <c r="C1476" t="inlineStr">
        <is>
          <t>0                      LC 0111000B  55</t>
        </is>
      </c>
      <c r="D1476" t="inlineStr">
        <is>
          <t>The Bible, religion, and the public schools.</t>
        </is>
      </c>
      <c r="F1476" t="inlineStr">
        <is>
          <t>No</t>
        </is>
      </c>
      <c r="G1476" t="inlineStr">
        <is>
          <t>1</t>
        </is>
      </c>
      <c r="H1476" t="inlineStr">
        <is>
          <t>No</t>
        </is>
      </c>
      <c r="I1476" t="inlineStr">
        <is>
          <t>Yes</t>
        </is>
      </c>
      <c r="J1476" t="inlineStr">
        <is>
          <t>0</t>
        </is>
      </c>
      <c r="K1476" t="inlineStr">
        <is>
          <t>Boles, Donald E. (Donald Edward), 1926-2001.</t>
        </is>
      </c>
      <c r="L1476" t="inlineStr">
        <is>
          <t>Ames : Iowa State University Press, [1961]</t>
        </is>
      </c>
      <c r="M1476" t="inlineStr">
        <is>
          <t>1961</t>
        </is>
      </c>
      <c r="N1476" t="inlineStr">
        <is>
          <t>[2d ed.]</t>
        </is>
      </c>
      <c r="O1476" t="inlineStr">
        <is>
          <t>eng</t>
        </is>
      </c>
      <c r="P1476" t="inlineStr">
        <is>
          <t>iau</t>
        </is>
      </c>
      <c r="R1476" t="inlineStr">
        <is>
          <t xml:space="preserve">LC </t>
        </is>
      </c>
      <c r="S1476" t="n">
        <v>3</v>
      </c>
      <c r="T1476" t="n">
        <v>3</v>
      </c>
      <c r="U1476" t="inlineStr">
        <is>
          <t>2002-03-25</t>
        </is>
      </c>
      <c r="V1476" t="inlineStr">
        <is>
          <t>2002-03-25</t>
        </is>
      </c>
      <c r="W1476" t="inlineStr">
        <is>
          <t>1992-12-17</t>
        </is>
      </c>
      <c r="X1476" t="inlineStr">
        <is>
          <t>1992-12-17</t>
        </is>
      </c>
      <c r="Y1476" t="n">
        <v>329</v>
      </c>
      <c r="Z1476" t="n">
        <v>323</v>
      </c>
      <c r="AA1476" t="n">
        <v>1242</v>
      </c>
      <c r="AB1476" t="n">
        <v>5</v>
      </c>
      <c r="AC1476" t="n">
        <v>14</v>
      </c>
      <c r="AD1476" t="n">
        <v>16</v>
      </c>
      <c r="AE1476" t="n">
        <v>61</v>
      </c>
      <c r="AF1476" t="n">
        <v>3</v>
      </c>
      <c r="AG1476" t="n">
        <v>15</v>
      </c>
      <c r="AH1476" t="n">
        <v>2</v>
      </c>
      <c r="AI1476" t="n">
        <v>8</v>
      </c>
      <c r="AJ1476" t="n">
        <v>8</v>
      </c>
      <c r="AK1476" t="n">
        <v>20</v>
      </c>
      <c r="AL1476" t="n">
        <v>4</v>
      </c>
      <c r="AM1476" t="n">
        <v>10</v>
      </c>
      <c r="AN1476" t="n">
        <v>1</v>
      </c>
      <c r="AO1476" t="n">
        <v>17</v>
      </c>
      <c r="AP1476" t="inlineStr">
        <is>
          <t>No</t>
        </is>
      </c>
      <c r="AQ1476" t="inlineStr">
        <is>
          <t>Yes</t>
        </is>
      </c>
      <c r="AR1476">
        <f>HYPERLINK("http://catalog.hathitrust.org/Record/009088766","HathiTrust Record")</f>
        <v/>
      </c>
      <c r="AS1476">
        <f>HYPERLINK("https://creighton-primo.hosted.exlibrisgroup.com/primo-explore/search?tab=default_tab&amp;search_scope=EVERYTHING&amp;vid=01CRU&amp;lang=en_US&amp;offset=0&amp;query=any,contains,991003471709702656","Catalog Record")</f>
        <v/>
      </c>
      <c r="AT1476">
        <f>HYPERLINK("http://www.worldcat.org/oclc/1014734","WorldCat Record")</f>
        <v/>
      </c>
      <c r="AU1476" t="inlineStr">
        <is>
          <t>1345838:eng</t>
        </is>
      </c>
      <c r="AV1476" t="inlineStr">
        <is>
          <t>1014734</t>
        </is>
      </c>
      <c r="AW1476" t="inlineStr">
        <is>
          <t>991003471709702656</t>
        </is>
      </c>
      <c r="AX1476" t="inlineStr">
        <is>
          <t>991003471709702656</t>
        </is>
      </c>
      <c r="AY1476" t="inlineStr">
        <is>
          <t>2256834190002656</t>
        </is>
      </c>
      <c r="AZ1476" t="inlineStr">
        <is>
          <t>BOOK</t>
        </is>
      </c>
      <c r="BC1476" t="inlineStr">
        <is>
          <t>32285001443570</t>
        </is>
      </c>
      <c r="BD1476" t="inlineStr">
        <is>
          <t>893511973</t>
        </is>
      </c>
    </row>
    <row r="1477">
      <c r="A1477" t="inlineStr">
        <is>
          <t>No</t>
        </is>
      </c>
      <c r="B1477" t="inlineStr">
        <is>
          <t>LC131 .F57 1986</t>
        </is>
      </c>
      <c r="C1477" t="inlineStr">
        <is>
          <t>0                      LC 0131000F  57          1986</t>
        </is>
      </c>
      <c r="D1477" t="inlineStr">
        <is>
          <t>The Amish school / Sara E. Fisher and Rachel K. Stahl.</t>
        </is>
      </c>
      <c r="F1477" t="inlineStr">
        <is>
          <t>No</t>
        </is>
      </c>
      <c r="G1477" t="inlineStr">
        <is>
          <t>1</t>
        </is>
      </c>
      <c r="H1477" t="inlineStr">
        <is>
          <t>No</t>
        </is>
      </c>
      <c r="I1477" t="inlineStr">
        <is>
          <t>No</t>
        </is>
      </c>
      <c r="J1477" t="inlineStr">
        <is>
          <t>0</t>
        </is>
      </c>
      <c r="K1477" t="inlineStr">
        <is>
          <t>Fisher, Sara E.</t>
        </is>
      </c>
      <c r="L1477" t="inlineStr">
        <is>
          <t>Intercourse, Pa. : Good Books, 1986.</t>
        </is>
      </c>
      <c r="M1477" t="inlineStr">
        <is>
          <t>1986</t>
        </is>
      </c>
      <c r="O1477" t="inlineStr">
        <is>
          <t>eng</t>
        </is>
      </c>
      <c r="P1477" t="inlineStr">
        <is>
          <t>pau</t>
        </is>
      </c>
      <c r="Q1477" t="inlineStr">
        <is>
          <t>People's Place booklet ; no. 6</t>
        </is>
      </c>
      <c r="R1477" t="inlineStr">
        <is>
          <t xml:space="preserve">LC </t>
        </is>
      </c>
      <c r="S1477" t="n">
        <v>10</v>
      </c>
      <c r="T1477" t="n">
        <v>10</v>
      </c>
      <c r="U1477" t="inlineStr">
        <is>
          <t>2004-11-22</t>
        </is>
      </c>
      <c r="V1477" t="inlineStr">
        <is>
          <t>2004-11-22</t>
        </is>
      </c>
      <c r="W1477" t="inlineStr">
        <is>
          <t>1992-02-20</t>
        </is>
      </c>
      <c r="X1477" t="inlineStr">
        <is>
          <t>1992-02-20</t>
        </is>
      </c>
      <c r="Y1477" t="n">
        <v>508</v>
      </c>
      <c r="Z1477" t="n">
        <v>484</v>
      </c>
      <c r="AA1477" t="n">
        <v>550</v>
      </c>
      <c r="AB1477" t="n">
        <v>3</v>
      </c>
      <c r="AC1477" t="n">
        <v>3</v>
      </c>
      <c r="AD1477" t="n">
        <v>4</v>
      </c>
      <c r="AE1477" t="n">
        <v>4</v>
      </c>
      <c r="AF1477" t="n">
        <v>3</v>
      </c>
      <c r="AG1477" t="n">
        <v>3</v>
      </c>
      <c r="AH1477" t="n">
        <v>0</v>
      </c>
      <c r="AI1477" t="n">
        <v>0</v>
      </c>
      <c r="AJ1477" t="n">
        <v>0</v>
      </c>
      <c r="AK1477" t="n">
        <v>0</v>
      </c>
      <c r="AL1477" t="n">
        <v>1</v>
      </c>
      <c r="AM1477" t="n">
        <v>1</v>
      </c>
      <c r="AN1477" t="n">
        <v>0</v>
      </c>
      <c r="AO1477" t="n">
        <v>0</v>
      </c>
      <c r="AP1477" t="inlineStr">
        <is>
          <t>No</t>
        </is>
      </c>
      <c r="AQ1477" t="inlineStr">
        <is>
          <t>Yes</t>
        </is>
      </c>
      <c r="AR1477">
        <f>HYPERLINK("http://catalog.hathitrust.org/Record/006937644","HathiTrust Record")</f>
        <v/>
      </c>
      <c r="AS1477">
        <f>HYPERLINK("https://creighton-primo.hosted.exlibrisgroup.com/primo-explore/search?tab=default_tab&amp;search_scope=EVERYTHING&amp;vid=01CRU&amp;lang=en_US&amp;offset=0&amp;query=any,contains,991000797529702656","Catalog Record")</f>
        <v/>
      </c>
      <c r="AT1477">
        <f>HYPERLINK("http://www.worldcat.org/oclc/13207106","WorldCat Record")</f>
        <v/>
      </c>
      <c r="AU1477" t="inlineStr">
        <is>
          <t>672250:eng</t>
        </is>
      </c>
      <c r="AV1477" t="inlineStr">
        <is>
          <t>13207106</t>
        </is>
      </c>
      <c r="AW1477" t="inlineStr">
        <is>
          <t>991000797529702656</t>
        </is>
      </c>
      <c r="AX1477" t="inlineStr">
        <is>
          <t>991000797529702656</t>
        </is>
      </c>
      <c r="AY1477" t="inlineStr">
        <is>
          <t>2257520810002656</t>
        </is>
      </c>
      <c r="AZ1477" t="inlineStr">
        <is>
          <t>BOOK</t>
        </is>
      </c>
      <c r="BB1477" t="inlineStr">
        <is>
          <t>9780934672177</t>
        </is>
      </c>
      <c r="BC1477" t="inlineStr">
        <is>
          <t>32285000948280</t>
        </is>
      </c>
      <c r="BD1477" t="inlineStr">
        <is>
          <t>893231420</t>
        </is>
      </c>
    </row>
    <row r="1478">
      <c r="A1478" t="inlineStr">
        <is>
          <t>No</t>
        </is>
      </c>
      <c r="B1478" t="inlineStr">
        <is>
          <t>LC135.G32 P785 2002</t>
        </is>
      </c>
      <c r="C1478" t="inlineStr">
        <is>
          <t>0                      LC 0135000G  32                 P  785         2002</t>
        </is>
      </c>
      <c r="D1478" t="inlineStr">
        <is>
          <t>Absolutism and the eighteenth-century origins of compulsory schooling in Prussia and Austria / James Van Horn Melton.</t>
        </is>
      </c>
      <c r="F1478" t="inlineStr">
        <is>
          <t>No</t>
        </is>
      </c>
      <c r="G1478" t="inlineStr">
        <is>
          <t>1</t>
        </is>
      </c>
      <c r="H1478" t="inlineStr">
        <is>
          <t>No</t>
        </is>
      </c>
      <c r="I1478" t="inlineStr">
        <is>
          <t>No</t>
        </is>
      </c>
      <c r="J1478" t="inlineStr">
        <is>
          <t>0</t>
        </is>
      </c>
      <c r="K1478" t="inlineStr">
        <is>
          <t>Melton, James Van Horn, 1952-</t>
        </is>
      </c>
      <c r="L1478" t="inlineStr">
        <is>
          <t>Cambridge [England] ; New York : Cambridge University Press, 2002.</t>
        </is>
      </c>
      <c r="M1478" t="inlineStr">
        <is>
          <t>2002</t>
        </is>
      </c>
      <c r="N1478" t="inlineStr">
        <is>
          <t>1st pbk. ed.</t>
        </is>
      </c>
      <c r="O1478" t="inlineStr">
        <is>
          <t>eng</t>
        </is>
      </c>
      <c r="P1478" t="inlineStr">
        <is>
          <t>enk</t>
        </is>
      </c>
      <c r="R1478" t="inlineStr">
        <is>
          <t xml:space="preserve">LC </t>
        </is>
      </c>
      <c r="S1478" t="n">
        <v>1</v>
      </c>
      <c r="T1478" t="n">
        <v>1</v>
      </c>
      <c r="U1478" t="inlineStr">
        <is>
          <t>2004-03-30</t>
        </is>
      </c>
      <c r="V1478" t="inlineStr">
        <is>
          <t>2004-03-30</t>
        </is>
      </c>
      <c r="W1478" t="inlineStr">
        <is>
          <t>2004-03-30</t>
        </is>
      </c>
      <c r="X1478" t="inlineStr">
        <is>
          <t>2004-03-30</t>
        </is>
      </c>
      <c r="Y1478" t="n">
        <v>434</v>
      </c>
      <c r="Z1478" t="n">
        <v>306</v>
      </c>
      <c r="AA1478" t="n">
        <v>308</v>
      </c>
      <c r="AB1478" t="n">
        <v>1</v>
      </c>
      <c r="AC1478" t="n">
        <v>1</v>
      </c>
      <c r="AD1478" t="n">
        <v>16</v>
      </c>
      <c r="AE1478" t="n">
        <v>16</v>
      </c>
      <c r="AF1478" t="n">
        <v>3</v>
      </c>
      <c r="AG1478" t="n">
        <v>3</v>
      </c>
      <c r="AH1478" t="n">
        <v>5</v>
      </c>
      <c r="AI1478" t="n">
        <v>5</v>
      </c>
      <c r="AJ1478" t="n">
        <v>10</v>
      </c>
      <c r="AK1478" t="n">
        <v>10</v>
      </c>
      <c r="AL1478" t="n">
        <v>1</v>
      </c>
      <c r="AM1478" t="n">
        <v>1</v>
      </c>
      <c r="AN1478" t="n">
        <v>0</v>
      </c>
      <c r="AO1478" t="n">
        <v>0</v>
      </c>
      <c r="AP1478" t="inlineStr">
        <is>
          <t>No</t>
        </is>
      </c>
      <c r="AQ1478" t="inlineStr">
        <is>
          <t>No</t>
        </is>
      </c>
      <c r="AS1478">
        <f>HYPERLINK("https://creighton-primo.hosted.exlibrisgroup.com/primo-explore/search?tab=default_tab&amp;search_scope=EVERYTHING&amp;vid=01CRU&amp;lang=en_US&amp;offset=0&amp;query=any,contains,991004273579702656","Catalog Record")</f>
        <v/>
      </c>
      <c r="AT1478">
        <f>HYPERLINK("http://www.worldcat.org/oclc/17263054","WorldCat Record")</f>
        <v/>
      </c>
      <c r="AU1478" t="inlineStr">
        <is>
          <t>15601181:eng</t>
        </is>
      </c>
      <c r="AV1478" t="inlineStr">
        <is>
          <t>17263054</t>
        </is>
      </c>
      <c r="AW1478" t="inlineStr">
        <is>
          <t>991004273579702656</t>
        </is>
      </c>
      <c r="AX1478" t="inlineStr">
        <is>
          <t>991004273579702656</t>
        </is>
      </c>
      <c r="AY1478" t="inlineStr">
        <is>
          <t>2266777300002656</t>
        </is>
      </c>
      <c r="AZ1478" t="inlineStr">
        <is>
          <t>BOOK</t>
        </is>
      </c>
      <c r="BB1478" t="inlineStr">
        <is>
          <t>9780521528566</t>
        </is>
      </c>
      <c r="BC1478" t="inlineStr">
        <is>
          <t>32285004890447</t>
        </is>
      </c>
      <c r="BD1478" t="inlineStr">
        <is>
          <t>893700047</t>
        </is>
      </c>
    </row>
    <row r="1479">
      <c r="A1479" t="inlineStr">
        <is>
          <t>No</t>
        </is>
      </c>
      <c r="B1479" t="inlineStr">
        <is>
          <t>LC135.G32 P787 1989</t>
        </is>
      </c>
      <c r="C1479" t="inlineStr">
        <is>
          <t>0                      LC 0135000G  32                 P  787         1989</t>
        </is>
      </c>
      <c r="D1479" t="inlineStr">
        <is>
          <t>Schooling and society : the politics of education in Prussia and Bavaria, 1750-1900 / Karl A. Schleunes.</t>
        </is>
      </c>
      <c r="F1479" t="inlineStr">
        <is>
          <t>No</t>
        </is>
      </c>
      <c r="G1479" t="inlineStr">
        <is>
          <t>1</t>
        </is>
      </c>
      <c r="H1479" t="inlineStr">
        <is>
          <t>No</t>
        </is>
      </c>
      <c r="I1479" t="inlineStr">
        <is>
          <t>No</t>
        </is>
      </c>
      <c r="J1479" t="inlineStr">
        <is>
          <t>0</t>
        </is>
      </c>
      <c r="K1479" t="inlineStr">
        <is>
          <t>Schleunes, Karl A.</t>
        </is>
      </c>
      <c r="L1479" t="inlineStr">
        <is>
          <t>Oxford, UK ; New York : Berg Publishers : Distributed exclusively in the US and Canada by St. Martin's Press, 1989.</t>
        </is>
      </c>
      <c r="M1479" t="inlineStr">
        <is>
          <t>1989</t>
        </is>
      </c>
      <c r="O1479" t="inlineStr">
        <is>
          <t>eng</t>
        </is>
      </c>
      <c r="P1479" t="inlineStr">
        <is>
          <t>enk</t>
        </is>
      </c>
      <c r="R1479" t="inlineStr">
        <is>
          <t xml:space="preserve">LC </t>
        </is>
      </c>
      <c r="S1479" t="n">
        <v>1</v>
      </c>
      <c r="T1479" t="n">
        <v>1</v>
      </c>
      <c r="U1479" t="inlineStr">
        <is>
          <t>2004-02-23</t>
        </is>
      </c>
      <c r="V1479" t="inlineStr">
        <is>
          <t>2004-02-23</t>
        </is>
      </c>
      <c r="W1479" t="inlineStr">
        <is>
          <t>2004-02-23</t>
        </is>
      </c>
      <c r="X1479" t="inlineStr">
        <is>
          <t>2004-02-23</t>
        </is>
      </c>
      <c r="Y1479" t="n">
        <v>325</v>
      </c>
      <c r="Z1479" t="n">
        <v>223</v>
      </c>
      <c r="AA1479" t="n">
        <v>224</v>
      </c>
      <c r="AB1479" t="n">
        <v>1</v>
      </c>
      <c r="AC1479" t="n">
        <v>1</v>
      </c>
      <c r="AD1479" t="n">
        <v>11</v>
      </c>
      <c r="AE1479" t="n">
        <v>11</v>
      </c>
      <c r="AF1479" t="n">
        <v>4</v>
      </c>
      <c r="AG1479" t="n">
        <v>4</v>
      </c>
      <c r="AH1479" t="n">
        <v>4</v>
      </c>
      <c r="AI1479" t="n">
        <v>4</v>
      </c>
      <c r="AJ1479" t="n">
        <v>5</v>
      </c>
      <c r="AK1479" t="n">
        <v>5</v>
      </c>
      <c r="AL1479" t="n">
        <v>0</v>
      </c>
      <c r="AM1479" t="n">
        <v>0</v>
      </c>
      <c r="AN1479" t="n">
        <v>0</v>
      </c>
      <c r="AO1479" t="n">
        <v>0</v>
      </c>
      <c r="AP1479" t="inlineStr">
        <is>
          <t>No</t>
        </is>
      </c>
      <c r="AQ1479" t="inlineStr">
        <is>
          <t>Yes</t>
        </is>
      </c>
      <c r="AR1479">
        <f>HYPERLINK("http://catalog.hathitrust.org/Record/001532919","HathiTrust Record")</f>
        <v/>
      </c>
      <c r="AS1479">
        <f>HYPERLINK("https://creighton-primo.hosted.exlibrisgroup.com/primo-explore/search?tab=default_tab&amp;search_scope=EVERYTHING&amp;vid=01CRU&amp;lang=en_US&amp;offset=0&amp;query=any,contains,991004233979702656","Catalog Record")</f>
        <v/>
      </c>
      <c r="AT1479">
        <f>HYPERLINK("http://www.worldcat.org/oclc/18414874","WorldCat Record")</f>
        <v/>
      </c>
      <c r="AU1479" t="inlineStr">
        <is>
          <t>836722855:eng</t>
        </is>
      </c>
      <c r="AV1479" t="inlineStr">
        <is>
          <t>18414874</t>
        </is>
      </c>
      <c r="AW1479" t="inlineStr">
        <is>
          <t>991004233979702656</t>
        </is>
      </c>
      <c r="AX1479" t="inlineStr">
        <is>
          <t>991004233979702656</t>
        </is>
      </c>
      <c r="AY1479" t="inlineStr">
        <is>
          <t>2256192180002656</t>
        </is>
      </c>
      <c r="AZ1479" t="inlineStr">
        <is>
          <t>BOOK</t>
        </is>
      </c>
      <c r="BB1479" t="inlineStr">
        <is>
          <t>9780854962679</t>
        </is>
      </c>
      <c r="BC1479" t="inlineStr">
        <is>
          <t>32285004639729</t>
        </is>
      </c>
      <c r="BD1479" t="inlineStr">
        <is>
          <t>893349770</t>
        </is>
      </c>
    </row>
    <row r="1480">
      <c r="A1480" t="inlineStr">
        <is>
          <t>No</t>
        </is>
      </c>
      <c r="B1480" t="inlineStr">
        <is>
          <t>LC1396.5 .B76 2002</t>
        </is>
      </c>
      <c r="C1480" t="inlineStr">
        <is>
          <t>0                      LC 1396500B  76          2002</t>
        </is>
      </c>
      <c r="D1480" t="inlineStr">
        <is>
          <t>To be a boy, to be a reader : engaging teen and preteen boys in active literacy / William G. Brozo.</t>
        </is>
      </c>
      <c r="F1480" t="inlineStr">
        <is>
          <t>No</t>
        </is>
      </c>
      <c r="G1480" t="inlineStr">
        <is>
          <t>1</t>
        </is>
      </c>
      <c r="H1480" t="inlineStr">
        <is>
          <t>No</t>
        </is>
      </c>
      <c r="I1480" t="inlineStr">
        <is>
          <t>No</t>
        </is>
      </c>
      <c r="J1480" t="inlineStr">
        <is>
          <t>0</t>
        </is>
      </c>
      <c r="K1480" t="inlineStr">
        <is>
          <t>Brozo, William G.</t>
        </is>
      </c>
      <c r="L1480" t="inlineStr">
        <is>
          <t>Newark, Del. : International Reading Association, c2002.</t>
        </is>
      </c>
      <c r="M1480" t="inlineStr">
        <is>
          <t>2002</t>
        </is>
      </c>
      <c r="O1480" t="inlineStr">
        <is>
          <t>eng</t>
        </is>
      </c>
      <c r="P1480" t="inlineStr">
        <is>
          <t>deu</t>
        </is>
      </c>
      <c r="R1480" t="inlineStr">
        <is>
          <t xml:space="preserve">LC </t>
        </is>
      </c>
      <c r="S1480" t="n">
        <v>3</v>
      </c>
      <c r="T1480" t="n">
        <v>3</v>
      </c>
      <c r="U1480" t="inlineStr">
        <is>
          <t>2008-08-07</t>
        </is>
      </c>
      <c r="V1480" t="inlineStr">
        <is>
          <t>2008-08-07</t>
        </is>
      </c>
      <c r="W1480" t="inlineStr">
        <is>
          <t>2002-12-03</t>
        </is>
      </c>
      <c r="X1480" t="inlineStr">
        <is>
          <t>2002-12-03</t>
        </is>
      </c>
      <c r="Y1480" t="n">
        <v>451</v>
      </c>
      <c r="Z1480" t="n">
        <v>369</v>
      </c>
      <c r="AA1480" t="n">
        <v>508</v>
      </c>
      <c r="AB1480" t="n">
        <v>4</v>
      </c>
      <c r="AC1480" t="n">
        <v>5</v>
      </c>
      <c r="AD1480" t="n">
        <v>9</v>
      </c>
      <c r="AE1480" t="n">
        <v>17</v>
      </c>
      <c r="AF1480" t="n">
        <v>2</v>
      </c>
      <c r="AG1480" t="n">
        <v>7</v>
      </c>
      <c r="AH1480" t="n">
        <v>2</v>
      </c>
      <c r="AI1480" t="n">
        <v>2</v>
      </c>
      <c r="AJ1480" t="n">
        <v>3</v>
      </c>
      <c r="AK1480" t="n">
        <v>7</v>
      </c>
      <c r="AL1480" t="n">
        <v>3</v>
      </c>
      <c r="AM1480" t="n">
        <v>4</v>
      </c>
      <c r="AN1480" t="n">
        <v>0</v>
      </c>
      <c r="AO1480" t="n">
        <v>0</v>
      </c>
      <c r="AP1480" t="inlineStr">
        <is>
          <t>No</t>
        </is>
      </c>
      <c r="AQ1480" t="inlineStr">
        <is>
          <t>No</t>
        </is>
      </c>
      <c r="AS1480">
        <f>HYPERLINK("https://creighton-primo.hosted.exlibrisgroup.com/primo-explore/search?tab=default_tab&amp;search_scope=EVERYTHING&amp;vid=01CRU&amp;lang=en_US&amp;offset=0&amp;query=any,contains,991003898549702656","Catalog Record")</f>
        <v/>
      </c>
      <c r="AT1480">
        <f>HYPERLINK("http://www.worldcat.org/oclc/48620467","WorldCat Record")</f>
        <v/>
      </c>
      <c r="AU1480" t="inlineStr">
        <is>
          <t>259202787:eng</t>
        </is>
      </c>
      <c r="AV1480" t="inlineStr">
        <is>
          <t>48620467</t>
        </is>
      </c>
      <c r="AW1480" t="inlineStr">
        <is>
          <t>991003898549702656</t>
        </is>
      </c>
      <c r="AX1480" t="inlineStr">
        <is>
          <t>991003898549702656</t>
        </is>
      </c>
      <c r="AY1480" t="inlineStr">
        <is>
          <t>2257826830002656</t>
        </is>
      </c>
      <c r="AZ1480" t="inlineStr">
        <is>
          <t>BOOK</t>
        </is>
      </c>
      <c r="BB1480" t="inlineStr">
        <is>
          <t>9780872071759</t>
        </is>
      </c>
      <c r="BC1480" t="inlineStr">
        <is>
          <t>32285004667225</t>
        </is>
      </c>
      <c r="BD1480" t="inlineStr">
        <is>
          <t>893445932</t>
        </is>
      </c>
    </row>
    <row r="1481">
      <c r="A1481" t="inlineStr">
        <is>
          <t>No</t>
        </is>
      </c>
      <c r="B1481" t="inlineStr">
        <is>
          <t>LC146.6 .L68 1991</t>
        </is>
      </c>
      <c r="C1481" t="inlineStr">
        <is>
          <t>0                      LC 0146600L  68          1991</t>
        </is>
      </c>
      <c r="D1481" t="inlineStr">
        <is>
          <t>Preventing school dropouts : tactics for at-risk, remedial, and mildly handicapped adolescents / Thomas C. Lovitt.</t>
        </is>
      </c>
      <c r="F1481" t="inlineStr">
        <is>
          <t>No</t>
        </is>
      </c>
      <c r="G1481" t="inlineStr">
        <is>
          <t>1</t>
        </is>
      </c>
      <c r="H1481" t="inlineStr">
        <is>
          <t>No</t>
        </is>
      </c>
      <c r="I1481" t="inlineStr">
        <is>
          <t>No</t>
        </is>
      </c>
      <c r="J1481" t="inlineStr">
        <is>
          <t>0</t>
        </is>
      </c>
      <c r="K1481" t="inlineStr">
        <is>
          <t>Lovitt, Thomas C.</t>
        </is>
      </c>
      <c r="L1481" t="inlineStr">
        <is>
          <t>Austin, Tex. : PRO-ED, c1991.</t>
        </is>
      </c>
      <c r="M1481" t="inlineStr">
        <is>
          <t>1991</t>
        </is>
      </c>
      <c r="O1481" t="inlineStr">
        <is>
          <t>eng</t>
        </is>
      </c>
      <c r="P1481" t="inlineStr">
        <is>
          <t>txu</t>
        </is>
      </c>
      <c r="R1481" t="inlineStr">
        <is>
          <t xml:space="preserve">LC </t>
        </is>
      </c>
      <c r="S1481" t="n">
        <v>9</v>
      </c>
      <c r="T1481" t="n">
        <v>9</v>
      </c>
      <c r="U1481" t="inlineStr">
        <is>
          <t>1996-11-23</t>
        </is>
      </c>
      <c r="V1481" t="inlineStr">
        <is>
          <t>1996-11-23</t>
        </is>
      </c>
      <c r="W1481" t="inlineStr">
        <is>
          <t>1992-04-22</t>
        </is>
      </c>
      <c r="X1481" t="inlineStr">
        <is>
          <t>1992-04-22</t>
        </is>
      </c>
      <c r="Y1481" t="n">
        <v>219</v>
      </c>
      <c r="Z1481" t="n">
        <v>186</v>
      </c>
      <c r="AA1481" t="n">
        <v>186</v>
      </c>
      <c r="AB1481" t="n">
        <v>3</v>
      </c>
      <c r="AC1481" t="n">
        <v>3</v>
      </c>
      <c r="AD1481" t="n">
        <v>8</v>
      </c>
      <c r="AE1481" t="n">
        <v>8</v>
      </c>
      <c r="AF1481" t="n">
        <v>2</v>
      </c>
      <c r="AG1481" t="n">
        <v>2</v>
      </c>
      <c r="AH1481" t="n">
        <v>1</v>
      </c>
      <c r="AI1481" t="n">
        <v>1</v>
      </c>
      <c r="AJ1481" t="n">
        <v>5</v>
      </c>
      <c r="AK1481" t="n">
        <v>5</v>
      </c>
      <c r="AL1481" t="n">
        <v>2</v>
      </c>
      <c r="AM1481" t="n">
        <v>2</v>
      </c>
      <c r="AN1481" t="n">
        <v>0</v>
      </c>
      <c r="AO1481" t="n">
        <v>0</v>
      </c>
      <c r="AP1481" t="inlineStr">
        <is>
          <t>No</t>
        </is>
      </c>
      <c r="AQ1481" t="inlineStr">
        <is>
          <t>No</t>
        </is>
      </c>
      <c r="AS1481">
        <f>HYPERLINK("https://creighton-primo.hosted.exlibrisgroup.com/primo-explore/search?tab=default_tab&amp;search_scope=EVERYTHING&amp;vid=01CRU&amp;lang=en_US&amp;offset=0&amp;query=any,contains,991001823369702656","Catalog Record")</f>
        <v/>
      </c>
      <c r="AT1481">
        <f>HYPERLINK("http://www.worldcat.org/oclc/22907642","WorldCat Record")</f>
        <v/>
      </c>
      <c r="AU1481" t="inlineStr">
        <is>
          <t>229815958:eng</t>
        </is>
      </c>
      <c r="AV1481" t="inlineStr">
        <is>
          <t>22907642</t>
        </is>
      </c>
      <c r="AW1481" t="inlineStr">
        <is>
          <t>991001823369702656</t>
        </is>
      </c>
      <c r="AX1481" t="inlineStr">
        <is>
          <t>991001823369702656</t>
        </is>
      </c>
      <c r="AY1481" t="inlineStr">
        <is>
          <t>2264086840002656</t>
        </is>
      </c>
      <c r="AZ1481" t="inlineStr">
        <is>
          <t>BOOK</t>
        </is>
      </c>
      <c r="BB1481" t="inlineStr">
        <is>
          <t>9780890794548</t>
        </is>
      </c>
      <c r="BC1481" t="inlineStr">
        <is>
          <t>32285001036481</t>
        </is>
      </c>
      <c r="BD1481" t="inlineStr">
        <is>
          <t>893590675</t>
        </is>
      </c>
    </row>
    <row r="1482">
      <c r="A1482" t="inlineStr">
        <is>
          <t>No</t>
        </is>
      </c>
      <c r="B1482" t="inlineStr">
        <is>
          <t>LC146.6 .S57 1998</t>
        </is>
      </c>
      <c r="C1482" t="inlineStr">
        <is>
          <t>0                      LC 0146600S  57          1998</t>
        </is>
      </c>
      <c r="D1482" t="inlineStr">
        <is>
          <t>The cause and cure of dropouts : seven bell curves for each student / by Arnold B. Skromme.</t>
        </is>
      </c>
      <c r="F1482" t="inlineStr">
        <is>
          <t>No</t>
        </is>
      </c>
      <c r="G1482" t="inlineStr">
        <is>
          <t>1</t>
        </is>
      </c>
      <c r="H1482" t="inlineStr">
        <is>
          <t>No</t>
        </is>
      </c>
      <c r="I1482" t="inlineStr">
        <is>
          <t>No</t>
        </is>
      </c>
      <c r="J1482" t="inlineStr">
        <is>
          <t>0</t>
        </is>
      </c>
      <c r="K1482" t="inlineStr">
        <is>
          <t>Skromme, Arnold B.</t>
        </is>
      </c>
      <c r="L1482" t="inlineStr">
        <is>
          <t>Moline, IL : Self-Confidence Press, c1998.</t>
        </is>
      </c>
      <c r="M1482" t="inlineStr">
        <is>
          <t>1998</t>
        </is>
      </c>
      <c r="N1482" t="inlineStr">
        <is>
          <t>1st ed.</t>
        </is>
      </c>
      <c r="O1482" t="inlineStr">
        <is>
          <t>eng</t>
        </is>
      </c>
      <c r="P1482" t="inlineStr">
        <is>
          <t>ilu</t>
        </is>
      </c>
      <c r="R1482" t="inlineStr">
        <is>
          <t xml:space="preserve">LC </t>
        </is>
      </c>
      <c r="S1482" t="n">
        <v>5</v>
      </c>
      <c r="T1482" t="n">
        <v>5</v>
      </c>
      <c r="U1482" t="inlineStr">
        <is>
          <t>2010-04-18</t>
        </is>
      </c>
      <c r="V1482" t="inlineStr">
        <is>
          <t>2010-04-18</t>
        </is>
      </c>
      <c r="W1482" t="inlineStr">
        <is>
          <t>2002-04-18</t>
        </is>
      </c>
      <c r="X1482" t="inlineStr">
        <is>
          <t>2002-04-18</t>
        </is>
      </c>
      <c r="Y1482" t="n">
        <v>127</v>
      </c>
      <c r="Z1482" t="n">
        <v>115</v>
      </c>
      <c r="AA1482" t="n">
        <v>117</v>
      </c>
      <c r="AB1482" t="n">
        <v>2</v>
      </c>
      <c r="AC1482" t="n">
        <v>2</v>
      </c>
      <c r="AD1482" t="n">
        <v>1</v>
      </c>
      <c r="AE1482" t="n">
        <v>1</v>
      </c>
      <c r="AF1482" t="n">
        <v>0</v>
      </c>
      <c r="AG1482" t="n">
        <v>0</v>
      </c>
      <c r="AH1482" t="n">
        <v>0</v>
      </c>
      <c r="AI1482" t="n">
        <v>0</v>
      </c>
      <c r="AJ1482" t="n">
        <v>1</v>
      </c>
      <c r="AK1482" t="n">
        <v>1</v>
      </c>
      <c r="AL1482" t="n">
        <v>0</v>
      </c>
      <c r="AM1482" t="n">
        <v>0</v>
      </c>
      <c r="AN1482" t="n">
        <v>0</v>
      </c>
      <c r="AO1482" t="n">
        <v>0</v>
      </c>
      <c r="AP1482" t="inlineStr">
        <is>
          <t>No</t>
        </is>
      </c>
      <c r="AQ1482" t="inlineStr">
        <is>
          <t>Yes</t>
        </is>
      </c>
      <c r="AR1482">
        <f>HYPERLINK("http://catalog.hathitrust.org/Record/004727416","HathiTrust Record")</f>
        <v/>
      </c>
      <c r="AS1482">
        <f>HYPERLINK("https://creighton-primo.hosted.exlibrisgroup.com/primo-explore/search?tab=default_tab&amp;search_scope=EVERYTHING&amp;vid=01CRU&amp;lang=en_US&amp;offset=0&amp;query=any,contains,991003794269702656","Catalog Record")</f>
        <v/>
      </c>
      <c r="AT1482">
        <f>HYPERLINK("http://www.worldcat.org/oclc/38865903","WorldCat Record")</f>
        <v/>
      </c>
      <c r="AU1482" t="inlineStr">
        <is>
          <t>20877859:eng</t>
        </is>
      </c>
      <c r="AV1482" t="inlineStr">
        <is>
          <t>38865903</t>
        </is>
      </c>
      <c r="AW1482" t="inlineStr">
        <is>
          <t>991003794269702656</t>
        </is>
      </c>
      <c r="AX1482" t="inlineStr">
        <is>
          <t>991003794269702656</t>
        </is>
      </c>
      <c r="AY1482" t="inlineStr">
        <is>
          <t>2256622170002656</t>
        </is>
      </c>
      <c r="AZ1482" t="inlineStr">
        <is>
          <t>BOOK</t>
        </is>
      </c>
      <c r="BB1482" t="inlineStr">
        <is>
          <t>9780962350818</t>
        </is>
      </c>
      <c r="BC1482" t="inlineStr">
        <is>
          <t>32285004481411</t>
        </is>
      </c>
      <c r="BD1482" t="inlineStr">
        <is>
          <t>893806222</t>
        </is>
      </c>
    </row>
    <row r="1483">
      <c r="A1483" t="inlineStr">
        <is>
          <t>No</t>
        </is>
      </c>
      <c r="B1483" t="inlineStr">
        <is>
          <t>LC148.2 .H68 1990</t>
        </is>
      </c>
      <c r="C1483" t="inlineStr">
        <is>
          <t>0                      LC 0148200H  68          1990</t>
        </is>
      </c>
      <c r="D1483" t="inlineStr">
        <is>
          <t>The strategic management of college enrollments / Don Hossler, John P. Bean, and associates.</t>
        </is>
      </c>
      <c r="F1483" t="inlineStr">
        <is>
          <t>No</t>
        </is>
      </c>
      <c r="G1483" t="inlineStr">
        <is>
          <t>1</t>
        </is>
      </c>
      <c r="H1483" t="inlineStr">
        <is>
          <t>No</t>
        </is>
      </c>
      <c r="I1483" t="inlineStr">
        <is>
          <t>No</t>
        </is>
      </c>
      <c r="J1483" t="inlineStr">
        <is>
          <t>0</t>
        </is>
      </c>
      <c r="K1483" t="inlineStr">
        <is>
          <t>Hossler, Don.</t>
        </is>
      </c>
      <c r="L1483" t="inlineStr">
        <is>
          <t>San Francisco, Calif. : Jossey-Bass, 1990.</t>
        </is>
      </c>
      <c r="M1483" t="inlineStr">
        <is>
          <t>1990</t>
        </is>
      </c>
      <c r="N1483" t="inlineStr">
        <is>
          <t>1st ed.</t>
        </is>
      </c>
      <c r="O1483" t="inlineStr">
        <is>
          <t>eng</t>
        </is>
      </c>
      <c r="P1483" t="inlineStr">
        <is>
          <t>cau</t>
        </is>
      </c>
      <c r="Q1483" t="inlineStr">
        <is>
          <t>The Jossey-Bass higher education series</t>
        </is>
      </c>
      <c r="R1483" t="inlineStr">
        <is>
          <t xml:space="preserve">LC </t>
        </is>
      </c>
      <c r="S1483" t="n">
        <v>1</v>
      </c>
      <c r="T1483" t="n">
        <v>1</v>
      </c>
      <c r="U1483" t="inlineStr">
        <is>
          <t>2003-11-25</t>
        </is>
      </c>
      <c r="V1483" t="inlineStr">
        <is>
          <t>2003-11-25</t>
        </is>
      </c>
      <c r="W1483" t="inlineStr">
        <is>
          <t>2003-11-25</t>
        </is>
      </c>
      <c r="X1483" t="inlineStr">
        <is>
          <t>2003-11-25</t>
        </is>
      </c>
      <c r="Y1483" t="n">
        <v>463</v>
      </c>
      <c r="Z1483" t="n">
        <v>419</v>
      </c>
      <c r="AA1483" t="n">
        <v>421</v>
      </c>
      <c r="AB1483" t="n">
        <v>2</v>
      </c>
      <c r="AC1483" t="n">
        <v>2</v>
      </c>
      <c r="AD1483" t="n">
        <v>14</v>
      </c>
      <c r="AE1483" t="n">
        <v>14</v>
      </c>
      <c r="AF1483" t="n">
        <v>6</v>
      </c>
      <c r="AG1483" t="n">
        <v>6</v>
      </c>
      <c r="AH1483" t="n">
        <v>2</v>
      </c>
      <c r="AI1483" t="n">
        <v>2</v>
      </c>
      <c r="AJ1483" t="n">
        <v>8</v>
      </c>
      <c r="AK1483" t="n">
        <v>8</v>
      </c>
      <c r="AL1483" t="n">
        <v>1</v>
      </c>
      <c r="AM1483" t="n">
        <v>1</v>
      </c>
      <c r="AN1483" t="n">
        <v>0</v>
      </c>
      <c r="AO1483" t="n">
        <v>0</v>
      </c>
      <c r="AP1483" t="inlineStr">
        <is>
          <t>No</t>
        </is>
      </c>
      <c r="AQ1483" t="inlineStr">
        <is>
          <t>Yes</t>
        </is>
      </c>
      <c r="AR1483">
        <f>HYPERLINK("http://catalog.hathitrust.org/Record/002230813","HathiTrust Record")</f>
        <v/>
      </c>
      <c r="AS1483">
        <f>HYPERLINK("https://creighton-primo.hosted.exlibrisgroup.com/primo-explore/search?tab=default_tab&amp;search_scope=EVERYTHING&amp;vid=01CRU&amp;lang=en_US&amp;offset=0&amp;query=any,contains,991004190709702656","Catalog Record")</f>
        <v/>
      </c>
      <c r="AT1483">
        <f>HYPERLINK("http://www.worldcat.org/oclc/21877069","WorldCat Record")</f>
        <v/>
      </c>
      <c r="AU1483" t="inlineStr">
        <is>
          <t>23304887:eng</t>
        </is>
      </c>
      <c r="AV1483" t="inlineStr">
        <is>
          <t>21877069</t>
        </is>
      </c>
      <c r="AW1483" t="inlineStr">
        <is>
          <t>991004190709702656</t>
        </is>
      </c>
      <c r="AX1483" t="inlineStr">
        <is>
          <t>991004190709702656</t>
        </is>
      </c>
      <c r="AY1483" t="inlineStr">
        <is>
          <t>2257296950002656</t>
        </is>
      </c>
      <c r="AZ1483" t="inlineStr">
        <is>
          <t>BOOK</t>
        </is>
      </c>
      <c r="BB1483" t="inlineStr">
        <is>
          <t>9781555422929</t>
        </is>
      </c>
      <c r="BC1483" t="inlineStr">
        <is>
          <t>32285004841879</t>
        </is>
      </c>
      <c r="BD1483" t="inlineStr">
        <is>
          <t>893888399</t>
        </is>
      </c>
    </row>
    <row r="1484">
      <c r="A1484" t="inlineStr">
        <is>
          <t>No</t>
        </is>
      </c>
      <c r="B1484" t="inlineStr">
        <is>
          <t>LC149 .F87 1987</t>
        </is>
      </c>
      <c r="C1484" t="inlineStr">
        <is>
          <t>0                      LC 0149000F  87          1987</t>
        </is>
      </c>
      <c r="D1484" t="inlineStr">
        <is>
          <t>The Future of literacy in a changing world / edited by Daniel A. Wagner.</t>
        </is>
      </c>
      <c r="F1484" t="inlineStr">
        <is>
          <t>No</t>
        </is>
      </c>
      <c r="G1484" t="inlineStr">
        <is>
          <t>1</t>
        </is>
      </c>
      <c r="H1484" t="inlineStr">
        <is>
          <t>No</t>
        </is>
      </c>
      <c r="I1484" t="inlineStr">
        <is>
          <t>No</t>
        </is>
      </c>
      <c r="J1484" t="inlineStr">
        <is>
          <t>0</t>
        </is>
      </c>
      <c r="L1484" t="inlineStr">
        <is>
          <t>Oxford [Oxfordshire] ; New York : Pergamon Press, 1987.</t>
        </is>
      </c>
      <c r="M1484" t="inlineStr">
        <is>
          <t>1987</t>
        </is>
      </c>
      <c r="N1484" t="inlineStr">
        <is>
          <t>1st ed.</t>
        </is>
      </c>
      <c r="O1484" t="inlineStr">
        <is>
          <t>eng</t>
        </is>
      </c>
      <c r="P1484" t="inlineStr">
        <is>
          <t>enk</t>
        </is>
      </c>
      <c r="Q1484" t="inlineStr">
        <is>
          <t>Comparative and international education series ; v. 1</t>
        </is>
      </c>
      <c r="R1484" t="inlineStr">
        <is>
          <t xml:space="preserve">LC </t>
        </is>
      </c>
      <c r="S1484" t="n">
        <v>5</v>
      </c>
      <c r="T1484" t="n">
        <v>5</v>
      </c>
      <c r="U1484" t="inlineStr">
        <is>
          <t>2005-11-17</t>
        </is>
      </c>
      <c r="V1484" t="inlineStr">
        <is>
          <t>2005-11-17</t>
        </is>
      </c>
      <c r="W1484" t="inlineStr">
        <is>
          <t>1990-07-17</t>
        </is>
      </c>
      <c r="X1484" t="inlineStr">
        <is>
          <t>1990-07-17</t>
        </is>
      </c>
      <c r="Y1484" t="n">
        <v>307</v>
      </c>
      <c r="Z1484" t="n">
        <v>195</v>
      </c>
      <c r="AA1484" t="n">
        <v>262</v>
      </c>
      <c r="AB1484" t="n">
        <v>2</v>
      </c>
      <c r="AC1484" t="n">
        <v>2</v>
      </c>
      <c r="AD1484" t="n">
        <v>6</v>
      </c>
      <c r="AE1484" t="n">
        <v>6</v>
      </c>
      <c r="AF1484" t="n">
        <v>0</v>
      </c>
      <c r="AG1484" t="n">
        <v>0</v>
      </c>
      <c r="AH1484" t="n">
        <v>2</v>
      </c>
      <c r="AI1484" t="n">
        <v>2</v>
      </c>
      <c r="AJ1484" t="n">
        <v>4</v>
      </c>
      <c r="AK1484" t="n">
        <v>4</v>
      </c>
      <c r="AL1484" t="n">
        <v>1</v>
      </c>
      <c r="AM1484" t="n">
        <v>1</v>
      </c>
      <c r="AN1484" t="n">
        <v>0</v>
      </c>
      <c r="AO1484" t="n">
        <v>0</v>
      </c>
      <c r="AP1484" t="inlineStr">
        <is>
          <t>No</t>
        </is>
      </c>
      <c r="AQ1484" t="inlineStr">
        <is>
          <t>Yes</t>
        </is>
      </c>
      <c r="AR1484">
        <f>HYPERLINK("http://catalog.hathitrust.org/Record/000845070","HathiTrust Record")</f>
        <v/>
      </c>
      <c r="AS1484">
        <f>HYPERLINK("https://creighton-primo.hosted.exlibrisgroup.com/primo-explore/search?tab=default_tab&amp;search_scope=EVERYTHING&amp;vid=01CRU&amp;lang=en_US&amp;offset=0&amp;query=any,contains,991001033919702656","Catalog Record")</f>
        <v/>
      </c>
      <c r="AT1484">
        <f>HYPERLINK("http://www.worldcat.org/oclc/15521496","WorldCat Record")</f>
        <v/>
      </c>
      <c r="AU1484" t="inlineStr">
        <is>
          <t>9907063598:eng</t>
        </is>
      </c>
      <c r="AV1484" t="inlineStr">
        <is>
          <t>15521496</t>
        </is>
      </c>
      <c r="AW1484" t="inlineStr">
        <is>
          <t>991001033919702656</t>
        </is>
      </c>
      <c r="AX1484" t="inlineStr">
        <is>
          <t>991001033919702656</t>
        </is>
      </c>
      <c r="AY1484" t="inlineStr">
        <is>
          <t>2270778530002656</t>
        </is>
      </c>
      <c r="AZ1484" t="inlineStr">
        <is>
          <t>BOOK</t>
        </is>
      </c>
      <c r="BB1484" t="inlineStr">
        <is>
          <t>9780080342641</t>
        </is>
      </c>
      <c r="BC1484" t="inlineStr">
        <is>
          <t>32285000237429</t>
        </is>
      </c>
      <c r="BD1484" t="inlineStr">
        <is>
          <t>893897445</t>
        </is>
      </c>
    </row>
    <row r="1485">
      <c r="A1485" t="inlineStr">
        <is>
          <t>No</t>
        </is>
      </c>
      <c r="B1485" t="inlineStr">
        <is>
          <t>LC149 .J4</t>
        </is>
      </c>
      <c r="C1485" t="inlineStr">
        <is>
          <t>0                      LC 0149000J  4</t>
        </is>
      </c>
      <c r="D1485" t="inlineStr">
        <is>
          <t>Illiteracy : a world problem / [by] Sir Charles Jeffries.</t>
        </is>
      </c>
      <c r="F1485" t="inlineStr">
        <is>
          <t>No</t>
        </is>
      </c>
      <c r="G1485" t="inlineStr">
        <is>
          <t>1</t>
        </is>
      </c>
      <c r="H1485" t="inlineStr">
        <is>
          <t>No</t>
        </is>
      </c>
      <c r="I1485" t="inlineStr">
        <is>
          <t>No</t>
        </is>
      </c>
      <c r="J1485" t="inlineStr">
        <is>
          <t>0</t>
        </is>
      </c>
      <c r="K1485" t="inlineStr">
        <is>
          <t>Jeffries, Charles, Sir, 1896-1972.</t>
        </is>
      </c>
      <c r="L1485" t="inlineStr">
        <is>
          <t>New York : F. A. Praeger, [1967]</t>
        </is>
      </c>
      <c r="M1485" t="inlineStr">
        <is>
          <t>1967</t>
        </is>
      </c>
      <c r="O1485" t="inlineStr">
        <is>
          <t>eng</t>
        </is>
      </c>
      <c r="P1485" t="inlineStr">
        <is>
          <t>nyu</t>
        </is>
      </c>
      <c r="R1485" t="inlineStr">
        <is>
          <t xml:space="preserve">LC </t>
        </is>
      </c>
      <c r="S1485" t="n">
        <v>2</v>
      </c>
      <c r="T1485" t="n">
        <v>2</v>
      </c>
      <c r="U1485" t="inlineStr">
        <is>
          <t>2007-04-25</t>
        </is>
      </c>
      <c r="V1485" t="inlineStr">
        <is>
          <t>2007-04-25</t>
        </is>
      </c>
      <c r="W1485" t="inlineStr">
        <is>
          <t>1993-05-06</t>
        </is>
      </c>
      <c r="X1485" t="inlineStr">
        <is>
          <t>1993-05-06</t>
        </is>
      </c>
      <c r="Y1485" t="n">
        <v>551</v>
      </c>
      <c r="Z1485" t="n">
        <v>508</v>
      </c>
      <c r="AA1485" t="n">
        <v>540</v>
      </c>
      <c r="AB1485" t="n">
        <v>3</v>
      </c>
      <c r="AC1485" t="n">
        <v>3</v>
      </c>
      <c r="AD1485" t="n">
        <v>23</v>
      </c>
      <c r="AE1485" t="n">
        <v>24</v>
      </c>
      <c r="AF1485" t="n">
        <v>9</v>
      </c>
      <c r="AG1485" t="n">
        <v>9</v>
      </c>
      <c r="AH1485" t="n">
        <v>6</v>
      </c>
      <c r="AI1485" t="n">
        <v>7</v>
      </c>
      <c r="AJ1485" t="n">
        <v>11</v>
      </c>
      <c r="AK1485" t="n">
        <v>12</v>
      </c>
      <c r="AL1485" t="n">
        <v>2</v>
      </c>
      <c r="AM1485" t="n">
        <v>2</v>
      </c>
      <c r="AN1485" t="n">
        <v>0</v>
      </c>
      <c r="AO1485" t="n">
        <v>0</v>
      </c>
      <c r="AP1485" t="inlineStr">
        <is>
          <t>No</t>
        </is>
      </c>
      <c r="AQ1485" t="inlineStr">
        <is>
          <t>Yes</t>
        </is>
      </c>
      <c r="AR1485">
        <f>HYPERLINK("http://catalog.hathitrust.org/Record/004435169","HathiTrust Record")</f>
        <v/>
      </c>
      <c r="AS1485">
        <f>HYPERLINK("https://creighton-primo.hosted.exlibrisgroup.com/primo-explore/search?tab=default_tab&amp;search_scope=EVERYTHING&amp;vid=01CRU&amp;lang=en_US&amp;offset=0&amp;query=any,contains,991003596039702656","Catalog Record")</f>
        <v/>
      </c>
      <c r="AT1485">
        <f>HYPERLINK("http://www.worldcat.org/oclc/1175675","WorldCat Record")</f>
        <v/>
      </c>
      <c r="AU1485" t="inlineStr">
        <is>
          <t>2101063:eng</t>
        </is>
      </c>
      <c r="AV1485" t="inlineStr">
        <is>
          <t>1175675</t>
        </is>
      </c>
      <c r="AW1485" t="inlineStr">
        <is>
          <t>991003596039702656</t>
        </is>
      </c>
      <c r="AX1485" t="inlineStr">
        <is>
          <t>991003596039702656</t>
        </is>
      </c>
      <c r="AY1485" t="inlineStr">
        <is>
          <t>2271919220002656</t>
        </is>
      </c>
      <c r="AZ1485" t="inlineStr">
        <is>
          <t>BOOK</t>
        </is>
      </c>
      <c r="BC1485" t="inlineStr">
        <is>
          <t>32285001651305</t>
        </is>
      </c>
      <c r="BD1485" t="inlineStr">
        <is>
          <t>893234327</t>
        </is>
      </c>
    </row>
    <row r="1486">
      <c r="A1486" t="inlineStr">
        <is>
          <t>No</t>
        </is>
      </c>
      <c r="B1486" t="inlineStr">
        <is>
          <t>LC149 .K56 2010</t>
        </is>
      </c>
      <c r="C1486" t="inlineStr">
        <is>
          <t>0                      LC 0149000K  56          2010</t>
        </is>
      </c>
      <c r="D1486" t="inlineStr">
        <is>
          <t>READ : seventy strategies to support student success / Kimberly Kimbell-Lopez, Carrice Cummins.</t>
        </is>
      </c>
      <c r="F1486" t="inlineStr">
        <is>
          <t>No</t>
        </is>
      </c>
      <c r="G1486" t="inlineStr">
        <is>
          <t>1</t>
        </is>
      </c>
      <c r="H1486" t="inlineStr">
        <is>
          <t>No</t>
        </is>
      </c>
      <c r="I1486" t="inlineStr">
        <is>
          <t>No</t>
        </is>
      </c>
      <c r="J1486" t="inlineStr">
        <is>
          <t>0</t>
        </is>
      </c>
      <c r="K1486" t="inlineStr">
        <is>
          <t>Kimbell-Lopez, Kimberly.</t>
        </is>
      </c>
      <c r="L1486" t="inlineStr">
        <is>
          <t>Hoboken, NJ : John Wiley &amp; Sons, c2010.</t>
        </is>
      </c>
      <c r="M1486" t="inlineStr">
        <is>
          <t>2010</t>
        </is>
      </c>
      <c r="O1486" t="inlineStr">
        <is>
          <t>eng</t>
        </is>
      </c>
      <c r="P1486" t="inlineStr">
        <is>
          <t>nju</t>
        </is>
      </c>
      <c r="R1486" t="inlineStr">
        <is>
          <t xml:space="preserve">LC </t>
        </is>
      </c>
      <c r="S1486" t="n">
        <v>1</v>
      </c>
      <c r="T1486" t="n">
        <v>1</v>
      </c>
      <c r="U1486" t="inlineStr">
        <is>
          <t>2009-11-17</t>
        </is>
      </c>
      <c r="V1486" t="inlineStr">
        <is>
          <t>2009-11-17</t>
        </is>
      </c>
      <c r="W1486" t="inlineStr">
        <is>
          <t>2009-11-17</t>
        </is>
      </c>
      <c r="X1486" t="inlineStr">
        <is>
          <t>2009-11-17</t>
        </is>
      </c>
      <c r="Y1486" t="n">
        <v>137</v>
      </c>
      <c r="Z1486" t="n">
        <v>106</v>
      </c>
      <c r="AA1486" t="n">
        <v>106</v>
      </c>
      <c r="AB1486" t="n">
        <v>1</v>
      </c>
      <c r="AC1486" t="n">
        <v>1</v>
      </c>
      <c r="AD1486" t="n">
        <v>4</v>
      </c>
      <c r="AE1486" t="n">
        <v>4</v>
      </c>
      <c r="AF1486" t="n">
        <v>2</v>
      </c>
      <c r="AG1486" t="n">
        <v>2</v>
      </c>
      <c r="AH1486" t="n">
        <v>2</v>
      </c>
      <c r="AI1486" t="n">
        <v>2</v>
      </c>
      <c r="AJ1486" t="n">
        <v>3</v>
      </c>
      <c r="AK1486" t="n">
        <v>3</v>
      </c>
      <c r="AL1486" t="n">
        <v>0</v>
      </c>
      <c r="AM1486" t="n">
        <v>0</v>
      </c>
      <c r="AN1486" t="n">
        <v>0</v>
      </c>
      <c r="AO1486" t="n">
        <v>0</v>
      </c>
      <c r="AP1486" t="inlineStr">
        <is>
          <t>No</t>
        </is>
      </c>
      <c r="AQ1486" t="inlineStr">
        <is>
          <t>No</t>
        </is>
      </c>
      <c r="AS1486">
        <f>HYPERLINK("https://creighton-primo.hosted.exlibrisgroup.com/primo-explore/search?tab=default_tab&amp;search_scope=EVERYTHING&amp;vid=01CRU&amp;lang=en_US&amp;offset=0&amp;query=any,contains,991005341959702656","Catalog Record")</f>
        <v/>
      </c>
      <c r="AT1486">
        <f>HYPERLINK("http://www.worldcat.org/oclc/317920414","WorldCat Record")</f>
        <v/>
      </c>
      <c r="AU1486" t="inlineStr">
        <is>
          <t>3857853194:eng</t>
        </is>
      </c>
      <c r="AV1486" t="inlineStr">
        <is>
          <t>317920414</t>
        </is>
      </c>
      <c r="AW1486" t="inlineStr">
        <is>
          <t>991005341959702656</t>
        </is>
      </c>
      <c r="AX1486" t="inlineStr">
        <is>
          <t>991005341959702656</t>
        </is>
      </c>
      <c r="AY1486" t="inlineStr">
        <is>
          <t>2261247790002656</t>
        </is>
      </c>
      <c r="AZ1486" t="inlineStr">
        <is>
          <t>BOOK</t>
        </is>
      </c>
      <c r="BB1486" t="inlineStr">
        <is>
          <t>9780470521038</t>
        </is>
      </c>
      <c r="BC1486" t="inlineStr">
        <is>
          <t>32285005551535</t>
        </is>
      </c>
      <c r="BD1486" t="inlineStr">
        <is>
          <t>893890058</t>
        </is>
      </c>
    </row>
    <row r="1487">
      <c r="A1487" t="inlineStr">
        <is>
          <t>No</t>
        </is>
      </c>
      <c r="B1487" t="inlineStr">
        <is>
          <t>LC149 .L514 1986</t>
        </is>
      </c>
      <c r="C1487" t="inlineStr">
        <is>
          <t>0                      LC 0149000L  514         1986</t>
        </is>
      </c>
      <c r="D1487" t="inlineStr">
        <is>
          <t>Literacy, society, and schooling : a reader / edited by Suzanne de Castell, Allan Luke, Kieran Egan.</t>
        </is>
      </c>
      <c r="F1487" t="inlineStr">
        <is>
          <t>No</t>
        </is>
      </c>
      <c r="G1487" t="inlineStr">
        <is>
          <t>1</t>
        </is>
      </c>
      <c r="H1487" t="inlineStr">
        <is>
          <t>No</t>
        </is>
      </c>
      <c r="I1487" t="inlineStr">
        <is>
          <t>No</t>
        </is>
      </c>
      <c r="J1487" t="inlineStr">
        <is>
          <t>0</t>
        </is>
      </c>
      <c r="L1487" t="inlineStr">
        <is>
          <t>Cambridge [Cambridgeshire] ; New York : Cambridge University Press, 1986.</t>
        </is>
      </c>
      <c r="M1487" t="inlineStr">
        <is>
          <t>1986</t>
        </is>
      </c>
      <c r="O1487" t="inlineStr">
        <is>
          <t>eng</t>
        </is>
      </c>
      <c r="P1487" t="inlineStr">
        <is>
          <t>enk</t>
        </is>
      </c>
      <c r="R1487" t="inlineStr">
        <is>
          <t xml:space="preserve">LC </t>
        </is>
      </c>
      <c r="S1487" t="n">
        <v>7</v>
      </c>
      <c r="T1487" t="n">
        <v>7</v>
      </c>
      <c r="U1487" t="inlineStr">
        <is>
          <t>1995-01-25</t>
        </is>
      </c>
      <c r="V1487" t="inlineStr">
        <is>
          <t>1995-01-25</t>
        </is>
      </c>
      <c r="W1487" t="inlineStr">
        <is>
          <t>1992-08-20</t>
        </is>
      </c>
      <c r="X1487" t="inlineStr">
        <is>
          <t>1992-08-20</t>
        </is>
      </c>
      <c r="Y1487" t="n">
        <v>771</v>
      </c>
      <c r="Z1487" t="n">
        <v>581</v>
      </c>
      <c r="AA1487" t="n">
        <v>582</v>
      </c>
      <c r="AB1487" t="n">
        <v>5</v>
      </c>
      <c r="AC1487" t="n">
        <v>5</v>
      </c>
      <c r="AD1487" t="n">
        <v>27</v>
      </c>
      <c r="AE1487" t="n">
        <v>27</v>
      </c>
      <c r="AF1487" t="n">
        <v>12</v>
      </c>
      <c r="AG1487" t="n">
        <v>12</v>
      </c>
      <c r="AH1487" t="n">
        <v>3</v>
      </c>
      <c r="AI1487" t="n">
        <v>3</v>
      </c>
      <c r="AJ1487" t="n">
        <v>13</v>
      </c>
      <c r="AK1487" t="n">
        <v>13</v>
      </c>
      <c r="AL1487" t="n">
        <v>4</v>
      </c>
      <c r="AM1487" t="n">
        <v>4</v>
      </c>
      <c r="AN1487" t="n">
        <v>0</v>
      </c>
      <c r="AO1487" t="n">
        <v>0</v>
      </c>
      <c r="AP1487" t="inlineStr">
        <is>
          <t>No</t>
        </is>
      </c>
      <c r="AQ1487" t="inlineStr">
        <is>
          <t>No</t>
        </is>
      </c>
      <c r="AS1487">
        <f>HYPERLINK("https://creighton-primo.hosted.exlibrisgroup.com/primo-explore/search?tab=default_tab&amp;search_scope=EVERYTHING&amp;vid=01CRU&amp;lang=en_US&amp;offset=0&amp;query=any,contains,991000780999702656","Catalog Record")</f>
        <v/>
      </c>
      <c r="AT1487">
        <f>HYPERLINK("http://www.worldcat.org/oclc/13095932","WorldCat Record")</f>
        <v/>
      </c>
      <c r="AU1487" t="inlineStr">
        <is>
          <t>836699412:eng</t>
        </is>
      </c>
      <c r="AV1487" t="inlineStr">
        <is>
          <t>13095932</t>
        </is>
      </c>
      <c r="AW1487" t="inlineStr">
        <is>
          <t>991000780999702656</t>
        </is>
      </c>
      <c r="AX1487" t="inlineStr">
        <is>
          <t>991000780999702656</t>
        </is>
      </c>
      <c r="AY1487" t="inlineStr">
        <is>
          <t>2256154320002656</t>
        </is>
      </c>
      <c r="AZ1487" t="inlineStr">
        <is>
          <t>BOOK</t>
        </is>
      </c>
      <c r="BB1487" t="inlineStr">
        <is>
          <t>9780521313407</t>
        </is>
      </c>
      <c r="BC1487" t="inlineStr">
        <is>
          <t>32285001264844</t>
        </is>
      </c>
      <c r="BD1487" t="inlineStr">
        <is>
          <t>893620785</t>
        </is>
      </c>
    </row>
    <row r="1488">
      <c r="A1488" t="inlineStr">
        <is>
          <t>No</t>
        </is>
      </c>
      <c r="B1488" t="inlineStr">
        <is>
          <t>LC149.7 .B69 2001</t>
        </is>
      </c>
      <c r="C1488" t="inlineStr">
        <is>
          <t>0                      LC 0149700B  69          2001</t>
        </is>
      </c>
      <c r="D1488" t="inlineStr">
        <is>
          <t>The new schoolhouse : literacy, managers, and belief / Mary-Ellen Boyle.</t>
        </is>
      </c>
      <c r="F1488" t="inlineStr">
        <is>
          <t>No</t>
        </is>
      </c>
      <c r="G1488" t="inlineStr">
        <is>
          <t>1</t>
        </is>
      </c>
      <c r="H1488" t="inlineStr">
        <is>
          <t>No</t>
        </is>
      </c>
      <c r="I1488" t="inlineStr">
        <is>
          <t>No</t>
        </is>
      </c>
      <c r="J1488" t="inlineStr">
        <is>
          <t>0</t>
        </is>
      </c>
      <c r="K1488" t="inlineStr">
        <is>
          <t>Boyle, Mary-Ellen, 1956-</t>
        </is>
      </c>
      <c r="L1488" t="inlineStr">
        <is>
          <t>Westport, Conn. : Praeger, 2001.</t>
        </is>
      </c>
      <c r="M1488" t="inlineStr">
        <is>
          <t>2001</t>
        </is>
      </c>
      <c r="O1488" t="inlineStr">
        <is>
          <t>eng</t>
        </is>
      </c>
      <c r="P1488" t="inlineStr">
        <is>
          <t>ctu</t>
        </is>
      </c>
      <c r="R1488" t="inlineStr">
        <is>
          <t xml:space="preserve">LC </t>
        </is>
      </c>
      <c r="S1488" t="n">
        <v>2</v>
      </c>
      <c r="T1488" t="n">
        <v>2</v>
      </c>
      <c r="U1488" t="inlineStr">
        <is>
          <t>2001-11-20</t>
        </is>
      </c>
      <c r="V1488" t="inlineStr">
        <is>
          <t>2001-11-20</t>
        </is>
      </c>
      <c r="W1488" t="inlineStr">
        <is>
          <t>2001-11-20</t>
        </is>
      </c>
      <c r="X1488" t="inlineStr">
        <is>
          <t>2001-11-20</t>
        </is>
      </c>
      <c r="Y1488" t="n">
        <v>246</v>
      </c>
      <c r="Z1488" t="n">
        <v>217</v>
      </c>
      <c r="AA1488" t="n">
        <v>578</v>
      </c>
      <c r="AB1488" t="n">
        <v>3</v>
      </c>
      <c r="AC1488" t="n">
        <v>5</v>
      </c>
      <c r="AD1488" t="n">
        <v>9</v>
      </c>
      <c r="AE1488" t="n">
        <v>15</v>
      </c>
      <c r="AF1488" t="n">
        <v>2</v>
      </c>
      <c r="AG1488" t="n">
        <v>5</v>
      </c>
      <c r="AH1488" t="n">
        <v>1</v>
      </c>
      <c r="AI1488" t="n">
        <v>1</v>
      </c>
      <c r="AJ1488" t="n">
        <v>7</v>
      </c>
      <c r="AK1488" t="n">
        <v>9</v>
      </c>
      <c r="AL1488" t="n">
        <v>2</v>
      </c>
      <c r="AM1488" t="n">
        <v>4</v>
      </c>
      <c r="AN1488" t="n">
        <v>0</v>
      </c>
      <c r="AO1488" t="n">
        <v>0</v>
      </c>
      <c r="AP1488" t="inlineStr">
        <is>
          <t>No</t>
        </is>
      </c>
      <c r="AQ1488" t="inlineStr">
        <is>
          <t>Yes</t>
        </is>
      </c>
      <c r="AR1488">
        <f>HYPERLINK("http://catalog.hathitrust.org/Record/004195850","HathiTrust Record")</f>
        <v/>
      </c>
      <c r="AS1488">
        <f>HYPERLINK("https://creighton-primo.hosted.exlibrisgroup.com/primo-explore/search?tab=default_tab&amp;search_scope=EVERYTHING&amp;vid=01CRU&amp;lang=en_US&amp;offset=0&amp;query=any,contains,991003680259702656","Catalog Record")</f>
        <v/>
      </c>
      <c r="AT1488">
        <f>HYPERLINK("http://www.worldcat.org/oclc/45618365","WorldCat Record")</f>
        <v/>
      </c>
      <c r="AU1488" t="inlineStr">
        <is>
          <t>797235344:eng</t>
        </is>
      </c>
      <c r="AV1488" t="inlineStr">
        <is>
          <t>45618365</t>
        </is>
      </c>
      <c r="AW1488" t="inlineStr">
        <is>
          <t>991003680259702656</t>
        </is>
      </c>
      <c r="AX1488" t="inlineStr">
        <is>
          <t>991003680259702656</t>
        </is>
      </c>
      <c r="AY1488" t="inlineStr">
        <is>
          <t>2258820980002656</t>
        </is>
      </c>
      <c r="AZ1488" t="inlineStr">
        <is>
          <t>BOOK</t>
        </is>
      </c>
      <c r="BB1488" t="inlineStr">
        <is>
          <t>9780275968793</t>
        </is>
      </c>
      <c r="BC1488" t="inlineStr">
        <is>
          <t>32285004412903</t>
        </is>
      </c>
      <c r="BD1488" t="inlineStr">
        <is>
          <t>893904467</t>
        </is>
      </c>
    </row>
    <row r="1489">
      <c r="A1489" t="inlineStr">
        <is>
          <t>No</t>
        </is>
      </c>
      <c r="B1489" t="inlineStr">
        <is>
          <t>LC149.7 .G63 2002</t>
        </is>
      </c>
      <c r="C1489" t="inlineStr">
        <is>
          <t>0                      LC 0149700G  63          2002</t>
        </is>
      </c>
      <c r="D1489" t="inlineStr">
        <is>
          <t>Information literacy and workplace performance / Tom W. Goad.</t>
        </is>
      </c>
      <c r="F1489" t="inlineStr">
        <is>
          <t>No</t>
        </is>
      </c>
      <c r="G1489" t="inlineStr">
        <is>
          <t>1</t>
        </is>
      </c>
      <c r="H1489" t="inlineStr">
        <is>
          <t>No</t>
        </is>
      </c>
      <c r="I1489" t="inlineStr">
        <is>
          <t>No</t>
        </is>
      </c>
      <c r="J1489" t="inlineStr">
        <is>
          <t>0</t>
        </is>
      </c>
      <c r="K1489" t="inlineStr">
        <is>
          <t>Goad, Tom W.</t>
        </is>
      </c>
      <c r="L1489" t="inlineStr">
        <is>
          <t>Westport, Conn. : Quorum Books, 2002.</t>
        </is>
      </c>
      <c r="M1489" t="inlineStr">
        <is>
          <t>2002</t>
        </is>
      </c>
      <c r="O1489" t="inlineStr">
        <is>
          <t>eng</t>
        </is>
      </c>
      <c r="P1489" t="inlineStr">
        <is>
          <t>ctu</t>
        </is>
      </c>
      <c r="R1489" t="inlineStr">
        <is>
          <t xml:space="preserve">LC </t>
        </is>
      </c>
      <c r="S1489" t="n">
        <v>4</v>
      </c>
      <c r="T1489" t="n">
        <v>4</v>
      </c>
      <c r="U1489" t="inlineStr">
        <is>
          <t>2010-04-18</t>
        </is>
      </c>
      <c r="V1489" t="inlineStr">
        <is>
          <t>2010-04-18</t>
        </is>
      </c>
      <c r="W1489" t="inlineStr">
        <is>
          <t>2003-02-27</t>
        </is>
      </c>
      <c r="X1489" t="inlineStr">
        <is>
          <t>2003-02-27</t>
        </is>
      </c>
      <c r="Y1489" t="n">
        <v>435</v>
      </c>
      <c r="Z1489" t="n">
        <v>361</v>
      </c>
      <c r="AA1489" t="n">
        <v>753</v>
      </c>
      <c r="AB1489" t="n">
        <v>5</v>
      </c>
      <c r="AC1489" t="n">
        <v>6</v>
      </c>
      <c r="AD1489" t="n">
        <v>20</v>
      </c>
      <c r="AE1489" t="n">
        <v>25</v>
      </c>
      <c r="AF1489" t="n">
        <v>6</v>
      </c>
      <c r="AG1489" t="n">
        <v>9</v>
      </c>
      <c r="AH1489" t="n">
        <v>5</v>
      </c>
      <c r="AI1489" t="n">
        <v>6</v>
      </c>
      <c r="AJ1489" t="n">
        <v>11</v>
      </c>
      <c r="AK1489" t="n">
        <v>13</v>
      </c>
      <c r="AL1489" t="n">
        <v>4</v>
      </c>
      <c r="AM1489" t="n">
        <v>5</v>
      </c>
      <c r="AN1489" t="n">
        <v>0</v>
      </c>
      <c r="AO1489" t="n">
        <v>0</v>
      </c>
      <c r="AP1489" t="inlineStr">
        <is>
          <t>No</t>
        </is>
      </c>
      <c r="AQ1489" t="inlineStr">
        <is>
          <t>Yes</t>
        </is>
      </c>
      <c r="AR1489">
        <f>HYPERLINK("http://catalog.hathitrust.org/Record/004228417","HathiTrust Record")</f>
        <v/>
      </c>
      <c r="AS1489">
        <f>HYPERLINK("https://creighton-primo.hosted.exlibrisgroup.com/primo-explore/search?tab=default_tab&amp;search_scope=EVERYTHING&amp;vid=01CRU&amp;lang=en_US&amp;offset=0&amp;query=any,contains,991003969509702656","Catalog Record")</f>
        <v/>
      </c>
      <c r="AT1489">
        <f>HYPERLINK("http://www.worldcat.org/oclc/46976479","WorldCat Record")</f>
        <v/>
      </c>
      <c r="AU1489" t="inlineStr">
        <is>
          <t>941690:eng</t>
        </is>
      </c>
      <c r="AV1489" t="inlineStr">
        <is>
          <t>46976479</t>
        </is>
      </c>
      <c r="AW1489" t="inlineStr">
        <is>
          <t>991003969509702656</t>
        </is>
      </c>
      <c r="AX1489" t="inlineStr">
        <is>
          <t>991003969509702656</t>
        </is>
      </c>
      <c r="AY1489" t="inlineStr">
        <is>
          <t>2261639230002656</t>
        </is>
      </c>
      <c r="AZ1489" t="inlineStr">
        <is>
          <t>BOOK</t>
        </is>
      </c>
      <c r="BB1489" t="inlineStr">
        <is>
          <t>9781567204544</t>
        </is>
      </c>
      <c r="BC1489" t="inlineStr">
        <is>
          <t>32285004681580</t>
        </is>
      </c>
      <c r="BD1489" t="inlineStr">
        <is>
          <t>893718298</t>
        </is>
      </c>
    </row>
    <row r="1490">
      <c r="A1490" t="inlineStr">
        <is>
          <t>No</t>
        </is>
      </c>
      <c r="B1490" t="inlineStr">
        <is>
          <t>LC149.7 .V54 2004</t>
        </is>
      </c>
      <c r="C1490" t="inlineStr">
        <is>
          <t>0                      LC 0149700V  54          2004</t>
        </is>
      </c>
      <c r="D1490" t="inlineStr">
        <is>
          <t>Multiple intelligences and adult literacy : a sourcebook for practitioners / Julie Viens &amp; Silja Kallenbach ; foreword by Howard Gardner.</t>
        </is>
      </c>
      <c r="F1490" t="inlineStr">
        <is>
          <t>No</t>
        </is>
      </c>
      <c r="G1490" t="inlineStr">
        <is>
          <t>1</t>
        </is>
      </c>
      <c r="H1490" t="inlineStr">
        <is>
          <t>No</t>
        </is>
      </c>
      <c r="I1490" t="inlineStr">
        <is>
          <t>No</t>
        </is>
      </c>
      <c r="J1490" t="inlineStr">
        <is>
          <t>0</t>
        </is>
      </c>
      <c r="K1490" t="inlineStr">
        <is>
          <t>Viens, Julie.</t>
        </is>
      </c>
      <c r="L1490" t="inlineStr">
        <is>
          <t>New York : Teachers College Press, c2004.</t>
        </is>
      </c>
      <c r="M1490" t="inlineStr">
        <is>
          <t>2004</t>
        </is>
      </c>
      <c r="O1490" t="inlineStr">
        <is>
          <t>eng</t>
        </is>
      </c>
      <c r="P1490" t="inlineStr">
        <is>
          <t>nyu</t>
        </is>
      </c>
      <c r="R1490" t="inlineStr">
        <is>
          <t xml:space="preserve">LC </t>
        </is>
      </c>
      <c r="S1490" t="n">
        <v>1</v>
      </c>
      <c r="T1490" t="n">
        <v>1</v>
      </c>
      <c r="U1490" t="inlineStr">
        <is>
          <t>2004-03-15</t>
        </is>
      </c>
      <c r="V1490" t="inlineStr">
        <is>
          <t>2004-03-15</t>
        </is>
      </c>
      <c r="W1490" t="inlineStr">
        <is>
          <t>2004-03-15</t>
        </is>
      </c>
      <c r="X1490" t="inlineStr">
        <is>
          <t>2004-03-15</t>
        </is>
      </c>
      <c r="Y1490" t="n">
        <v>440</v>
      </c>
      <c r="Z1490" t="n">
        <v>391</v>
      </c>
      <c r="AA1490" t="n">
        <v>414</v>
      </c>
      <c r="AB1490" t="n">
        <v>4</v>
      </c>
      <c r="AC1490" t="n">
        <v>4</v>
      </c>
      <c r="AD1490" t="n">
        <v>16</v>
      </c>
      <c r="AE1490" t="n">
        <v>16</v>
      </c>
      <c r="AF1490" t="n">
        <v>7</v>
      </c>
      <c r="AG1490" t="n">
        <v>7</v>
      </c>
      <c r="AH1490" t="n">
        <v>3</v>
      </c>
      <c r="AI1490" t="n">
        <v>3</v>
      </c>
      <c r="AJ1490" t="n">
        <v>6</v>
      </c>
      <c r="AK1490" t="n">
        <v>6</v>
      </c>
      <c r="AL1490" t="n">
        <v>3</v>
      </c>
      <c r="AM1490" t="n">
        <v>3</v>
      </c>
      <c r="AN1490" t="n">
        <v>0</v>
      </c>
      <c r="AO1490" t="n">
        <v>0</v>
      </c>
      <c r="AP1490" t="inlineStr">
        <is>
          <t>No</t>
        </is>
      </c>
      <c r="AQ1490" t="inlineStr">
        <is>
          <t>No</t>
        </is>
      </c>
      <c r="AS1490">
        <f>HYPERLINK("https://creighton-primo.hosted.exlibrisgroup.com/primo-explore/search?tab=default_tab&amp;search_scope=EVERYTHING&amp;vid=01CRU&amp;lang=en_US&amp;offset=0&amp;query=any,contains,991004256239702656","Catalog Record")</f>
        <v/>
      </c>
      <c r="AT1490">
        <f>HYPERLINK("http://www.worldcat.org/oclc/52271433","WorldCat Record")</f>
        <v/>
      </c>
      <c r="AU1490" t="inlineStr">
        <is>
          <t>800362353:eng</t>
        </is>
      </c>
      <c r="AV1490" t="inlineStr">
        <is>
          <t>52271433</t>
        </is>
      </c>
      <c r="AW1490" t="inlineStr">
        <is>
          <t>991004256239702656</t>
        </is>
      </c>
      <c r="AX1490" t="inlineStr">
        <is>
          <t>991004256239702656</t>
        </is>
      </c>
      <c r="AY1490" t="inlineStr">
        <is>
          <t>2271558310002656</t>
        </is>
      </c>
      <c r="AZ1490" t="inlineStr">
        <is>
          <t>BOOK</t>
        </is>
      </c>
      <c r="BB1490" t="inlineStr">
        <is>
          <t>9780807743461</t>
        </is>
      </c>
      <c r="BC1490" t="inlineStr">
        <is>
          <t>32285004893573</t>
        </is>
      </c>
      <c r="BD1490" t="inlineStr">
        <is>
          <t>893417401</t>
        </is>
      </c>
    </row>
    <row r="1491">
      <c r="A1491" t="inlineStr">
        <is>
          <t>No</t>
        </is>
      </c>
      <c r="B1491" t="inlineStr">
        <is>
          <t>LC149.7 .W45 2011</t>
        </is>
      </c>
      <c r="C1491" t="inlineStr">
        <is>
          <t>0                      LC 0149700W  45          2011</t>
        </is>
      </c>
      <c r="D1491" t="inlineStr">
        <is>
          <t>Understanding adult functional literacy : connecting text features, task demands, and respondent skills / Sheida White.</t>
        </is>
      </c>
      <c r="F1491" t="inlineStr">
        <is>
          <t>No</t>
        </is>
      </c>
      <c r="G1491" t="inlineStr">
        <is>
          <t>1</t>
        </is>
      </c>
      <c r="H1491" t="inlineStr">
        <is>
          <t>No</t>
        </is>
      </c>
      <c r="I1491" t="inlineStr">
        <is>
          <t>No</t>
        </is>
      </c>
      <c r="J1491" t="inlineStr">
        <is>
          <t>0</t>
        </is>
      </c>
      <c r="K1491" t="inlineStr">
        <is>
          <t>White, Sheida.</t>
        </is>
      </c>
      <c r="L1491" t="inlineStr">
        <is>
          <t>New York : Routledge, 2011.</t>
        </is>
      </c>
      <c r="M1491" t="inlineStr">
        <is>
          <t>2011</t>
        </is>
      </c>
      <c r="O1491" t="inlineStr">
        <is>
          <t>eng</t>
        </is>
      </c>
      <c r="P1491" t="inlineStr">
        <is>
          <t>nyu</t>
        </is>
      </c>
      <c r="R1491" t="inlineStr">
        <is>
          <t xml:space="preserve">LC </t>
        </is>
      </c>
      <c r="S1491" t="n">
        <v>1</v>
      </c>
      <c r="T1491" t="n">
        <v>1</v>
      </c>
      <c r="U1491" t="inlineStr">
        <is>
          <t>2010-11-16</t>
        </is>
      </c>
      <c r="V1491" t="inlineStr">
        <is>
          <t>2010-11-16</t>
        </is>
      </c>
      <c r="W1491" t="inlineStr">
        <is>
          <t>2010-11-16</t>
        </is>
      </c>
      <c r="X1491" t="inlineStr">
        <is>
          <t>2010-11-16</t>
        </is>
      </c>
      <c r="Y1491" t="n">
        <v>175</v>
      </c>
      <c r="Z1491" t="n">
        <v>135</v>
      </c>
      <c r="AA1491" t="n">
        <v>166</v>
      </c>
      <c r="AB1491" t="n">
        <v>1</v>
      </c>
      <c r="AC1491" t="n">
        <v>1</v>
      </c>
      <c r="AD1491" t="n">
        <v>6</v>
      </c>
      <c r="AE1491" t="n">
        <v>6</v>
      </c>
      <c r="AF1491" t="n">
        <v>1</v>
      </c>
      <c r="AG1491" t="n">
        <v>1</v>
      </c>
      <c r="AH1491" t="n">
        <v>2</v>
      </c>
      <c r="AI1491" t="n">
        <v>2</v>
      </c>
      <c r="AJ1491" t="n">
        <v>6</v>
      </c>
      <c r="AK1491" t="n">
        <v>6</v>
      </c>
      <c r="AL1491" t="n">
        <v>0</v>
      </c>
      <c r="AM1491" t="n">
        <v>0</v>
      </c>
      <c r="AN1491" t="n">
        <v>0</v>
      </c>
      <c r="AO1491" t="n">
        <v>0</v>
      </c>
      <c r="AP1491" t="inlineStr">
        <is>
          <t>No</t>
        </is>
      </c>
      <c r="AQ1491" t="inlineStr">
        <is>
          <t>No</t>
        </is>
      </c>
      <c r="AS1491">
        <f>HYPERLINK("https://creighton-primo.hosted.exlibrisgroup.com/primo-explore/search?tab=default_tab&amp;search_scope=EVERYTHING&amp;vid=01CRU&amp;lang=en_US&amp;offset=0&amp;query=any,contains,991000223819702656","Catalog Record")</f>
        <v/>
      </c>
      <c r="AT1491">
        <f>HYPERLINK("http://www.worldcat.org/oclc/587110264","WorldCat Record")</f>
        <v/>
      </c>
      <c r="AU1491" t="inlineStr">
        <is>
          <t>793041187:eng</t>
        </is>
      </c>
      <c r="AV1491" t="inlineStr">
        <is>
          <t>587110264</t>
        </is>
      </c>
      <c r="AW1491" t="inlineStr">
        <is>
          <t>991000223819702656</t>
        </is>
      </c>
      <c r="AX1491" t="inlineStr">
        <is>
          <t>991000223819702656</t>
        </is>
      </c>
      <c r="AY1491" t="inlineStr">
        <is>
          <t>2263639950002656</t>
        </is>
      </c>
      <c r="AZ1491" t="inlineStr">
        <is>
          <t>BOOK</t>
        </is>
      </c>
      <c r="BB1491" t="inlineStr">
        <is>
          <t>9780415882477</t>
        </is>
      </c>
      <c r="BC1491" t="inlineStr">
        <is>
          <t>32285005606032</t>
        </is>
      </c>
      <c r="BD1491" t="inlineStr">
        <is>
          <t>893890530</t>
        </is>
      </c>
    </row>
    <row r="1492">
      <c r="A1492" t="inlineStr">
        <is>
          <t>No</t>
        </is>
      </c>
      <c r="B1492" t="inlineStr">
        <is>
          <t>LC151 .H35 1987</t>
        </is>
      </c>
      <c r="C1492" t="inlineStr">
        <is>
          <t>0                      LC 0151000H  35          1987</t>
        </is>
      </c>
      <c r="D1492" t="inlineStr">
        <is>
          <t>Illiteracy : a national dilemma / David Harman.</t>
        </is>
      </c>
      <c r="F1492" t="inlineStr">
        <is>
          <t>No</t>
        </is>
      </c>
      <c r="G1492" t="inlineStr">
        <is>
          <t>1</t>
        </is>
      </c>
      <c r="H1492" t="inlineStr">
        <is>
          <t>No</t>
        </is>
      </c>
      <c r="I1492" t="inlineStr">
        <is>
          <t>No</t>
        </is>
      </c>
      <c r="J1492" t="inlineStr">
        <is>
          <t>0</t>
        </is>
      </c>
      <c r="K1492" t="inlineStr">
        <is>
          <t>Harman, David.</t>
        </is>
      </c>
      <c r="L1492" t="inlineStr">
        <is>
          <t>New York : Cambridge, c1987.</t>
        </is>
      </c>
      <c r="M1492" t="inlineStr">
        <is>
          <t>1987</t>
        </is>
      </c>
      <c r="O1492" t="inlineStr">
        <is>
          <t>eng</t>
        </is>
      </c>
      <c r="P1492" t="inlineStr">
        <is>
          <t>nyu</t>
        </is>
      </c>
      <c r="R1492" t="inlineStr">
        <is>
          <t xml:space="preserve">LC </t>
        </is>
      </c>
      <c r="S1492" t="n">
        <v>18</v>
      </c>
      <c r="T1492" t="n">
        <v>18</v>
      </c>
      <c r="U1492" t="inlineStr">
        <is>
          <t>2009-02-17</t>
        </is>
      </c>
      <c r="V1492" t="inlineStr">
        <is>
          <t>2009-02-17</t>
        </is>
      </c>
      <c r="W1492" t="inlineStr">
        <is>
          <t>1990-07-17</t>
        </is>
      </c>
      <c r="X1492" t="inlineStr">
        <is>
          <t>1990-07-17</t>
        </is>
      </c>
      <c r="Y1492" t="n">
        <v>858</v>
      </c>
      <c r="Z1492" t="n">
        <v>804</v>
      </c>
      <c r="AA1492" t="n">
        <v>811</v>
      </c>
      <c r="AB1492" t="n">
        <v>7</v>
      </c>
      <c r="AC1492" t="n">
        <v>7</v>
      </c>
      <c r="AD1492" t="n">
        <v>25</v>
      </c>
      <c r="AE1492" t="n">
        <v>25</v>
      </c>
      <c r="AF1492" t="n">
        <v>8</v>
      </c>
      <c r="AG1492" t="n">
        <v>8</v>
      </c>
      <c r="AH1492" t="n">
        <v>6</v>
      </c>
      <c r="AI1492" t="n">
        <v>6</v>
      </c>
      <c r="AJ1492" t="n">
        <v>13</v>
      </c>
      <c r="AK1492" t="n">
        <v>13</v>
      </c>
      <c r="AL1492" t="n">
        <v>5</v>
      </c>
      <c r="AM1492" t="n">
        <v>5</v>
      </c>
      <c r="AN1492" t="n">
        <v>0</v>
      </c>
      <c r="AO1492" t="n">
        <v>0</v>
      </c>
      <c r="AP1492" t="inlineStr">
        <is>
          <t>No</t>
        </is>
      </c>
      <c r="AQ1492" t="inlineStr">
        <is>
          <t>No</t>
        </is>
      </c>
      <c r="AS1492">
        <f>HYPERLINK("https://creighton-primo.hosted.exlibrisgroup.com/primo-explore/search?tab=default_tab&amp;search_scope=EVERYTHING&amp;vid=01CRU&amp;lang=en_US&amp;offset=0&amp;query=any,contains,991000973769702656","Catalog Record")</f>
        <v/>
      </c>
      <c r="AT1492">
        <f>HYPERLINK("http://www.worldcat.org/oclc/14970250","WorldCat Record")</f>
        <v/>
      </c>
      <c r="AU1492" t="inlineStr">
        <is>
          <t>502467408:eng</t>
        </is>
      </c>
      <c r="AV1492" t="inlineStr">
        <is>
          <t>14970250</t>
        </is>
      </c>
      <c r="AW1492" t="inlineStr">
        <is>
          <t>991000973769702656</t>
        </is>
      </c>
      <c r="AX1492" t="inlineStr">
        <is>
          <t>991000973769702656</t>
        </is>
      </c>
      <c r="AY1492" t="inlineStr">
        <is>
          <t>2267467020002656</t>
        </is>
      </c>
      <c r="AZ1492" t="inlineStr">
        <is>
          <t>BOOK</t>
        </is>
      </c>
      <c r="BB1492" t="inlineStr">
        <is>
          <t>9780842822275</t>
        </is>
      </c>
      <c r="BC1492" t="inlineStr">
        <is>
          <t>32285000238070</t>
        </is>
      </c>
      <c r="BD1492" t="inlineStr">
        <is>
          <t>893715057</t>
        </is>
      </c>
    </row>
    <row r="1493">
      <c r="A1493" t="inlineStr">
        <is>
          <t>No</t>
        </is>
      </c>
      <c r="B1493" t="inlineStr">
        <is>
          <t>LC151 .K32 1991</t>
        </is>
      </c>
      <c r="C1493" t="inlineStr">
        <is>
          <t>0                      LC 0151000K  32          1991</t>
        </is>
      </c>
      <c r="D1493" t="inlineStr">
        <is>
          <t>Literacy in the United States : readers and reading since 1880 / Carl F. Kaestle ; Helen Damon-Moore ... [et al.].</t>
        </is>
      </c>
      <c r="F1493" t="inlineStr">
        <is>
          <t>No</t>
        </is>
      </c>
      <c r="G1493" t="inlineStr">
        <is>
          <t>1</t>
        </is>
      </c>
      <c r="H1493" t="inlineStr">
        <is>
          <t>No</t>
        </is>
      </c>
      <c r="I1493" t="inlineStr">
        <is>
          <t>No</t>
        </is>
      </c>
      <c r="J1493" t="inlineStr">
        <is>
          <t>0</t>
        </is>
      </c>
      <c r="K1493" t="inlineStr">
        <is>
          <t>Kaestle, Carl F.</t>
        </is>
      </c>
      <c r="L1493" t="inlineStr">
        <is>
          <t>New Haven : Yale University Press, c1991.</t>
        </is>
      </c>
      <c r="M1493" t="inlineStr">
        <is>
          <t>1991</t>
        </is>
      </c>
      <c r="O1493" t="inlineStr">
        <is>
          <t>eng</t>
        </is>
      </c>
      <c r="P1493" t="inlineStr">
        <is>
          <t>ctu</t>
        </is>
      </c>
      <c r="R1493" t="inlineStr">
        <is>
          <t xml:space="preserve">LC </t>
        </is>
      </c>
      <c r="S1493" t="n">
        <v>4</v>
      </c>
      <c r="T1493" t="n">
        <v>4</v>
      </c>
      <c r="U1493" t="inlineStr">
        <is>
          <t>2008-09-21</t>
        </is>
      </c>
      <c r="V1493" t="inlineStr">
        <is>
          <t>2008-09-21</t>
        </is>
      </c>
      <c r="W1493" t="inlineStr">
        <is>
          <t>1997-05-06</t>
        </is>
      </c>
      <c r="X1493" t="inlineStr">
        <is>
          <t>1997-05-06</t>
        </is>
      </c>
      <c r="Y1493" t="n">
        <v>1039</v>
      </c>
      <c r="Z1493" t="n">
        <v>931</v>
      </c>
      <c r="AA1493" t="n">
        <v>1055</v>
      </c>
      <c r="AB1493" t="n">
        <v>6</v>
      </c>
      <c r="AC1493" t="n">
        <v>6</v>
      </c>
      <c r="AD1493" t="n">
        <v>36</v>
      </c>
      <c r="AE1493" t="n">
        <v>41</v>
      </c>
      <c r="AF1493" t="n">
        <v>15</v>
      </c>
      <c r="AG1493" t="n">
        <v>18</v>
      </c>
      <c r="AH1493" t="n">
        <v>6</v>
      </c>
      <c r="AI1493" t="n">
        <v>9</v>
      </c>
      <c r="AJ1493" t="n">
        <v>19</v>
      </c>
      <c r="AK1493" t="n">
        <v>20</v>
      </c>
      <c r="AL1493" t="n">
        <v>5</v>
      </c>
      <c r="AM1493" t="n">
        <v>5</v>
      </c>
      <c r="AN1493" t="n">
        <v>0</v>
      </c>
      <c r="AO1493" t="n">
        <v>0</v>
      </c>
      <c r="AP1493" t="inlineStr">
        <is>
          <t>No</t>
        </is>
      </c>
      <c r="AQ1493" t="inlineStr">
        <is>
          <t>No</t>
        </is>
      </c>
      <c r="AS1493">
        <f>HYPERLINK("https://creighton-primo.hosted.exlibrisgroup.com/primo-explore/search?tab=default_tab&amp;search_scope=EVERYTHING&amp;vid=01CRU&amp;lang=en_US&amp;offset=0&amp;query=any,contains,991001773129702656","Catalog Record")</f>
        <v/>
      </c>
      <c r="AT1493">
        <f>HYPERLINK("http://www.worldcat.org/oclc/22387202","WorldCat Record")</f>
        <v/>
      </c>
      <c r="AU1493" t="inlineStr">
        <is>
          <t>291527571:eng</t>
        </is>
      </c>
      <c r="AV1493" t="inlineStr">
        <is>
          <t>22387202</t>
        </is>
      </c>
      <c r="AW1493" t="inlineStr">
        <is>
          <t>991001773129702656</t>
        </is>
      </c>
      <c r="AX1493" t="inlineStr">
        <is>
          <t>991001773129702656</t>
        </is>
      </c>
      <c r="AY1493" t="inlineStr">
        <is>
          <t>2262548820002656</t>
        </is>
      </c>
      <c r="AZ1493" t="inlineStr">
        <is>
          <t>BOOK</t>
        </is>
      </c>
      <c r="BB1493" t="inlineStr">
        <is>
          <t>9780300049466</t>
        </is>
      </c>
      <c r="BC1493" t="inlineStr">
        <is>
          <t>32285002544517</t>
        </is>
      </c>
      <c r="BD1493" t="inlineStr">
        <is>
          <t>893328363</t>
        </is>
      </c>
    </row>
    <row r="1494">
      <c r="A1494" t="inlineStr">
        <is>
          <t>No</t>
        </is>
      </c>
      <c r="B1494" t="inlineStr">
        <is>
          <t>LC151 .L482 1999</t>
        </is>
      </c>
      <c r="C1494" t="inlineStr">
        <is>
          <t>0                      LC 0151000L  482         1999</t>
        </is>
      </c>
      <c r="D1494" t="inlineStr">
        <is>
          <t>The literacy connection / edited by Ronald A. Sudol, Alice S. Horning.</t>
        </is>
      </c>
      <c r="F1494" t="inlineStr">
        <is>
          <t>No</t>
        </is>
      </c>
      <c r="G1494" t="inlineStr">
        <is>
          <t>1</t>
        </is>
      </c>
      <c r="H1494" t="inlineStr">
        <is>
          <t>No</t>
        </is>
      </c>
      <c r="I1494" t="inlineStr">
        <is>
          <t>No</t>
        </is>
      </c>
      <c r="J1494" t="inlineStr">
        <is>
          <t>0</t>
        </is>
      </c>
      <c r="L1494" t="inlineStr">
        <is>
          <t>Cresskill, N.J. : Hampton Press, c1999.</t>
        </is>
      </c>
      <c r="M1494" t="inlineStr">
        <is>
          <t>1999</t>
        </is>
      </c>
      <c r="O1494" t="inlineStr">
        <is>
          <t>eng</t>
        </is>
      </c>
      <c r="P1494" t="inlineStr">
        <is>
          <t>nju</t>
        </is>
      </c>
      <c r="R1494" t="inlineStr">
        <is>
          <t xml:space="preserve">LC </t>
        </is>
      </c>
      <c r="S1494" t="n">
        <v>1</v>
      </c>
      <c r="T1494" t="n">
        <v>1</v>
      </c>
      <c r="U1494" t="inlineStr">
        <is>
          <t>2007-06-18</t>
        </is>
      </c>
      <c r="V1494" t="inlineStr">
        <is>
          <t>2007-06-18</t>
        </is>
      </c>
      <c r="W1494" t="inlineStr">
        <is>
          <t>2007-06-18</t>
        </is>
      </c>
      <c r="X1494" t="inlineStr">
        <is>
          <t>2007-06-18</t>
        </is>
      </c>
      <c r="Y1494" t="n">
        <v>167</v>
      </c>
      <c r="Z1494" t="n">
        <v>148</v>
      </c>
      <c r="AA1494" t="n">
        <v>155</v>
      </c>
      <c r="AB1494" t="n">
        <v>2</v>
      </c>
      <c r="AC1494" t="n">
        <v>2</v>
      </c>
      <c r="AD1494" t="n">
        <v>8</v>
      </c>
      <c r="AE1494" t="n">
        <v>8</v>
      </c>
      <c r="AF1494" t="n">
        <v>0</v>
      </c>
      <c r="AG1494" t="n">
        <v>0</v>
      </c>
      <c r="AH1494" t="n">
        <v>2</v>
      </c>
      <c r="AI1494" t="n">
        <v>2</v>
      </c>
      <c r="AJ1494" t="n">
        <v>6</v>
      </c>
      <c r="AK1494" t="n">
        <v>6</v>
      </c>
      <c r="AL1494" t="n">
        <v>1</v>
      </c>
      <c r="AM1494" t="n">
        <v>1</v>
      </c>
      <c r="AN1494" t="n">
        <v>0</v>
      </c>
      <c r="AO1494" t="n">
        <v>0</v>
      </c>
      <c r="AP1494" t="inlineStr">
        <is>
          <t>No</t>
        </is>
      </c>
      <c r="AQ1494" t="inlineStr">
        <is>
          <t>Yes</t>
        </is>
      </c>
      <c r="AR1494">
        <f>HYPERLINK("http://catalog.hathitrust.org/Record/004081640","HathiTrust Record")</f>
        <v/>
      </c>
      <c r="AS1494">
        <f>HYPERLINK("https://creighton-primo.hosted.exlibrisgroup.com/primo-explore/search?tab=default_tab&amp;search_scope=EVERYTHING&amp;vid=01CRU&amp;lang=en_US&amp;offset=0&amp;query=any,contains,991005095189702656","Catalog Record")</f>
        <v/>
      </c>
      <c r="AT1494">
        <f>HYPERLINK("http://www.worldcat.org/oclc/40545470","WorldCat Record")</f>
        <v/>
      </c>
      <c r="AU1494" t="inlineStr">
        <is>
          <t>476441928:eng</t>
        </is>
      </c>
      <c r="AV1494" t="inlineStr">
        <is>
          <t>40545470</t>
        </is>
      </c>
      <c r="AW1494" t="inlineStr">
        <is>
          <t>991005095189702656</t>
        </is>
      </c>
      <c r="AX1494" t="inlineStr">
        <is>
          <t>991005095189702656</t>
        </is>
      </c>
      <c r="AY1494" t="inlineStr">
        <is>
          <t>2265629520002656</t>
        </is>
      </c>
      <c r="AZ1494" t="inlineStr">
        <is>
          <t>BOOK</t>
        </is>
      </c>
      <c r="BB1494" t="inlineStr">
        <is>
          <t>9781572732162</t>
        </is>
      </c>
      <c r="BC1494" t="inlineStr">
        <is>
          <t>32285005317739</t>
        </is>
      </c>
      <c r="BD1494" t="inlineStr">
        <is>
          <t>893424537</t>
        </is>
      </c>
    </row>
    <row r="1495">
      <c r="A1495" t="inlineStr">
        <is>
          <t>No</t>
        </is>
      </c>
      <c r="B1495" t="inlineStr">
        <is>
          <t>LC151 .M25 2001</t>
        </is>
      </c>
      <c r="C1495" t="inlineStr">
        <is>
          <t>0                      LC 0151000M  25          2001</t>
        </is>
      </c>
      <c r="D1495" t="inlineStr">
        <is>
          <t>Listening up : reinventing ourselves as teachers and students / Rachel Martin.</t>
        </is>
      </c>
      <c r="F1495" t="inlineStr">
        <is>
          <t>No</t>
        </is>
      </c>
      <c r="G1495" t="inlineStr">
        <is>
          <t>1</t>
        </is>
      </c>
      <c r="H1495" t="inlineStr">
        <is>
          <t>No</t>
        </is>
      </c>
      <c r="I1495" t="inlineStr">
        <is>
          <t>No</t>
        </is>
      </c>
      <c r="J1495" t="inlineStr">
        <is>
          <t>0</t>
        </is>
      </c>
      <c r="K1495" t="inlineStr">
        <is>
          <t>Martin, Rachel.</t>
        </is>
      </c>
      <c r="L1495" t="inlineStr">
        <is>
          <t>Portsmouth, NH : Boynton/Cook Publishers-Heinemann, c2001.</t>
        </is>
      </c>
      <c r="M1495" t="inlineStr">
        <is>
          <t>2001</t>
        </is>
      </c>
      <c r="O1495" t="inlineStr">
        <is>
          <t>eng</t>
        </is>
      </c>
      <c r="P1495" t="inlineStr">
        <is>
          <t>nhu</t>
        </is>
      </c>
      <c r="R1495" t="inlineStr">
        <is>
          <t xml:space="preserve">LC </t>
        </is>
      </c>
      <c r="S1495" t="n">
        <v>1</v>
      </c>
      <c r="T1495" t="n">
        <v>1</v>
      </c>
      <c r="U1495" t="inlineStr">
        <is>
          <t>2001-07-10</t>
        </is>
      </c>
      <c r="V1495" t="inlineStr">
        <is>
          <t>2001-07-10</t>
        </is>
      </c>
      <c r="W1495" t="inlineStr">
        <is>
          <t>2001-07-09</t>
        </is>
      </c>
      <c r="X1495" t="inlineStr">
        <is>
          <t>2001-07-09</t>
        </is>
      </c>
      <c r="Y1495" t="n">
        <v>172</v>
      </c>
      <c r="Z1495" t="n">
        <v>155</v>
      </c>
      <c r="AA1495" t="n">
        <v>156</v>
      </c>
      <c r="AB1495" t="n">
        <v>2</v>
      </c>
      <c r="AC1495" t="n">
        <v>2</v>
      </c>
      <c r="AD1495" t="n">
        <v>8</v>
      </c>
      <c r="AE1495" t="n">
        <v>8</v>
      </c>
      <c r="AF1495" t="n">
        <v>2</v>
      </c>
      <c r="AG1495" t="n">
        <v>2</v>
      </c>
      <c r="AH1495" t="n">
        <v>2</v>
      </c>
      <c r="AI1495" t="n">
        <v>2</v>
      </c>
      <c r="AJ1495" t="n">
        <v>6</v>
      </c>
      <c r="AK1495" t="n">
        <v>6</v>
      </c>
      <c r="AL1495" t="n">
        <v>1</v>
      </c>
      <c r="AM1495" t="n">
        <v>1</v>
      </c>
      <c r="AN1495" t="n">
        <v>0</v>
      </c>
      <c r="AO1495" t="n">
        <v>0</v>
      </c>
      <c r="AP1495" t="inlineStr">
        <is>
          <t>No</t>
        </is>
      </c>
      <c r="AQ1495" t="inlineStr">
        <is>
          <t>No</t>
        </is>
      </c>
      <c r="AS1495">
        <f>HYPERLINK("https://creighton-primo.hosted.exlibrisgroup.com/primo-explore/search?tab=default_tab&amp;search_scope=EVERYTHING&amp;vid=01CRU&amp;lang=en_US&amp;offset=0&amp;query=any,contains,991003563129702656","Catalog Record")</f>
        <v/>
      </c>
      <c r="AT1495">
        <f>HYPERLINK("http://www.worldcat.org/oclc/44727834","WorldCat Record")</f>
        <v/>
      </c>
      <c r="AU1495" t="inlineStr">
        <is>
          <t>34413860:eng</t>
        </is>
      </c>
      <c r="AV1495" t="inlineStr">
        <is>
          <t>44727834</t>
        </is>
      </c>
      <c r="AW1495" t="inlineStr">
        <is>
          <t>991003563129702656</t>
        </is>
      </c>
      <c r="AX1495" t="inlineStr">
        <is>
          <t>991003563129702656</t>
        </is>
      </c>
      <c r="AY1495" t="inlineStr">
        <is>
          <t>2256893250002656</t>
        </is>
      </c>
      <c r="AZ1495" t="inlineStr">
        <is>
          <t>BOOK</t>
        </is>
      </c>
      <c r="BB1495" t="inlineStr">
        <is>
          <t>9780867093872</t>
        </is>
      </c>
      <c r="BC1495" t="inlineStr">
        <is>
          <t>32285004330543</t>
        </is>
      </c>
      <c r="BD1495" t="inlineStr">
        <is>
          <t>893318103</t>
        </is>
      </c>
    </row>
    <row r="1496">
      <c r="A1496" t="inlineStr">
        <is>
          <t>No</t>
        </is>
      </c>
      <c r="B1496" t="inlineStr">
        <is>
          <t>LC156.G7 L39 1986</t>
        </is>
      </c>
      <c r="C1496" t="inlineStr">
        <is>
          <t>0                      LC 0156000G  7                  L  39          1986</t>
        </is>
      </c>
      <c r="D1496" t="inlineStr">
        <is>
          <t>The social context of literacy / [Kenneth Levine].</t>
        </is>
      </c>
      <c r="F1496" t="inlineStr">
        <is>
          <t>No</t>
        </is>
      </c>
      <c r="G1496" t="inlineStr">
        <is>
          <t>1</t>
        </is>
      </c>
      <c r="H1496" t="inlineStr">
        <is>
          <t>No</t>
        </is>
      </c>
      <c r="I1496" t="inlineStr">
        <is>
          <t>No</t>
        </is>
      </c>
      <c r="J1496" t="inlineStr">
        <is>
          <t>0</t>
        </is>
      </c>
      <c r="K1496" t="inlineStr">
        <is>
          <t>Levine, Kenneth, 1945-</t>
        </is>
      </c>
      <c r="L1496" t="inlineStr">
        <is>
          <t>London ; Boston : Routledge &amp; Kegan Paul, 1986.</t>
        </is>
      </c>
      <c r="M1496" t="inlineStr">
        <is>
          <t>1986</t>
        </is>
      </c>
      <c r="O1496" t="inlineStr">
        <is>
          <t>eng</t>
        </is>
      </c>
      <c r="P1496" t="inlineStr">
        <is>
          <t>enk</t>
        </is>
      </c>
      <c r="Q1496" t="inlineStr">
        <is>
          <t>Language, education, and society</t>
        </is>
      </c>
      <c r="R1496" t="inlineStr">
        <is>
          <t xml:space="preserve">LC </t>
        </is>
      </c>
      <c r="S1496" t="n">
        <v>2</v>
      </c>
      <c r="T1496" t="n">
        <v>2</v>
      </c>
      <c r="U1496" t="inlineStr">
        <is>
          <t>2008-09-21</t>
        </is>
      </c>
      <c r="V1496" t="inlineStr">
        <is>
          <t>2008-09-21</t>
        </is>
      </c>
      <c r="W1496" t="inlineStr">
        <is>
          <t>1990-07-17</t>
        </is>
      </c>
      <c r="X1496" t="inlineStr">
        <is>
          <t>1990-07-17</t>
        </is>
      </c>
      <c r="Y1496" t="n">
        <v>442</v>
      </c>
      <c r="Z1496" t="n">
        <v>264</v>
      </c>
      <c r="AA1496" t="n">
        <v>280</v>
      </c>
      <c r="AB1496" t="n">
        <v>2</v>
      </c>
      <c r="AC1496" t="n">
        <v>2</v>
      </c>
      <c r="AD1496" t="n">
        <v>12</v>
      </c>
      <c r="AE1496" t="n">
        <v>12</v>
      </c>
      <c r="AF1496" t="n">
        <v>2</v>
      </c>
      <c r="AG1496" t="n">
        <v>2</v>
      </c>
      <c r="AH1496" t="n">
        <v>2</v>
      </c>
      <c r="AI1496" t="n">
        <v>2</v>
      </c>
      <c r="AJ1496" t="n">
        <v>8</v>
      </c>
      <c r="AK1496" t="n">
        <v>8</v>
      </c>
      <c r="AL1496" t="n">
        <v>1</v>
      </c>
      <c r="AM1496" t="n">
        <v>1</v>
      </c>
      <c r="AN1496" t="n">
        <v>0</v>
      </c>
      <c r="AO1496" t="n">
        <v>0</v>
      </c>
      <c r="AP1496" t="inlineStr">
        <is>
          <t>No</t>
        </is>
      </c>
      <c r="AQ1496" t="inlineStr">
        <is>
          <t>Yes</t>
        </is>
      </c>
      <c r="AR1496">
        <f>HYPERLINK("http://catalog.hathitrust.org/Record/000386175","HathiTrust Record")</f>
        <v/>
      </c>
      <c r="AS1496">
        <f>HYPERLINK("https://creighton-primo.hosted.exlibrisgroup.com/primo-explore/search?tab=default_tab&amp;search_scope=EVERYTHING&amp;vid=01CRU&amp;lang=en_US&amp;offset=0&amp;query=any,contains,991000642499702656","Catalog Record")</f>
        <v/>
      </c>
      <c r="AT1496">
        <f>HYPERLINK("http://www.worldcat.org/oclc/12107205","WorldCat Record")</f>
        <v/>
      </c>
      <c r="AU1496" t="inlineStr">
        <is>
          <t>151314516:eng</t>
        </is>
      </c>
      <c r="AV1496" t="inlineStr">
        <is>
          <t>12107205</t>
        </is>
      </c>
      <c r="AW1496" t="inlineStr">
        <is>
          <t>991000642499702656</t>
        </is>
      </c>
      <c r="AX1496" t="inlineStr">
        <is>
          <t>991000642499702656</t>
        </is>
      </c>
      <c r="AY1496" t="inlineStr">
        <is>
          <t>2268188060002656</t>
        </is>
      </c>
      <c r="AZ1496" t="inlineStr">
        <is>
          <t>BOOK</t>
        </is>
      </c>
      <c r="BB1496" t="inlineStr">
        <is>
          <t>9780710097453</t>
        </is>
      </c>
      <c r="BC1496" t="inlineStr">
        <is>
          <t>32285000238112</t>
        </is>
      </c>
      <c r="BD1496" t="inlineStr">
        <is>
          <t>893689898</t>
        </is>
      </c>
    </row>
    <row r="1497">
      <c r="A1497" t="inlineStr">
        <is>
          <t>No</t>
        </is>
      </c>
      <c r="B1497" t="inlineStr">
        <is>
          <t>LC1601 .C64 1984</t>
        </is>
      </c>
      <c r="C1497" t="inlineStr">
        <is>
          <t>0                      LC 1601000C  64          1984</t>
        </is>
      </c>
      <c r="D1497" t="inlineStr">
        <is>
          <t>Co-education reconsidered / edited by Rosemary Deem.</t>
        </is>
      </c>
      <c r="F1497" t="inlineStr">
        <is>
          <t>No</t>
        </is>
      </c>
      <c r="G1497" t="inlineStr">
        <is>
          <t>1</t>
        </is>
      </c>
      <c r="H1497" t="inlineStr">
        <is>
          <t>No</t>
        </is>
      </c>
      <c r="I1497" t="inlineStr">
        <is>
          <t>No</t>
        </is>
      </c>
      <c r="J1497" t="inlineStr">
        <is>
          <t>0</t>
        </is>
      </c>
      <c r="L1497" t="inlineStr">
        <is>
          <t>Milton Keynes, Eng. : Open University Press, 1984.</t>
        </is>
      </c>
      <c r="M1497" t="inlineStr">
        <is>
          <t>1984</t>
        </is>
      </c>
      <c r="O1497" t="inlineStr">
        <is>
          <t>eng</t>
        </is>
      </c>
      <c r="P1497" t="inlineStr">
        <is>
          <t>enk</t>
        </is>
      </c>
      <c r="Q1497" t="inlineStr">
        <is>
          <t>Gender and education series</t>
        </is>
      </c>
      <c r="R1497" t="inlineStr">
        <is>
          <t xml:space="preserve">LC </t>
        </is>
      </c>
      <c r="S1497" t="n">
        <v>15</v>
      </c>
      <c r="T1497" t="n">
        <v>15</v>
      </c>
      <c r="U1497" t="inlineStr">
        <is>
          <t>2009-03-22</t>
        </is>
      </c>
      <c r="V1497" t="inlineStr">
        <is>
          <t>2009-03-22</t>
        </is>
      </c>
      <c r="W1497" t="inlineStr">
        <is>
          <t>1992-08-27</t>
        </is>
      </c>
      <c r="X1497" t="inlineStr">
        <is>
          <t>1992-08-27</t>
        </is>
      </c>
      <c r="Y1497" t="n">
        <v>217</v>
      </c>
      <c r="Z1497" t="n">
        <v>75</v>
      </c>
      <c r="AA1497" t="n">
        <v>76</v>
      </c>
      <c r="AB1497" t="n">
        <v>1</v>
      </c>
      <c r="AC1497" t="n">
        <v>1</v>
      </c>
      <c r="AD1497" t="n">
        <v>1</v>
      </c>
      <c r="AE1497" t="n">
        <v>1</v>
      </c>
      <c r="AF1497" t="n">
        <v>0</v>
      </c>
      <c r="AG1497" t="n">
        <v>0</v>
      </c>
      <c r="AH1497" t="n">
        <v>0</v>
      </c>
      <c r="AI1497" t="n">
        <v>0</v>
      </c>
      <c r="AJ1497" t="n">
        <v>1</v>
      </c>
      <c r="AK1497" t="n">
        <v>1</v>
      </c>
      <c r="AL1497" t="n">
        <v>0</v>
      </c>
      <c r="AM1497" t="n">
        <v>0</v>
      </c>
      <c r="AN1497" t="n">
        <v>0</v>
      </c>
      <c r="AO1497" t="n">
        <v>0</v>
      </c>
      <c r="AP1497" t="inlineStr">
        <is>
          <t>No</t>
        </is>
      </c>
      <c r="AQ1497" t="inlineStr">
        <is>
          <t>Yes</t>
        </is>
      </c>
      <c r="AR1497">
        <f>HYPERLINK("http://catalog.hathitrust.org/Record/000292174","HathiTrust Record")</f>
        <v/>
      </c>
      <c r="AS1497">
        <f>HYPERLINK("https://creighton-primo.hosted.exlibrisgroup.com/primo-explore/search?tab=default_tab&amp;search_scope=EVERYTHING&amp;vid=01CRU&amp;lang=en_US&amp;offset=0&amp;query=any,contains,991000561379702656","Catalog Record")</f>
        <v/>
      </c>
      <c r="AT1497">
        <f>HYPERLINK("http://www.worldcat.org/oclc/11591346","WorldCat Record")</f>
        <v/>
      </c>
      <c r="AU1497" t="inlineStr">
        <is>
          <t>4664688:eng</t>
        </is>
      </c>
      <c r="AV1497" t="inlineStr">
        <is>
          <t>11591346</t>
        </is>
      </c>
      <c r="AW1497" t="inlineStr">
        <is>
          <t>991000561379702656</t>
        </is>
      </c>
      <c r="AX1497" t="inlineStr">
        <is>
          <t>991000561379702656</t>
        </is>
      </c>
      <c r="AY1497" t="inlineStr">
        <is>
          <t>2257224110002656</t>
        </is>
      </c>
      <c r="AZ1497" t="inlineStr">
        <is>
          <t>BOOK</t>
        </is>
      </c>
      <c r="BB1497" t="inlineStr">
        <is>
          <t>9780335104178</t>
        </is>
      </c>
      <c r="BC1497" t="inlineStr">
        <is>
          <t>32285001283109</t>
        </is>
      </c>
      <c r="BD1497" t="inlineStr">
        <is>
          <t>893425834</t>
        </is>
      </c>
    </row>
    <row r="1498">
      <c r="A1498" t="inlineStr">
        <is>
          <t>No</t>
        </is>
      </c>
      <c r="B1498" t="inlineStr">
        <is>
          <t>LC1601 .M32 1985</t>
        </is>
      </c>
      <c r="C1498" t="inlineStr">
        <is>
          <t>0                      LC 1601000M  32          1985</t>
        </is>
      </c>
      <c r="D1498" t="inlineStr">
        <is>
          <t>Schools for the boys? : co-education reassessed / Pat Mahony.</t>
        </is>
      </c>
      <c r="F1498" t="inlineStr">
        <is>
          <t>No</t>
        </is>
      </c>
      <c r="G1498" t="inlineStr">
        <is>
          <t>1</t>
        </is>
      </c>
      <c r="H1498" t="inlineStr">
        <is>
          <t>No</t>
        </is>
      </c>
      <c r="I1498" t="inlineStr">
        <is>
          <t>No</t>
        </is>
      </c>
      <c r="J1498" t="inlineStr">
        <is>
          <t>0</t>
        </is>
      </c>
      <c r="K1498" t="inlineStr">
        <is>
          <t>Mahony, Pat.</t>
        </is>
      </c>
      <c r="L1498" t="inlineStr">
        <is>
          <t>London : Hutchinson in association with the Explorations in Feminism Collective, 1985.</t>
        </is>
      </c>
      <c r="M1498" t="inlineStr">
        <is>
          <t>1985</t>
        </is>
      </c>
      <c r="O1498" t="inlineStr">
        <is>
          <t>eng</t>
        </is>
      </c>
      <c r="P1498" t="inlineStr">
        <is>
          <t>enk</t>
        </is>
      </c>
      <c r="Q1498" t="inlineStr">
        <is>
          <t>Explorations in feminism</t>
        </is>
      </c>
      <c r="R1498" t="inlineStr">
        <is>
          <t xml:space="preserve">LC </t>
        </is>
      </c>
      <c r="S1498" t="n">
        <v>8</v>
      </c>
      <c r="T1498" t="n">
        <v>8</v>
      </c>
      <c r="U1498" t="inlineStr">
        <is>
          <t>2008-06-23</t>
        </is>
      </c>
      <c r="V1498" t="inlineStr">
        <is>
          <t>2008-06-23</t>
        </is>
      </c>
      <c r="W1498" t="inlineStr">
        <is>
          <t>1992-08-27</t>
        </is>
      </c>
      <c r="X1498" t="inlineStr">
        <is>
          <t>1992-08-27</t>
        </is>
      </c>
      <c r="Y1498" t="n">
        <v>382</v>
      </c>
      <c r="Z1498" t="n">
        <v>246</v>
      </c>
      <c r="AA1498" t="n">
        <v>273</v>
      </c>
      <c r="AB1498" t="n">
        <v>2</v>
      </c>
      <c r="AC1498" t="n">
        <v>2</v>
      </c>
      <c r="AD1498" t="n">
        <v>10</v>
      </c>
      <c r="AE1498" t="n">
        <v>10</v>
      </c>
      <c r="AF1498" t="n">
        <v>4</v>
      </c>
      <c r="AG1498" t="n">
        <v>4</v>
      </c>
      <c r="AH1498" t="n">
        <v>5</v>
      </c>
      <c r="AI1498" t="n">
        <v>5</v>
      </c>
      <c r="AJ1498" t="n">
        <v>4</v>
      </c>
      <c r="AK1498" t="n">
        <v>4</v>
      </c>
      <c r="AL1498" t="n">
        <v>1</v>
      </c>
      <c r="AM1498" t="n">
        <v>1</v>
      </c>
      <c r="AN1498" t="n">
        <v>0</v>
      </c>
      <c r="AO1498" t="n">
        <v>0</v>
      </c>
      <c r="AP1498" t="inlineStr">
        <is>
          <t>No</t>
        </is>
      </c>
      <c r="AQ1498" t="inlineStr">
        <is>
          <t>Yes</t>
        </is>
      </c>
      <c r="AR1498">
        <f>HYPERLINK("http://catalog.hathitrust.org/Record/000572071","HathiTrust Record")</f>
        <v/>
      </c>
      <c r="AS1498">
        <f>HYPERLINK("https://creighton-primo.hosted.exlibrisgroup.com/primo-explore/search?tab=default_tab&amp;search_scope=EVERYTHING&amp;vid=01CRU&amp;lang=en_US&amp;offset=0&amp;query=any,contains,991000559409702656","Catalog Record")</f>
        <v/>
      </c>
      <c r="AT1498">
        <f>HYPERLINK("http://www.worldcat.org/oclc/11574721","WorldCat Record")</f>
        <v/>
      </c>
      <c r="AU1498" t="inlineStr">
        <is>
          <t>836663329:eng</t>
        </is>
      </c>
      <c r="AV1498" t="inlineStr">
        <is>
          <t>11574721</t>
        </is>
      </c>
      <c r="AW1498" t="inlineStr">
        <is>
          <t>991000559409702656</t>
        </is>
      </c>
      <c r="AX1498" t="inlineStr">
        <is>
          <t>991000559409702656</t>
        </is>
      </c>
      <c r="AY1498" t="inlineStr">
        <is>
          <t>2265116200002656</t>
        </is>
      </c>
      <c r="AZ1498" t="inlineStr">
        <is>
          <t>BOOK</t>
        </is>
      </c>
      <c r="BB1498" t="inlineStr">
        <is>
          <t>9780091608415</t>
        </is>
      </c>
      <c r="BC1498" t="inlineStr">
        <is>
          <t>32285001283117</t>
        </is>
      </c>
      <c r="BD1498" t="inlineStr">
        <is>
          <t>893339661</t>
        </is>
      </c>
    </row>
    <row r="1499">
      <c r="A1499" t="inlineStr">
        <is>
          <t>No</t>
        </is>
      </c>
      <c r="B1499" t="inlineStr">
        <is>
          <t>LC1621 .C6 1972</t>
        </is>
      </c>
      <c r="C1499" t="inlineStr">
        <is>
          <t>0                      LC 1621000C  6           1972</t>
        </is>
      </c>
      <c r="D1499" t="inlineStr">
        <is>
          <t>Sex in education ; or, A fair chance for the girls.</t>
        </is>
      </c>
      <c r="F1499" t="inlineStr">
        <is>
          <t>No</t>
        </is>
      </c>
      <c r="G1499" t="inlineStr">
        <is>
          <t>1</t>
        </is>
      </c>
      <c r="H1499" t="inlineStr">
        <is>
          <t>No</t>
        </is>
      </c>
      <c r="I1499" t="inlineStr">
        <is>
          <t>No</t>
        </is>
      </c>
      <c r="J1499" t="inlineStr">
        <is>
          <t>0</t>
        </is>
      </c>
      <c r="K1499" t="inlineStr">
        <is>
          <t>Clarke, Edward H. (Edward Hammond), 1820-1877.</t>
        </is>
      </c>
      <c r="L1499" t="inlineStr">
        <is>
          <t>New York : Arno Press, 1972, [c1873]</t>
        </is>
      </c>
      <c r="M1499" t="inlineStr">
        <is>
          <t>1972</t>
        </is>
      </c>
      <c r="O1499" t="inlineStr">
        <is>
          <t>eng</t>
        </is>
      </c>
      <c r="P1499" t="inlineStr">
        <is>
          <t>nyu</t>
        </is>
      </c>
      <c r="Q1499" t="inlineStr">
        <is>
          <t>Medicine &amp; society in America</t>
        </is>
      </c>
      <c r="R1499" t="inlineStr">
        <is>
          <t xml:space="preserve">LC </t>
        </is>
      </c>
      <c r="S1499" t="n">
        <v>1</v>
      </c>
      <c r="T1499" t="n">
        <v>1</v>
      </c>
      <c r="U1499" t="inlineStr">
        <is>
          <t>2005-03-29</t>
        </is>
      </c>
      <c r="V1499" t="inlineStr">
        <is>
          <t>2005-03-29</t>
        </is>
      </c>
      <c r="W1499" t="inlineStr">
        <is>
          <t>1994-04-08</t>
        </is>
      </c>
      <c r="X1499" t="inlineStr">
        <is>
          <t>1994-04-08</t>
        </is>
      </c>
      <c r="Y1499" t="n">
        <v>197</v>
      </c>
      <c r="Z1499" t="n">
        <v>180</v>
      </c>
      <c r="AA1499" t="n">
        <v>495</v>
      </c>
      <c r="AB1499" t="n">
        <v>1</v>
      </c>
      <c r="AC1499" t="n">
        <v>4</v>
      </c>
      <c r="AD1499" t="n">
        <v>9</v>
      </c>
      <c r="AE1499" t="n">
        <v>24</v>
      </c>
      <c r="AF1499" t="n">
        <v>2</v>
      </c>
      <c r="AG1499" t="n">
        <v>7</v>
      </c>
      <c r="AH1499" t="n">
        <v>3</v>
      </c>
      <c r="AI1499" t="n">
        <v>7</v>
      </c>
      <c r="AJ1499" t="n">
        <v>6</v>
      </c>
      <c r="AK1499" t="n">
        <v>12</v>
      </c>
      <c r="AL1499" t="n">
        <v>0</v>
      </c>
      <c r="AM1499" t="n">
        <v>3</v>
      </c>
      <c r="AN1499" t="n">
        <v>0</v>
      </c>
      <c r="AO1499" t="n">
        <v>1</v>
      </c>
      <c r="AP1499" t="inlineStr">
        <is>
          <t>Yes</t>
        </is>
      </c>
      <c r="AQ1499" t="inlineStr">
        <is>
          <t>No</t>
        </is>
      </c>
      <c r="AR1499">
        <f>HYPERLINK("http://catalog.hathitrust.org/Record/000828882","HathiTrust Record")</f>
        <v/>
      </c>
      <c r="AS1499">
        <f>HYPERLINK("https://creighton-primo.hosted.exlibrisgroup.com/primo-explore/search?tab=default_tab&amp;search_scope=EVERYTHING&amp;vid=01CRU&amp;lang=en_US&amp;offset=0&amp;query=any,contains,991002456429702656","Catalog Record")</f>
        <v/>
      </c>
      <c r="AT1499">
        <f>HYPERLINK("http://www.worldcat.org/oclc/354668","WorldCat Record")</f>
        <v/>
      </c>
      <c r="AU1499" t="inlineStr">
        <is>
          <t>4922095507:eng</t>
        </is>
      </c>
      <c r="AV1499" t="inlineStr">
        <is>
          <t>354668</t>
        </is>
      </c>
      <c r="AW1499" t="inlineStr">
        <is>
          <t>991002456429702656</t>
        </is>
      </c>
      <c r="AX1499" t="inlineStr">
        <is>
          <t>991002456429702656</t>
        </is>
      </c>
      <c r="AY1499" t="inlineStr">
        <is>
          <t>2266351070002656</t>
        </is>
      </c>
      <c r="AZ1499" t="inlineStr">
        <is>
          <t>BOOK</t>
        </is>
      </c>
      <c r="BB1499" t="inlineStr">
        <is>
          <t>9780405039430</t>
        </is>
      </c>
      <c r="BC1499" t="inlineStr">
        <is>
          <t>32285001874600</t>
        </is>
      </c>
      <c r="BD1499" t="inlineStr">
        <is>
          <t>893421387</t>
        </is>
      </c>
    </row>
    <row r="1500">
      <c r="A1500" t="inlineStr">
        <is>
          <t>No</t>
        </is>
      </c>
      <c r="B1500" t="inlineStr">
        <is>
          <t>LC173 .E25 2005</t>
        </is>
      </c>
      <c r="C1500" t="inlineStr">
        <is>
          <t>0                      LC 0173000E  25          2005</t>
        </is>
      </c>
      <c r="D1500" t="inlineStr">
        <is>
          <t>Peering around the bend : the leadership challenges of privatization, accountability, and market-based state policy / Peter D. Eckel, Lara Couturier, and Dao T. Luu.</t>
        </is>
      </c>
      <c r="F1500" t="inlineStr">
        <is>
          <t>No</t>
        </is>
      </c>
      <c r="G1500" t="inlineStr">
        <is>
          <t>1</t>
        </is>
      </c>
      <c r="H1500" t="inlineStr">
        <is>
          <t>No</t>
        </is>
      </c>
      <c r="I1500" t="inlineStr">
        <is>
          <t>No</t>
        </is>
      </c>
      <c r="J1500" t="inlineStr">
        <is>
          <t>0</t>
        </is>
      </c>
      <c r="K1500" t="inlineStr">
        <is>
          <t>Eckel, Peter D.</t>
        </is>
      </c>
      <c r="L1500" t="inlineStr">
        <is>
          <t>Washington, DC : American Council on Education ; The Futures Project, 2005.</t>
        </is>
      </c>
      <c r="M1500" t="inlineStr">
        <is>
          <t>2005</t>
        </is>
      </c>
      <c r="O1500" t="inlineStr">
        <is>
          <t>eng</t>
        </is>
      </c>
      <c r="P1500" t="inlineStr">
        <is>
          <t>dcu</t>
        </is>
      </c>
      <c r="R1500" t="inlineStr">
        <is>
          <t xml:space="preserve">LC </t>
        </is>
      </c>
      <c r="S1500" t="n">
        <v>1</v>
      </c>
      <c r="T1500" t="n">
        <v>1</v>
      </c>
      <c r="U1500" t="inlineStr">
        <is>
          <t>2005-11-17</t>
        </is>
      </c>
      <c r="V1500" t="inlineStr">
        <is>
          <t>2005-11-17</t>
        </is>
      </c>
      <c r="W1500" t="inlineStr">
        <is>
          <t>2005-11-17</t>
        </is>
      </c>
      <c r="X1500" t="inlineStr">
        <is>
          <t>2005-11-17</t>
        </is>
      </c>
      <c r="Y1500" t="n">
        <v>36</v>
      </c>
      <c r="Z1500" t="n">
        <v>34</v>
      </c>
      <c r="AA1500" t="n">
        <v>34</v>
      </c>
      <c r="AB1500" t="n">
        <v>1</v>
      </c>
      <c r="AC1500" t="n">
        <v>1</v>
      </c>
      <c r="AD1500" t="n">
        <v>1</v>
      </c>
      <c r="AE1500" t="n">
        <v>1</v>
      </c>
      <c r="AF1500" t="n">
        <v>0</v>
      </c>
      <c r="AG1500" t="n">
        <v>0</v>
      </c>
      <c r="AH1500" t="n">
        <v>0</v>
      </c>
      <c r="AI1500" t="n">
        <v>0</v>
      </c>
      <c r="AJ1500" t="n">
        <v>1</v>
      </c>
      <c r="AK1500" t="n">
        <v>1</v>
      </c>
      <c r="AL1500" t="n">
        <v>0</v>
      </c>
      <c r="AM1500" t="n">
        <v>0</v>
      </c>
      <c r="AN1500" t="n">
        <v>0</v>
      </c>
      <c r="AO1500" t="n">
        <v>0</v>
      </c>
      <c r="AP1500" t="inlineStr">
        <is>
          <t>No</t>
        </is>
      </c>
      <c r="AQ1500" t="inlineStr">
        <is>
          <t>No</t>
        </is>
      </c>
      <c r="AS1500">
        <f>HYPERLINK("https://creighton-primo.hosted.exlibrisgroup.com/primo-explore/search?tab=default_tab&amp;search_scope=EVERYTHING&amp;vid=01CRU&amp;lang=en_US&amp;offset=0&amp;query=any,contains,991004696189702656","Catalog Record")</f>
        <v/>
      </c>
      <c r="AT1500">
        <f>HYPERLINK("http://www.worldcat.org/oclc/62247762","WorldCat Record")</f>
        <v/>
      </c>
      <c r="AU1500" t="inlineStr">
        <is>
          <t>46637667:eng</t>
        </is>
      </c>
      <c r="AV1500" t="inlineStr">
        <is>
          <t>62247762</t>
        </is>
      </c>
      <c r="AW1500" t="inlineStr">
        <is>
          <t>991004696189702656</t>
        </is>
      </c>
      <c r="AX1500" t="inlineStr">
        <is>
          <t>991004696189702656</t>
        </is>
      </c>
      <c r="AY1500" t="inlineStr">
        <is>
          <t>2261813110002656</t>
        </is>
      </c>
      <c r="AZ1500" t="inlineStr">
        <is>
          <t>BOOK</t>
        </is>
      </c>
      <c r="BC1500" t="inlineStr">
        <is>
          <t>32285005148001</t>
        </is>
      </c>
      <c r="BD1500" t="inlineStr">
        <is>
          <t>893901640</t>
        </is>
      </c>
    </row>
    <row r="1501">
      <c r="A1501" t="inlineStr">
        <is>
          <t>No</t>
        </is>
      </c>
      <c r="B1501" t="inlineStr">
        <is>
          <t>LC173 .S65 2001</t>
        </is>
      </c>
      <c r="C1501" t="inlineStr">
        <is>
          <t>0                      LC 0173000S  65          2001</t>
        </is>
      </c>
      <c r="D1501" t="inlineStr">
        <is>
          <t>The states and public higher education policy : affordability, access, and accountability / edited by Donald E. Heller.</t>
        </is>
      </c>
      <c r="F1501" t="inlineStr">
        <is>
          <t>No</t>
        </is>
      </c>
      <c r="G1501" t="inlineStr">
        <is>
          <t>1</t>
        </is>
      </c>
      <c r="H1501" t="inlineStr">
        <is>
          <t>No</t>
        </is>
      </c>
      <c r="I1501" t="inlineStr">
        <is>
          <t>No</t>
        </is>
      </c>
      <c r="J1501" t="inlineStr">
        <is>
          <t>0</t>
        </is>
      </c>
      <c r="L1501" t="inlineStr">
        <is>
          <t>Baltimore, Md. : Johns Hopkins University Press, 2001.</t>
        </is>
      </c>
      <c r="M1501" t="inlineStr">
        <is>
          <t>2001</t>
        </is>
      </c>
      <c r="O1501" t="inlineStr">
        <is>
          <t>eng</t>
        </is>
      </c>
      <c r="P1501" t="inlineStr">
        <is>
          <t>mdu</t>
        </is>
      </c>
      <c r="R1501" t="inlineStr">
        <is>
          <t xml:space="preserve">LC </t>
        </is>
      </c>
      <c r="S1501" t="n">
        <v>1</v>
      </c>
      <c r="T1501" t="n">
        <v>1</v>
      </c>
      <c r="U1501" t="inlineStr">
        <is>
          <t>2001-02-05</t>
        </is>
      </c>
      <c r="V1501" t="inlineStr">
        <is>
          <t>2001-02-05</t>
        </is>
      </c>
      <c r="W1501" t="inlineStr">
        <is>
          <t>2001-02-05</t>
        </is>
      </c>
      <c r="X1501" t="inlineStr">
        <is>
          <t>2001-02-05</t>
        </is>
      </c>
      <c r="Y1501" t="n">
        <v>297</v>
      </c>
      <c r="Z1501" t="n">
        <v>253</v>
      </c>
      <c r="AA1501" t="n">
        <v>620</v>
      </c>
      <c r="AB1501" t="n">
        <v>3</v>
      </c>
      <c r="AC1501" t="n">
        <v>28</v>
      </c>
      <c r="AD1501" t="n">
        <v>8</v>
      </c>
      <c r="AE1501" t="n">
        <v>30</v>
      </c>
      <c r="AF1501" t="n">
        <v>1</v>
      </c>
      <c r="AG1501" t="n">
        <v>8</v>
      </c>
      <c r="AH1501" t="n">
        <v>2</v>
      </c>
      <c r="AI1501" t="n">
        <v>2</v>
      </c>
      <c r="AJ1501" t="n">
        <v>5</v>
      </c>
      <c r="AK1501" t="n">
        <v>12</v>
      </c>
      <c r="AL1501" t="n">
        <v>2</v>
      </c>
      <c r="AM1501" t="n">
        <v>13</v>
      </c>
      <c r="AN1501" t="n">
        <v>0</v>
      </c>
      <c r="AO1501" t="n">
        <v>0</v>
      </c>
      <c r="AP1501" t="inlineStr">
        <is>
          <t>No</t>
        </is>
      </c>
      <c r="AQ1501" t="inlineStr">
        <is>
          <t>Yes</t>
        </is>
      </c>
      <c r="AR1501">
        <f>HYPERLINK("http://catalog.hathitrust.org/Record/003530827","HathiTrust Record")</f>
        <v/>
      </c>
      <c r="AS1501">
        <f>HYPERLINK("https://creighton-primo.hosted.exlibrisgroup.com/primo-explore/search?tab=default_tab&amp;search_scope=EVERYTHING&amp;vid=01CRU&amp;lang=en_US&amp;offset=0&amp;query=any,contains,991003306099702656","Catalog Record")</f>
        <v/>
      </c>
      <c r="AT1501">
        <f>HYPERLINK("http://www.worldcat.org/oclc/43751584","WorldCat Record")</f>
        <v/>
      </c>
      <c r="AU1501" t="inlineStr">
        <is>
          <t>793896797:eng</t>
        </is>
      </c>
      <c r="AV1501" t="inlineStr">
        <is>
          <t>43751584</t>
        </is>
      </c>
      <c r="AW1501" t="inlineStr">
        <is>
          <t>991003306099702656</t>
        </is>
      </c>
      <c r="AX1501" t="inlineStr">
        <is>
          <t>991003306099702656</t>
        </is>
      </c>
      <c r="AY1501" t="inlineStr">
        <is>
          <t>2264356510002656</t>
        </is>
      </c>
      <c r="AZ1501" t="inlineStr">
        <is>
          <t>BOOK</t>
        </is>
      </c>
      <c r="BB1501" t="inlineStr">
        <is>
          <t>9780801864940</t>
        </is>
      </c>
      <c r="BC1501" t="inlineStr">
        <is>
          <t>32285004293576</t>
        </is>
      </c>
      <c r="BD1501" t="inlineStr">
        <is>
          <t>893623361</t>
        </is>
      </c>
    </row>
    <row r="1502">
      <c r="A1502" t="inlineStr">
        <is>
          <t>No</t>
        </is>
      </c>
      <c r="B1502" t="inlineStr">
        <is>
          <t>LC1752 .S49</t>
        </is>
      </c>
      <c r="C1502" t="inlineStr">
        <is>
          <t>0                      LC 1752000S  49</t>
        </is>
      </c>
      <c r="D1502" t="inlineStr">
        <is>
          <t>Women in education / by Patricia Sexton.</t>
        </is>
      </c>
      <c r="F1502" t="inlineStr">
        <is>
          <t>No</t>
        </is>
      </c>
      <c r="G1502" t="inlineStr">
        <is>
          <t>1</t>
        </is>
      </c>
      <c r="H1502" t="inlineStr">
        <is>
          <t>No</t>
        </is>
      </c>
      <c r="I1502" t="inlineStr">
        <is>
          <t>No</t>
        </is>
      </c>
      <c r="J1502" t="inlineStr">
        <is>
          <t>0</t>
        </is>
      </c>
      <c r="K1502" t="inlineStr">
        <is>
          <t>Sexton, Patricia Cayo.</t>
        </is>
      </c>
      <c r="L1502" t="inlineStr">
        <is>
          <t>Bloomington, Ind. : Phi Delta Kappa Educational Foundation, c1976.</t>
        </is>
      </c>
      <c r="M1502" t="inlineStr">
        <is>
          <t>1976</t>
        </is>
      </c>
      <c r="O1502" t="inlineStr">
        <is>
          <t>eng</t>
        </is>
      </c>
      <c r="P1502" t="inlineStr">
        <is>
          <t>inu</t>
        </is>
      </c>
      <c r="Q1502" t="inlineStr">
        <is>
          <t>Perspectives in American education</t>
        </is>
      </c>
      <c r="R1502" t="inlineStr">
        <is>
          <t xml:space="preserve">LC </t>
        </is>
      </c>
      <c r="S1502" t="n">
        <v>1</v>
      </c>
      <c r="T1502" t="n">
        <v>1</v>
      </c>
      <c r="U1502" t="inlineStr">
        <is>
          <t>2007-10-09</t>
        </is>
      </c>
      <c r="V1502" t="inlineStr">
        <is>
          <t>2007-10-09</t>
        </is>
      </c>
      <c r="W1502" t="inlineStr">
        <is>
          <t>1997-06-06</t>
        </is>
      </c>
      <c r="X1502" t="inlineStr">
        <is>
          <t>1997-06-06</t>
        </is>
      </c>
      <c r="Y1502" t="n">
        <v>652</v>
      </c>
      <c r="Z1502" t="n">
        <v>594</v>
      </c>
      <c r="AA1502" t="n">
        <v>594</v>
      </c>
      <c r="AB1502" t="n">
        <v>4</v>
      </c>
      <c r="AC1502" t="n">
        <v>4</v>
      </c>
      <c r="AD1502" t="n">
        <v>26</v>
      </c>
      <c r="AE1502" t="n">
        <v>26</v>
      </c>
      <c r="AF1502" t="n">
        <v>13</v>
      </c>
      <c r="AG1502" t="n">
        <v>13</v>
      </c>
      <c r="AH1502" t="n">
        <v>6</v>
      </c>
      <c r="AI1502" t="n">
        <v>6</v>
      </c>
      <c r="AJ1502" t="n">
        <v>12</v>
      </c>
      <c r="AK1502" t="n">
        <v>12</v>
      </c>
      <c r="AL1502" t="n">
        <v>3</v>
      </c>
      <c r="AM1502" t="n">
        <v>3</v>
      </c>
      <c r="AN1502" t="n">
        <v>0</v>
      </c>
      <c r="AO1502" t="n">
        <v>0</v>
      </c>
      <c r="AP1502" t="inlineStr">
        <is>
          <t>No</t>
        </is>
      </c>
      <c r="AQ1502" t="inlineStr">
        <is>
          <t>No</t>
        </is>
      </c>
      <c r="AS1502">
        <f>HYPERLINK("https://creighton-primo.hosted.exlibrisgroup.com/primo-explore/search?tab=default_tab&amp;search_scope=EVERYTHING&amp;vid=01CRU&amp;lang=en_US&amp;offset=0&amp;query=any,contains,991004122699702656","Catalog Record")</f>
        <v/>
      </c>
      <c r="AT1502">
        <f>HYPERLINK("http://www.worldcat.org/oclc/2433486","WorldCat Record")</f>
        <v/>
      </c>
      <c r="AU1502" t="inlineStr">
        <is>
          <t>5190138:eng</t>
        </is>
      </c>
      <c r="AV1502" t="inlineStr">
        <is>
          <t>2433486</t>
        </is>
      </c>
      <c r="AW1502" t="inlineStr">
        <is>
          <t>991004122699702656</t>
        </is>
      </c>
      <c r="AX1502" t="inlineStr">
        <is>
          <t>991004122699702656</t>
        </is>
      </c>
      <c r="AY1502" t="inlineStr">
        <is>
          <t>2263867610002656</t>
        </is>
      </c>
      <c r="AZ1502" t="inlineStr">
        <is>
          <t>BOOK</t>
        </is>
      </c>
      <c r="BB1502" t="inlineStr">
        <is>
          <t>9780873674119</t>
        </is>
      </c>
      <c r="BC1502" t="inlineStr">
        <is>
          <t>32285002802741</t>
        </is>
      </c>
      <c r="BD1502" t="inlineStr">
        <is>
          <t>893599457</t>
        </is>
      </c>
    </row>
    <row r="1503">
      <c r="A1503" t="inlineStr">
        <is>
          <t>No</t>
        </is>
      </c>
      <c r="B1503" t="inlineStr">
        <is>
          <t>LC1755 .C65 1996</t>
        </is>
      </c>
      <c r="C1503" t="inlineStr">
        <is>
          <t>0                      LC 1755000C  65          1996</t>
        </is>
      </c>
      <c r="D1503" t="inlineStr">
        <is>
          <t>Girls in the middle : working to succeed in school / by Jody Cohen and Sukey Blanc with Jolley Christman ... [et al.] ; Research for Action.</t>
        </is>
      </c>
      <c r="F1503" t="inlineStr">
        <is>
          <t>No</t>
        </is>
      </c>
      <c r="G1503" t="inlineStr">
        <is>
          <t>1</t>
        </is>
      </c>
      <c r="H1503" t="inlineStr">
        <is>
          <t>No</t>
        </is>
      </c>
      <c r="I1503" t="inlineStr">
        <is>
          <t>No</t>
        </is>
      </c>
      <c r="J1503" t="inlineStr">
        <is>
          <t>0</t>
        </is>
      </c>
      <c r="K1503" t="inlineStr">
        <is>
          <t>Cohen, Jody, 1952-</t>
        </is>
      </c>
      <c r="L1503" t="inlineStr">
        <is>
          <t>Washington, D.C. : American Association of University Women Educational Foundation, 1996.</t>
        </is>
      </c>
      <c r="M1503" t="inlineStr">
        <is>
          <t>1996</t>
        </is>
      </c>
      <c r="O1503" t="inlineStr">
        <is>
          <t>eng</t>
        </is>
      </c>
      <c r="P1503" t="inlineStr">
        <is>
          <t>dcu</t>
        </is>
      </c>
      <c r="R1503" t="inlineStr">
        <is>
          <t xml:space="preserve">LC </t>
        </is>
      </c>
      <c r="S1503" t="n">
        <v>2</v>
      </c>
      <c r="T1503" t="n">
        <v>2</v>
      </c>
      <c r="U1503" t="inlineStr">
        <is>
          <t>1996-11-15</t>
        </is>
      </c>
      <c r="V1503" t="inlineStr">
        <is>
          <t>1996-11-15</t>
        </is>
      </c>
      <c r="W1503" t="inlineStr">
        <is>
          <t>1996-09-12</t>
        </is>
      </c>
      <c r="X1503" t="inlineStr">
        <is>
          <t>1996-09-12</t>
        </is>
      </c>
      <c r="Y1503" t="n">
        <v>431</v>
      </c>
      <c r="Z1503" t="n">
        <v>419</v>
      </c>
      <c r="AA1503" t="n">
        <v>425</v>
      </c>
      <c r="AB1503" t="n">
        <v>5</v>
      </c>
      <c r="AC1503" t="n">
        <v>5</v>
      </c>
      <c r="AD1503" t="n">
        <v>19</v>
      </c>
      <c r="AE1503" t="n">
        <v>19</v>
      </c>
      <c r="AF1503" t="n">
        <v>8</v>
      </c>
      <c r="AG1503" t="n">
        <v>8</v>
      </c>
      <c r="AH1503" t="n">
        <v>2</v>
      </c>
      <c r="AI1503" t="n">
        <v>2</v>
      </c>
      <c r="AJ1503" t="n">
        <v>11</v>
      </c>
      <c r="AK1503" t="n">
        <v>11</v>
      </c>
      <c r="AL1503" t="n">
        <v>4</v>
      </c>
      <c r="AM1503" t="n">
        <v>4</v>
      </c>
      <c r="AN1503" t="n">
        <v>0</v>
      </c>
      <c r="AO1503" t="n">
        <v>0</v>
      </c>
      <c r="AP1503" t="inlineStr">
        <is>
          <t>No</t>
        </is>
      </c>
      <c r="AQ1503" t="inlineStr">
        <is>
          <t>Yes</t>
        </is>
      </c>
      <c r="AR1503">
        <f>HYPERLINK("http://catalog.hathitrust.org/Record/003115526","HathiTrust Record")</f>
        <v/>
      </c>
      <c r="AS1503">
        <f>HYPERLINK("https://creighton-primo.hosted.exlibrisgroup.com/primo-explore/search?tab=default_tab&amp;search_scope=EVERYTHING&amp;vid=01CRU&amp;lang=en_US&amp;offset=0&amp;query=any,contains,991002664869702656","Catalog Record")</f>
        <v/>
      </c>
      <c r="AT1503">
        <f>HYPERLINK("http://www.worldcat.org/oclc/34849736","WorldCat Record")</f>
        <v/>
      </c>
      <c r="AU1503" t="inlineStr">
        <is>
          <t>41047976:eng</t>
        </is>
      </c>
      <c r="AV1503" t="inlineStr">
        <is>
          <t>34849736</t>
        </is>
      </c>
      <c r="AW1503" t="inlineStr">
        <is>
          <t>991002664869702656</t>
        </is>
      </c>
      <c r="AX1503" t="inlineStr">
        <is>
          <t>991002664869702656</t>
        </is>
      </c>
      <c r="AY1503" t="inlineStr">
        <is>
          <t>2263141610002656</t>
        </is>
      </c>
      <c r="AZ1503" t="inlineStr">
        <is>
          <t>BOOK</t>
        </is>
      </c>
      <c r="BB1503" t="inlineStr">
        <is>
          <t>9781879922150</t>
        </is>
      </c>
      <c r="BC1503" t="inlineStr">
        <is>
          <t>32285002317708</t>
        </is>
      </c>
      <c r="BD1503" t="inlineStr">
        <is>
          <t>893415490</t>
        </is>
      </c>
    </row>
    <row r="1504">
      <c r="A1504" t="inlineStr">
        <is>
          <t>No</t>
        </is>
      </c>
      <c r="B1504" t="inlineStr">
        <is>
          <t>LC1756 .G35 1999</t>
        </is>
      </c>
      <c r="C1504" t="inlineStr">
        <is>
          <t>0                      LC 1756000G  35          1999</t>
        </is>
      </c>
      <c r="D1504" t="inlineStr">
        <is>
          <t>Gaining a foothold : women's transitions through work and college / commissioned by the American Association of University Women Educational Foundation ; researched by DYG Inc., and Lake Snell Perry and Associates.</t>
        </is>
      </c>
      <c r="F1504" t="inlineStr">
        <is>
          <t>No</t>
        </is>
      </c>
      <c r="G1504" t="inlineStr">
        <is>
          <t>1</t>
        </is>
      </c>
      <c r="H1504" t="inlineStr">
        <is>
          <t>No</t>
        </is>
      </c>
      <c r="I1504" t="inlineStr">
        <is>
          <t>No</t>
        </is>
      </c>
      <c r="J1504" t="inlineStr">
        <is>
          <t>0</t>
        </is>
      </c>
      <c r="L1504" t="inlineStr">
        <is>
          <t>Washington, DC : The Foundation, c1999.</t>
        </is>
      </c>
      <c r="M1504" t="inlineStr">
        <is>
          <t>1999</t>
        </is>
      </c>
      <c r="O1504" t="inlineStr">
        <is>
          <t>eng</t>
        </is>
      </c>
      <c r="P1504" t="inlineStr">
        <is>
          <t>dcu</t>
        </is>
      </c>
      <c r="R1504" t="inlineStr">
        <is>
          <t xml:space="preserve">LC </t>
        </is>
      </c>
      <c r="S1504" t="n">
        <v>1</v>
      </c>
      <c r="T1504" t="n">
        <v>1</v>
      </c>
      <c r="U1504" t="inlineStr">
        <is>
          <t>2003-12-01</t>
        </is>
      </c>
      <c r="V1504" t="inlineStr">
        <is>
          <t>2003-12-01</t>
        </is>
      </c>
      <c r="W1504" t="inlineStr">
        <is>
          <t>2003-12-01</t>
        </is>
      </c>
      <c r="X1504" t="inlineStr">
        <is>
          <t>2003-12-01</t>
        </is>
      </c>
      <c r="Y1504" t="n">
        <v>138</v>
      </c>
      <c r="Z1504" t="n">
        <v>128</v>
      </c>
      <c r="AA1504" t="n">
        <v>130</v>
      </c>
      <c r="AB1504" t="n">
        <v>1</v>
      </c>
      <c r="AC1504" t="n">
        <v>1</v>
      </c>
      <c r="AD1504" t="n">
        <v>6</v>
      </c>
      <c r="AE1504" t="n">
        <v>6</v>
      </c>
      <c r="AF1504" t="n">
        <v>1</v>
      </c>
      <c r="AG1504" t="n">
        <v>1</v>
      </c>
      <c r="AH1504" t="n">
        <v>1</v>
      </c>
      <c r="AI1504" t="n">
        <v>1</v>
      </c>
      <c r="AJ1504" t="n">
        <v>5</v>
      </c>
      <c r="AK1504" t="n">
        <v>5</v>
      </c>
      <c r="AL1504" t="n">
        <v>0</v>
      </c>
      <c r="AM1504" t="n">
        <v>0</v>
      </c>
      <c r="AN1504" t="n">
        <v>1</v>
      </c>
      <c r="AO1504" t="n">
        <v>1</v>
      </c>
      <c r="AP1504" t="inlineStr">
        <is>
          <t>No</t>
        </is>
      </c>
      <c r="AQ1504" t="inlineStr">
        <is>
          <t>Yes</t>
        </is>
      </c>
      <c r="AR1504">
        <f>HYPERLINK("http://catalog.hathitrust.org/Record/004349503","HathiTrust Record")</f>
        <v/>
      </c>
      <c r="AS1504">
        <f>HYPERLINK("https://creighton-primo.hosted.exlibrisgroup.com/primo-explore/search?tab=default_tab&amp;search_scope=EVERYTHING&amp;vid=01CRU&amp;lang=en_US&amp;offset=0&amp;query=any,contains,991004194949702656","Catalog Record")</f>
        <v/>
      </c>
      <c r="AT1504">
        <f>HYPERLINK("http://www.worldcat.org/oclc/41299198","WorldCat Record")</f>
        <v/>
      </c>
      <c r="AU1504" t="inlineStr">
        <is>
          <t>44883910:eng</t>
        </is>
      </c>
      <c r="AV1504" t="inlineStr">
        <is>
          <t>41299198</t>
        </is>
      </c>
      <c r="AW1504" t="inlineStr">
        <is>
          <t>991004194949702656</t>
        </is>
      </c>
      <c r="AX1504" t="inlineStr">
        <is>
          <t>991004194949702656</t>
        </is>
      </c>
      <c r="AY1504" t="inlineStr">
        <is>
          <t>2271059710002656</t>
        </is>
      </c>
      <c r="AZ1504" t="inlineStr">
        <is>
          <t>BOOK</t>
        </is>
      </c>
      <c r="BB1504" t="inlineStr">
        <is>
          <t>9781879922228</t>
        </is>
      </c>
      <c r="BC1504" t="inlineStr">
        <is>
          <t>32285004841655</t>
        </is>
      </c>
      <c r="BD1504" t="inlineStr">
        <is>
          <t>893429770</t>
        </is>
      </c>
    </row>
    <row r="1505">
      <c r="A1505" t="inlineStr">
        <is>
          <t>No</t>
        </is>
      </c>
      <c r="B1505" t="inlineStr">
        <is>
          <t>LC1756 .K36 1988</t>
        </is>
      </c>
      <c r="C1505" t="inlineStr">
        <is>
          <t>0                      LC 1756000K  36          1988</t>
        </is>
      </c>
      <c r="D1505" t="inlineStr">
        <is>
          <t>Get smart! : a woman's guide to equality on campus / Montana Katz and Veronica Vieland.</t>
        </is>
      </c>
      <c r="F1505" t="inlineStr">
        <is>
          <t>No</t>
        </is>
      </c>
      <c r="G1505" t="inlineStr">
        <is>
          <t>1</t>
        </is>
      </c>
      <c r="H1505" t="inlineStr">
        <is>
          <t>No</t>
        </is>
      </c>
      <c r="I1505" t="inlineStr">
        <is>
          <t>No</t>
        </is>
      </c>
      <c r="J1505" t="inlineStr">
        <is>
          <t>0</t>
        </is>
      </c>
      <c r="K1505" t="inlineStr">
        <is>
          <t>Katz, Montana.</t>
        </is>
      </c>
      <c r="L1505" t="inlineStr">
        <is>
          <t>New York : Feminist Press at the City University of New York, 1988.</t>
        </is>
      </c>
      <c r="M1505" t="inlineStr">
        <is>
          <t>1988</t>
        </is>
      </c>
      <c r="O1505" t="inlineStr">
        <is>
          <t>eng</t>
        </is>
      </c>
      <c r="P1505" t="inlineStr">
        <is>
          <t>nyu</t>
        </is>
      </c>
      <c r="R1505" t="inlineStr">
        <is>
          <t xml:space="preserve">LC </t>
        </is>
      </c>
      <c r="S1505" t="n">
        <v>6</v>
      </c>
      <c r="T1505" t="n">
        <v>6</v>
      </c>
      <c r="U1505" t="inlineStr">
        <is>
          <t>1998-10-27</t>
        </is>
      </c>
      <c r="V1505" t="inlineStr">
        <is>
          <t>1998-10-27</t>
        </is>
      </c>
      <c r="W1505" t="inlineStr">
        <is>
          <t>1992-08-27</t>
        </is>
      </c>
      <c r="X1505" t="inlineStr">
        <is>
          <t>1992-08-27</t>
        </is>
      </c>
      <c r="Y1505" t="n">
        <v>564</v>
      </c>
      <c r="Z1505" t="n">
        <v>516</v>
      </c>
      <c r="AA1505" t="n">
        <v>521</v>
      </c>
      <c r="AB1505" t="n">
        <v>2</v>
      </c>
      <c r="AC1505" t="n">
        <v>2</v>
      </c>
      <c r="AD1505" t="n">
        <v>16</v>
      </c>
      <c r="AE1505" t="n">
        <v>16</v>
      </c>
      <c r="AF1505" t="n">
        <v>6</v>
      </c>
      <c r="AG1505" t="n">
        <v>6</v>
      </c>
      <c r="AH1505" t="n">
        <v>5</v>
      </c>
      <c r="AI1505" t="n">
        <v>5</v>
      </c>
      <c r="AJ1505" t="n">
        <v>10</v>
      </c>
      <c r="AK1505" t="n">
        <v>10</v>
      </c>
      <c r="AL1505" t="n">
        <v>1</v>
      </c>
      <c r="AM1505" t="n">
        <v>1</v>
      </c>
      <c r="AN1505" t="n">
        <v>0</v>
      </c>
      <c r="AO1505" t="n">
        <v>0</v>
      </c>
      <c r="AP1505" t="inlineStr">
        <is>
          <t>No</t>
        </is>
      </c>
      <c r="AQ1505" t="inlineStr">
        <is>
          <t>No</t>
        </is>
      </c>
      <c r="AS1505">
        <f>HYPERLINK("https://creighton-primo.hosted.exlibrisgroup.com/primo-explore/search?tab=default_tab&amp;search_scope=EVERYTHING&amp;vid=01CRU&amp;lang=en_US&amp;offset=0&amp;query=any,contains,991001331259702656","Catalog Record")</f>
        <v/>
      </c>
      <c r="AT1505">
        <f>HYPERLINK("http://www.worldcat.org/oclc/18323870","WorldCat Record")</f>
        <v/>
      </c>
      <c r="AU1505" t="inlineStr">
        <is>
          <t>4494986894:eng</t>
        </is>
      </c>
      <c r="AV1505" t="inlineStr">
        <is>
          <t>18323870</t>
        </is>
      </c>
      <c r="AW1505" t="inlineStr">
        <is>
          <t>991001331259702656</t>
        </is>
      </c>
      <c r="AX1505" t="inlineStr">
        <is>
          <t>991001331259702656</t>
        </is>
      </c>
      <c r="AY1505" t="inlineStr">
        <is>
          <t>2258007900002656</t>
        </is>
      </c>
      <c r="AZ1505" t="inlineStr">
        <is>
          <t>BOOK</t>
        </is>
      </c>
      <c r="BB1505" t="inlineStr">
        <is>
          <t>9780935312874</t>
        </is>
      </c>
      <c r="BC1505" t="inlineStr">
        <is>
          <t>32285001283224</t>
        </is>
      </c>
      <c r="BD1505" t="inlineStr">
        <is>
          <t>893528886</t>
        </is>
      </c>
    </row>
    <row r="1506">
      <c r="A1506" t="inlineStr">
        <is>
          <t>No</t>
        </is>
      </c>
      <c r="B1506" t="inlineStr">
        <is>
          <t>LC191 .C6</t>
        </is>
      </c>
      <c r="C1506" t="inlineStr">
        <is>
          <t>0                      LC 0191000C  6</t>
        </is>
      </c>
      <c r="D1506" t="inlineStr">
        <is>
          <t>Dare the school build a new social order? [By] George S. Counts.</t>
        </is>
      </c>
      <c r="F1506" t="inlineStr">
        <is>
          <t>No</t>
        </is>
      </c>
      <c r="G1506" t="inlineStr">
        <is>
          <t>1</t>
        </is>
      </c>
      <c r="H1506" t="inlineStr">
        <is>
          <t>No</t>
        </is>
      </c>
      <c r="I1506" t="inlineStr">
        <is>
          <t>No</t>
        </is>
      </c>
      <c r="J1506" t="inlineStr">
        <is>
          <t>0</t>
        </is>
      </c>
      <c r="K1506" t="inlineStr">
        <is>
          <t>Counts, George S. (George Sylvester), 1889-1974.</t>
        </is>
      </c>
      <c r="L1506" t="inlineStr">
        <is>
          <t>New York, Arno Press, 1969.</t>
        </is>
      </c>
      <c r="M1506" t="inlineStr">
        <is>
          <t>1969</t>
        </is>
      </c>
      <c r="O1506" t="inlineStr">
        <is>
          <t>eng</t>
        </is>
      </c>
      <c r="P1506" t="inlineStr">
        <is>
          <t>nyu</t>
        </is>
      </c>
      <c r="Q1506" t="inlineStr">
        <is>
          <t>American education--its men, ideas, and institutions</t>
        </is>
      </c>
      <c r="R1506" t="inlineStr">
        <is>
          <t xml:space="preserve">LC </t>
        </is>
      </c>
      <c r="S1506" t="n">
        <v>5</v>
      </c>
      <c r="T1506" t="n">
        <v>5</v>
      </c>
      <c r="U1506" t="inlineStr">
        <is>
          <t>2010-11-22</t>
        </is>
      </c>
      <c r="V1506" t="inlineStr">
        <is>
          <t>2010-11-22</t>
        </is>
      </c>
      <c r="W1506" t="inlineStr">
        <is>
          <t>1992-08-21</t>
        </is>
      </c>
      <c r="X1506" t="inlineStr">
        <is>
          <t>1992-08-21</t>
        </is>
      </c>
      <c r="Y1506" t="n">
        <v>303</v>
      </c>
      <c r="Z1506" t="n">
        <v>278</v>
      </c>
      <c r="AA1506" t="n">
        <v>520</v>
      </c>
      <c r="AB1506" t="n">
        <v>2</v>
      </c>
      <c r="AC1506" t="n">
        <v>4</v>
      </c>
      <c r="AD1506" t="n">
        <v>15</v>
      </c>
      <c r="AE1506" t="n">
        <v>32</v>
      </c>
      <c r="AF1506" t="n">
        <v>7</v>
      </c>
      <c r="AG1506" t="n">
        <v>14</v>
      </c>
      <c r="AH1506" t="n">
        <v>2</v>
      </c>
      <c r="AI1506" t="n">
        <v>7</v>
      </c>
      <c r="AJ1506" t="n">
        <v>8</v>
      </c>
      <c r="AK1506" t="n">
        <v>14</v>
      </c>
      <c r="AL1506" t="n">
        <v>1</v>
      </c>
      <c r="AM1506" t="n">
        <v>3</v>
      </c>
      <c r="AN1506" t="n">
        <v>0</v>
      </c>
      <c r="AO1506" t="n">
        <v>1</v>
      </c>
      <c r="AP1506" t="inlineStr">
        <is>
          <t>No</t>
        </is>
      </c>
      <c r="AQ1506" t="inlineStr">
        <is>
          <t>Yes</t>
        </is>
      </c>
      <c r="AR1506">
        <f>HYPERLINK("http://catalog.hathitrust.org/Record/001449464","HathiTrust Record")</f>
        <v/>
      </c>
      <c r="AS1506">
        <f>HYPERLINK("https://creighton-primo.hosted.exlibrisgroup.com/primo-explore/search?tab=default_tab&amp;search_scope=EVERYTHING&amp;vid=01CRU&amp;lang=en_US&amp;offset=0&amp;query=any,contains,991000424999702656","Catalog Record")</f>
        <v/>
      </c>
      <c r="AT1506">
        <f>HYPERLINK("http://www.worldcat.org/oclc/74796","WorldCat Record")</f>
        <v/>
      </c>
      <c r="AU1506" t="inlineStr">
        <is>
          <t>467065:eng</t>
        </is>
      </c>
      <c r="AV1506" t="inlineStr">
        <is>
          <t>74796</t>
        </is>
      </c>
      <c r="AW1506" t="inlineStr">
        <is>
          <t>991000424999702656</t>
        </is>
      </c>
      <c r="AX1506" t="inlineStr">
        <is>
          <t>991000424999702656</t>
        </is>
      </c>
      <c r="AY1506" t="inlineStr">
        <is>
          <t>2272232030002656</t>
        </is>
      </c>
      <c r="AZ1506" t="inlineStr">
        <is>
          <t>BOOK</t>
        </is>
      </c>
      <c r="BC1506" t="inlineStr">
        <is>
          <t>32285001280022</t>
        </is>
      </c>
      <c r="BD1506" t="inlineStr">
        <is>
          <t>893321028</t>
        </is>
      </c>
    </row>
    <row r="1507">
      <c r="A1507" t="inlineStr">
        <is>
          <t>No</t>
        </is>
      </c>
      <c r="B1507" t="inlineStr">
        <is>
          <t>LC191 .D445 1989</t>
        </is>
      </c>
      <c r="C1507" t="inlineStr">
        <is>
          <t>0                      LC 0191000D  445         1989</t>
        </is>
      </c>
      <c r="D1507" t="inlineStr">
        <is>
          <t>Knowledgeable women : structuralism and the reproduction of elites / Sara Delamont.</t>
        </is>
      </c>
      <c r="F1507" t="inlineStr">
        <is>
          <t>No</t>
        </is>
      </c>
      <c r="G1507" t="inlineStr">
        <is>
          <t>1</t>
        </is>
      </c>
      <c r="H1507" t="inlineStr">
        <is>
          <t>No</t>
        </is>
      </c>
      <c r="I1507" t="inlineStr">
        <is>
          <t>No</t>
        </is>
      </c>
      <c r="J1507" t="inlineStr">
        <is>
          <t>0</t>
        </is>
      </c>
      <c r="K1507" t="inlineStr">
        <is>
          <t>Delamont, Sara, 1947-</t>
        </is>
      </c>
      <c r="L1507" t="inlineStr">
        <is>
          <t>London ; New York : Routledge, c1989.</t>
        </is>
      </c>
      <c r="M1507" t="inlineStr">
        <is>
          <t>1989</t>
        </is>
      </c>
      <c r="O1507" t="inlineStr">
        <is>
          <t>eng</t>
        </is>
      </c>
      <c r="P1507" t="inlineStr">
        <is>
          <t>enk</t>
        </is>
      </c>
      <c r="R1507" t="inlineStr">
        <is>
          <t xml:space="preserve">LC </t>
        </is>
      </c>
      <c r="S1507" t="n">
        <v>1</v>
      </c>
      <c r="T1507" t="n">
        <v>1</v>
      </c>
      <c r="U1507" t="inlineStr">
        <is>
          <t>2001-12-03</t>
        </is>
      </c>
      <c r="V1507" t="inlineStr">
        <is>
          <t>2001-12-03</t>
        </is>
      </c>
      <c r="W1507" t="inlineStr">
        <is>
          <t>1990-07-17</t>
        </is>
      </c>
      <c r="X1507" t="inlineStr">
        <is>
          <t>1990-07-17</t>
        </is>
      </c>
      <c r="Y1507" t="n">
        <v>411</v>
      </c>
      <c r="Z1507" t="n">
        <v>275</v>
      </c>
      <c r="AA1507" t="n">
        <v>352</v>
      </c>
      <c r="AB1507" t="n">
        <v>2</v>
      </c>
      <c r="AC1507" t="n">
        <v>2</v>
      </c>
      <c r="AD1507" t="n">
        <v>12</v>
      </c>
      <c r="AE1507" t="n">
        <v>13</v>
      </c>
      <c r="AF1507" t="n">
        <v>4</v>
      </c>
      <c r="AG1507" t="n">
        <v>4</v>
      </c>
      <c r="AH1507" t="n">
        <v>4</v>
      </c>
      <c r="AI1507" t="n">
        <v>5</v>
      </c>
      <c r="AJ1507" t="n">
        <v>5</v>
      </c>
      <c r="AK1507" t="n">
        <v>6</v>
      </c>
      <c r="AL1507" t="n">
        <v>1</v>
      </c>
      <c r="AM1507" t="n">
        <v>1</v>
      </c>
      <c r="AN1507" t="n">
        <v>0</v>
      </c>
      <c r="AO1507" t="n">
        <v>0</v>
      </c>
      <c r="AP1507" t="inlineStr">
        <is>
          <t>No</t>
        </is>
      </c>
      <c r="AQ1507" t="inlineStr">
        <is>
          <t>Yes</t>
        </is>
      </c>
      <c r="AR1507">
        <f>HYPERLINK("http://catalog.hathitrust.org/Record/001082964","HathiTrust Record")</f>
        <v/>
      </c>
      <c r="AS1507">
        <f>HYPERLINK("https://creighton-primo.hosted.exlibrisgroup.com/primo-explore/search?tab=default_tab&amp;search_scope=EVERYTHING&amp;vid=01CRU&amp;lang=en_US&amp;offset=0&amp;query=any,contains,991001310289702656","Catalog Record")</f>
        <v/>
      </c>
      <c r="AT1507">
        <f>HYPERLINK("http://www.worldcat.org/oclc/18135922","WorldCat Record")</f>
        <v/>
      </c>
      <c r="AU1507" t="inlineStr">
        <is>
          <t>9415491211:eng</t>
        </is>
      </c>
      <c r="AV1507" t="inlineStr">
        <is>
          <t>18135922</t>
        </is>
      </c>
      <c r="AW1507" t="inlineStr">
        <is>
          <t>991001310289702656</t>
        </is>
      </c>
      <c r="AX1507" t="inlineStr">
        <is>
          <t>991001310289702656</t>
        </is>
      </c>
      <c r="AY1507" t="inlineStr">
        <is>
          <t>2260361230002656</t>
        </is>
      </c>
      <c r="AZ1507" t="inlineStr">
        <is>
          <t>BOOK</t>
        </is>
      </c>
      <c r="BB1507" t="inlineStr">
        <is>
          <t>9780415015998</t>
        </is>
      </c>
      <c r="BC1507" t="inlineStr">
        <is>
          <t>32285000238179</t>
        </is>
      </c>
      <c r="BD1507" t="inlineStr">
        <is>
          <t>893797481</t>
        </is>
      </c>
    </row>
    <row r="1508">
      <c r="A1508" t="inlineStr">
        <is>
          <t>No</t>
        </is>
      </c>
      <c r="B1508" t="inlineStr">
        <is>
          <t>LC191 .F53</t>
        </is>
      </c>
      <c r="C1508" t="inlineStr">
        <is>
          <t>0                      LC 0191000F  53</t>
        </is>
      </c>
      <c r="D1508" t="inlineStr">
        <is>
          <t>Teacher, student, and society; perspectives on education. Edited by Sterling Fishman, Andreas M. Kazamias [and] Herbert M. Kliebard.</t>
        </is>
      </c>
      <c r="F1508" t="inlineStr">
        <is>
          <t>No</t>
        </is>
      </c>
      <c r="G1508" t="inlineStr">
        <is>
          <t>1</t>
        </is>
      </c>
      <c r="H1508" t="inlineStr">
        <is>
          <t>No</t>
        </is>
      </c>
      <c r="I1508" t="inlineStr">
        <is>
          <t>No</t>
        </is>
      </c>
      <c r="J1508" t="inlineStr">
        <is>
          <t>0</t>
        </is>
      </c>
      <c r="K1508" t="inlineStr">
        <is>
          <t>Fishman, Sterling, compiler.</t>
        </is>
      </c>
      <c r="L1508" t="inlineStr">
        <is>
          <t>Boston, Little, Brown [1974]</t>
        </is>
      </c>
      <c r="M1508" t="inlineStr">
        <is>
          <t>1974</t>
        </is>
      </c>
      <c r="O1508" t="inlineStr">
        <is>
          <t>eng</t>
        </is>
      </c>
      <c r="P1508" t="inlineStr">
        <is>
          <t>mau</t>
        </is>
      </c>
      <c r="R1508" t="inlineStr">
        <is>
          <t xml:space="preserve">LC </t>
        </is>
      </c>
      <c r="S1508" t="n">
        <v>2</v>
      </c>
      <c r="T1508" t="n">
        <v>2</v>
      </c>
      <c r="U1508" t="inlineStr">
        <is>
          <t>2010-11-22</t>
        </is>
      </c>
      <c r="V1508" t="inlineStr">
        <is>
          <t>2010-11-22</t>
        </is>
      </c>
      <c r="W1508" t="inlineStr">
        <is>
          <t>1997-06-05</t>
        </is>
      </c>
      <c r="X1508" t="inlineStr">
        <is>
          <t>1997-06-05</t>
        </is>
      </c>
      <c r="Y1508" t="n">
        <v>211</v>
      </c>
      <c r="Z1508" t="n">
        <v>186</v>
      </c>
      <c r="AA1508" t="n">
        <v>192</v>
      </c>
      <c r="AB1508" t="n">
        <v>2</v>
      </c>
      <c r="AC1508" t="n">
        <v>2</v>
      </c>
      <c r="AD1508" t="n">
        <v>11</v>
      </c>
      <c r="AE1508" t="n">
        <v>11</v>
      </c>
      <c r="AF1508" t="n">
        <v>8</v>
      </c>
      <c r="AG1508" t="n">
        <v>8</v>
      </c>
      <c r="AH1508" t="n">
        <v>1</v>
      </c>
      <c r="AI1508" t="n">
        <v>1</v>
      </c>
      <c r="AJ1508" t="n">
        <v>5</v>
      </c>
      <c r="AK1508" t="n">
        <v>5</v>
      </c>
      <c r="AL1508" t="n">
        <v>1</v>
      </c>
      <c r="AM1508" t="n">
        <v>1</v>
      </c>
      <c r="AN1508" t="n">
        <v>0</v>
      </c>
      <c r="AO1508" t="n">
        <v>0</v>
      </c>
      <c r="AP1508" t="inlineStr">
        <is>
          <t>No</t>
        </is>
      </c>
      <c r="AQ1508" t="inlineStr">
        <is>
          <t>Yes</t>
        </is>
      </c>
      <c r="AR1508">
        <f>HYPERLINK("http://catalog.hathitrust.org/Record/010076950","HathiTrust Record")</f>
        <v/>
      </c>
      <c r="AS1508">
        <f>HYPERLINK("https://creighton-primo.hosted.exlibrisgroup.com/primo-explore/search?tab=default_tab&amp;search_scope=EVERYTHING&amp;vid=01CRU&amp;lang=en_US&amp;offset=0&amp;query=any,contains,991003503039702656","Catalog Record")</f>
        <v/>
      </c>
      <c r="AT1508">
        <f>HYPERLINK("http://www.worldcat.org/oclc/1055263","WorldCat Record")</f>
        <v/>
      </c>
      <c r="AU1508" t="inlineStr">
        <is>
          <t>902099270:eng</t>
        </is>
      </c>
      <c r="AV1508" t="inlineStr">
        <is>
          <t>1055263</t>
        </is>
      </c>
      <c r="AW1508" t="inlineStr">
        <is>
          <t>991003503039702656</t>
        </is>
      </c>
      <c r="AX1508" t="inlineStr">
        <is>
          <t>991003503039702656</t>
        </is>
      </c>
      <c r="AY1508" t="inlineStr">
        <is>
          <t>2271750930002656</t>
        </is>
      </c>
      <c r="AZ1508" t="inlineStr">
        <is>
          <t>BOOK</t>
        </is>
      </c>
      <c r="BC1508" t="inlineStr">
        <is>
          <t>32285002800414</t>
        </is>
      </c>
      <c r="BD1508" t="inlineStr">
        <is>
          <t>893531241</t>
        </is>
      </c>
    </row>
    <row r="1509">
      <c r="A1509" t="inlineStr">
        <is>
          <t>No</t>
        </is>
      </c>
      <c r="B1509" t="inlineStr">
        <is>
          <t>LC191 .K187 1992</t>
        </is>
      </c>
      <c r="C1509" t="inlineStr">
        <is>
          <t>0                      LC 0191000K  187         1992</t>
        </is>
      </c>
      <c r="D1509" t="inlineStr">
        <is>
          <t>Towards a theory and practice of teacher cultural politics : continuing the postmodern debate / Barry Kanpol.</t>
        </is>
      </c>
      <c r="F1509" t="inlineStr">
        <is>
          <t>No</t>
        </is>
      </c>
      <c r="G1509" t="inlineStr">
        <is>
          <t>1</t>
        </is>
      </c>
      <c r="H1509" t="inlineStr">
        <is>
          <t>No</t>
        </is>
      </c>
      <c r="I1509" t="inlineStr">
        <is>
          <t>No</t>
        </is>
      </c>
      <c r="J1509" t="inlineStr">
        <is>
          <t>0</t>
        </is>
      </c>
      <c r="K1509" t="inlineStr">
        <is>
          <t>Kanpol, Barry.</t>
        </is>
      </c>
      <c r="L1509" t="inlineStr">
        <is>
          <t>Norwood, N.J. : Ablex, c1992.</t>
        </is>
      </c>
      <c r="M1509" t="inlineStr">
        <is>
          <t>1992</t>
        </is>
      </c>
      <c r="O1509" t="inlineStr">
        <is>
          <t>eng</t>
        </is>
      </c>
      <c r="P1509" t="inlineStr">
        <is>
          <t>nju</t>
        </is>
      </c>
      <c r="Q1509" t="inlineStr">
        <is>
          <t>Interpretive perspectives on education and policy</t>
        </is>
      </c>
      <c r="R1509" t="inlineStr">
        <is>
          <t xml:space="preserve">LC </t>
        </is>
      </c>
      <c r="S1509" t="n">
        <v>1</v>
      </c>
      <c r="T1509" t="n">
        <v>1</v>
      </c>
      <c r="U1509" t="inlineStr">
        <is>
          <t>2006-04-10</t>
        </is>
      </c>
      <c r="V1509" t="inlineStr">
        <is>
          <t>2006-04-10</t>
        </is>
      </c>
      <c r="W1509" t="inlineStr">
        <is>
          <t>2006-04-10</t>
        </is>
      </c>
      <c r="X1509" t="inlineStr">
        <is>
          <t>2006-04-10</t>
        </is>
      </c>
      <c r="Y1509" t="n">
        <v>184</v>
      </c>
      <c r="Z1509" t="n">
        <v>156</v>
      </c>
      <c r="AA1509" t="n">
        <v>158</v>
      </c>
      <c r="AB1509" t="n">
        <v>2</v>
      </c>
      <c r="AC1509" t="n">
        <v>2</v>
      </c>
      <c r="AD1509" t="n">
        <v>6</v>
      </c>
      <c r="AE1509" t="n">
        <v>6</v>
      </c>
      <c r="AF1509" t="n">
        <v>2</v>
      </c>
      <c r="AG1509" t="n">
        <v>2</v>
      </c>
      <c r="AH1509" t="n">
        <v>0</v>
      </c>
      <c r="AI1509" t="n">
        <v>0</v>
      </c>
      <c r="AJ1509" t="n">
        <v>4</v>
      </c>
      <c r="AK1509" t="n">
        <v>4</v>
      </c>
      <c r="AL1509" t="n">
        <v>1</v>
      </c>
      <c r="AM1509" t="n">
        <v>1</v>
      </c>
      <c r="AN1509" t="n">
        <v>0</v>
      </c>
      <c r="AO1509" t="n">
        <v>0</v>
      </c>
      <c r="AP1509" t="inlineStr">
        <is>
          <t>No</t>
        </is>
      </c>
      <c r="AQ1509" t="inlineStr">
        <is>
          <t>Yes</t>
        </is>
      </c>
      <c r="AR1509">
        <f>HYPERLINK("http://catalog.hathitrust.org/Record/002704464","HathiTrust Record")</f>
        <v/>
      </c>
      <c r="AS1509">
        <f>HYPERLINK("https://creighton-primo.hosted.exlibrisgroup.com/primo-explore/search?tab=default_tab&amp;search_scope=EVERYTHING&amp;vid=01CRU&amp;lang=en_US&amp;offset=0&amp;query=any,contains,991004782369702656","Catalog Record")</f>
        <v/>
      </c>
      <c r="AT1509">
        <f>HYPERLINK("http://www.worldcat.org/oclc/25409269","WorldCat Record")</f>
        <v/>
      </c>
      <c r="AU1509" t="inlineStr">
        <is>
          <t>367079064:eng</t>
        </is>
      </c>
      <c r="AV1509" t="inlineStr">
        <is>
          <t>25409269</t>
        </is>
      </c>
      <c r="AW1509" t="inlineStr">
        <is>
          <t>991004782369702656</t>
        </is>
      </c>
      <c r="AX1509" t="inlineStr">
        <is>
          <t>991004782369702656</t>
        </is>
      </c>
      <c r="AY1509" t="inlineStr">
        <is>
          <t>2266634900002656</t>
        </is>
      </c>
      <c r="AZ1509" t="inlineStr">
        <is>
          <t>BOOK</t>
        </is>
      </c>
      <c r="BB1509" t="inlineStr">
        <is>
          <t>9780893918224</t>
        </is>
      </c>
      <c r="BC1509" t="inlineStr">
        <is>
          <t>32285005180749</t>
        </is>
      </c>
      <c r="BD1509" t="inlineStr">
        <is>
          <t>893870110</t>
        </is>
      </c>
    </row>
    <row r="1510">
      <c r="A1510" t="inlineStr">
        <is>
          <t>No</t>
        </is>
      </c>
      <c r="B1510" t="inlineStr">
        <is>
          <t>LC191 .M568 1978</t>
        </is>
      </c>
      <c r="C1510" t="inlineStr">
        <is>
          <t>0                      LC 0191000M  568         1978</t>
        </is>
      </c>
      <c r="D1510" t="inlineStr">
        <is>
          <t>Social foundations of education : an urban focus / Harry L. Miller.</t>
        </is>
      </c>
      <c r="F1510" t="inlineStr">
        <is>
          <t>No</t>
        </is>
      </c>
      <c r="G1510" t="inlineStr">
        <is>
          <t>1</t>
        </is>
      </c>
      <c r="H1510" t="inlineStr">
        <is>
          <t>No</t>
        </is>
      </c>
      <c r="I1510" t="inlineStr">
        <is>
          <t>No</t>
        </is>
      </c>
      <c r="J1510" t="inlineStr">
        <is>
          <t>0</t>
        </is>
      </c>
      <c r="K1510" t="inlineStr">
        <is>
          <t>Miller, Harry L., 1920-</t>
        </is>
      </c>
      <c r="L1510" t="inlineStr">
        <is>
          <t>New York : Holt, Rinehart and Winston, c1978.</t>
        </is>
      </c>
      <c r="M1510" t="inlineStr">
        <is>
          <t>1978</t>
        </is>
      </c>
      <c r="N1510" t="inlineStr">
        <is>
          <t>3d ed.</t>
        </is>
      </c>
      <c r="O1510" t="inlineStr">
        <is>
          <t>eng</t>
        </is>
      </c>
      <c r="P1510" t="inlineStr">
        <is>
          <t>nyu</t>
        </is>
      </c>
      <c r="R1510" t="inlineStr">
        <is>
          <t xml:space="preserve">LC </t>
        </is>
      </c>
      <c r="S1510" t="n">
        <v>2</v>
      </c>
      <c r="T1510" t="n">
        <v>2</v>
      </c>
      <c r="U1510" t="inlineStr">
        <is>
          <t>2008-04-07</t>
        </is>
      </c>
      <c r="V1510" t="inlineStr">
        <is>
          <t>2008-04-07</t>
        </is>
      </c>
      <c r="W1510" t="inlineStr">
        <is>
          <t>1997-06-05</t>
        </is>
      </c>
      <c r="X1510" t="inlineStr">
        <is>
          <t>1997-06-05</t>
        </is>
      </c>
      <c r="Y1510" t="n">
        <v>257</v>
      </c>
      <c r="Z1510" t="n">
        <v>196</v>
      </c>
      <c r="AA1510" t="n">
        <v>197</v>
      </c>
      <c r="AB1510" t="n">
        <v>2</v>
      </c>
      <c r="AC1510" t="n">
        <v>2</v>
      </c>
      <c r="AD1510" t="n">
        <v>9</v>
      </c>
      <c r="AE1510" t="n">
        <v>9</v>
      </c>
      <c r="AF1510" t="n">
        <v>5</v>
      </c>
      <c r="AG1510" t="n">
        <v>5</v>
      </c>
      <c r="AH1510" t="n">
        <v>2</v>
      </c>
      <c r="AI1510" t="n">
        <v>2</v>
      </c>
      <c r="AJ1510" t="n">
        <v>5</v>
      </c>
      <c r="AK1510" t="n">
        <v>5</v>
      </c>
      <c r="AL1510" t="n">
        <v>1</v>
      </c>
      <c r="AM1510" t="n">
        <v>1</v>
      </c>
      <c r="AN1510" t="n">
        <v>0</v>
      </c>
      <c r="AO1510" t="n">
        <v>0</v>
      </c>
      <c r="AP1510" t="inlineStr">
        <is>
          <t>No</t>
        </is>
      </c>
      <c r="AQ1510" t="inlineStr">
        <is>
          <t>Yes</t>
        </is>
      </c>
      <c r="AR1510">
        <f>HYPERLINK("http://catalog.hathitrust.org/Record/000085285","HathiTrust Record")</f>
        <v/>
      </c>
      <c r="AS1510">
        <f>HYPERLINK("https://creighton-primo.hosted.exlibrisgroup.com/primo-explore/search?tab=default_tab&amp;search_scope=EVERYTHING&amp;vid=01CRU&amp;lang=en_US&amp;offset=0&amp;query=any,contains,991004454409702656","Catalog Record")</f>
        <v/>
      </c>
      <c r="AT1510">
        <f>HYPERLINK("http://www.worldcat.org/oclc/3517081","WorldCat Record")</f>
        <v/>
      </c>
      <c r="AU1510" t="inlineStr">
        <is>
          <t>10713389:eng</t>
        </is>
      </c>
      <c r="AV1510" t="inlineStr">
        <is>
          <t>3517081</t>
        </is>
      </c>
      <c r="AW1510" t="inlineStr">
        <is>
          <t>991004454409702656</t>
        </is>
      </c>
      <c r="AX1510" t="inlineStr">
        <is>
          <t>991004454409702656</t>
        </is>
      </c>
      <c r="AY1510" t="inlineStr">
        <is>
          <t>2271037580002656</t>
        </is>
      </c>
      <c r="AZ1510" t="inlineStr">
        <is>
          <t>BOOK</t>
        </is>
      </c>
      <c r="BB1510" t="inlineStr">
        <is>
          <t>9780030174261</t>
        </is>
      </c>
      <c r="BC1510" t="inlineStr">
        <is>
          <t>32285002800513</t>
        </is>
      </c>
      <c r="BD1510" t="inlineStr">
        <is>
          <t>893624756</t>
        </is>
      </c>
    </row>
    <row r="1511">
      <c r="A1511" t="inlineStr">
        <is>
          <t>No</t>
        </is>
      </c>
      <c r="B1511" t="inlineStr">
        <is>
          <t>LC191 .S6865 2007</t>
        </is>
      </c>
      <c r="C1511" t="inlineStr">
        <is>
          <t>0                      LC 0191000S  6865        2007</t>
        </is>
      </c>
      <c r="D1511" t="inlineStr">
        <is>
          <t>A new paradigm for global school systems : education for a long and happy life / Joel Spring.</t>
        </is>
      </c>
      <c r="F1511" t="inlineStr">
        <is>
          <t>No</t>
        </is>
      </c>
      <c r="G1511" t="inlineStr">
        <is>
          <t>1</t>
        </is>
      </c>
      <c r="H1511" t="inlineStr">
        <is>
          <t>No</t>
        </is>
      </c>
      <c r="I1511" t="inlineStr">
        <is>
          <t>No</t>
        </is>
      </c>
      <c r="J1511" t="inlineStr">
        <is>
          <t>0</t>
        </is>
      </c>
      <c r="K1511" t="inlineStr">
        <is>
          <t>Spring, Joel H.</t>
        </is>
      </c>
      <c r="L1511" t="inlineStr">
        <is>
          <t>Mahwah, N.J. : Lawrence Erlbaum Associates, 2007.</t>
        </is>
      </c>
      <c r="M1511" t="inlineStr">
        <is>
          <t>2007</t>
        </is>
      </c>
      <c r="O1511" t="inlineStr">
        <is>
          <t>eng</t>
        </is>
      </c>
      <c r="P1511" t="inlineStr">
        <is>
          <t>nju</t>
        </is>
      </c>
      <c r="Q1511" t="inlineStr">
        <is>
          <t>Sociocultural, political, and historical studies in education</t>
        </is>
      </c>
      <c r="R1511" t="inlineStr">
        <is>
          <t xml:space="preserve">LC </t>
        </is>
      </c>
      <c r="S1511" t="n">
        <v>1</v>
      </c>
      <c r="T1511" t="n">
        <v>1</v>
      </c>
      <c r="U1511" t="inlineStr">
        <is>
          <t>2007-09-11</t>
        </is>
      </c>
      <c r="V1511" t="inlineStr">
        <is>
          <t>2007-09-11</t>
        </is>
      </c>
      <c r="W1511" t="inlineStr">
        <is>
          <t>2007-09-11</t>
        </is>
      </c>
      <c r="X1511" t="inlineStr">
        <is>
          <t>2007-09-11</t>
        </is>
      </c>
      <c r="Y1511" t="n">
        <v>265</v>
      </c>
      <c r="Z1511" t="n">
        <v>212</v>
      </c>
      <c r="AA1511" t="n">
        <v>234</v>
      </c>
      <c r="AB1511" t="n">
        <v>3</v>
      </c>
      <c r="AC1511" t="n">
        <v>3</v>
      </c>
      <c r="AD1511" t="n">
        <v>10</v>
      </c>
      <c r="AE1511" t="n">
        <v>10</v>
      </c>
      <c r="AF1511" t="n">
        <v>2</v>
      </c>
      <c r="AG1511" t="n">
        <v>2</v>
      </c>
      <c r="AH1511" t="n">
        <v>1</v>
      </c>
      <c r="AI1511" t="n">
        <v>1</v>
      </c>
      <c r="AJ1511" t="n">
        <v>7</v>
      </c>
      <c r="AK1511" t="n">
        <v>7</v>
      </c>
      <c r="AL1511" t="n">
        <v>2</v>
      </c>
      <c r="AM1511" t="n">
        <v>2</v>
      </c>
      <c r="AN1511" t="n">
        <v>0</v>
      </c>
      <c r="AO1511" t="n">
        <v>0</v>
      </c>
      <c r="AP1511" t="inlineStr">
        <is>
          <t>No</t>
        </is>
      </c>
      <c r="AQ1511" t="inlineStr">
        <is>
          <t>No</t>
        </is>
      </c>
      <c r="AS1511">
        <f>HYPERLINK("https://creighton-primo.hosted.exlibrisgroup.com/primo-explore/search?tab=default_tab&amp;search_scope=EVERYTHING&amp;vid=01CRU&amp;lang=en_US&amp;offset=0&amp;query=any,contains,991005109499702656","Catalog Record")</f>
        <v/>
      </c>
      <c r="AT1511">
        <f>HYPERLINK("http://www.worldcat.org/oclc/71237275","WorldCat Record")</f>
        <v/>
      </c>
      <c r="AU1511" t="inlineStr">
        <is>
          <t>58204923:eng</t>
        </is>
      </c>
      <c r="AV1511" t="inlineStr">
        <is>
          <t>71237275</t>
        </is>
      </c>
      <c r="AW1511" t="inlineStr">
        <is>
          <t>991005109499702656</t>
        </is>
      </c>
      <c r="AX1511" t="inlineStr">
        <is>
          <t>991005109499702656</t>
        </is>
      </c>
      <c r="AY1511" t="inlineStr">
        <is>
          <t>2268010680002656</t>
        </is>
      </c>
      <c r="AZ1511" t="inlineStr">
        <is>
          <t>BOOK</t>
        </is>
      </c>
      <c r="BB1511" t="inlineStr">
        <is>
          <t>9780805861235</t>
        </is>
      </c>
      <c r="BC1511" t="inlineStr">
        <is>
          <t>32285005324826</t>
        </is>
      </c>
      <c r="BD1511" t="inlineStr">
        <is>
          <t>893701031</t>
        </is>
      </c>
    </row>
    <row r="1512">
      <c r="A1512" t="inlineStr">
        <is>
          <t>No</t>
        </is>
      </c>
      <c r="B1512" t="inlineStr">
        <is>
          <t>LC191.2 .E38 1990</t>
        </is>
      </c>
      <c r="C1512" t="inlineStr">
        <is>
          <t>0                      LC 0191200E  38          1990</t>
        </is>
      </c>
      <c r="D1512" t="inlineStr">
        <is>
          <t>Education and society : a reader / [edited by] Kevin J. Dougherty, Floyd M. Hammack.</t>
        </is>
      </c>
      <c r="F1512" t="inlineStr">
        <is>
          <t>No</t>
        </is>
      </c>
      <c r="G1512" t="inlineStr">
        <is>
          <t>1</t>
        </is>
      </c>
      <c r="H1512" t="inlineStr">
        <is>
          <t>No</t>
        </is>
      </c>
      <c r="I1512" t="inlineStr">
        <is>
          <t>No</t>
        </is>
      </c>
      <c r="J1512" t="inlineStr">
        <is>
          <t>0</t>
        </is>
      </c>
      <c r="L1512" t="inlineStr">
        <is>
          <t>San Diego : Harcourt, Brace, Jovanovich, c1990.</t>
        </is>
      </c>
      <c r="M1512" t="inlineStr">
        <is>
          <t>1990</t>
        </is>
      </c>
      <c r="O1512" t="inlineStr">
        <is>
          <t>eng</t>
        </is>
      </c>
      <c r="P1512" t="inlineStr">
        <is>
          <t>cau</t>
        </is>
      </c>
      <c r="R1512" t="inlineStr">
        <is>
          <t xml:space="preserve">LC </t>
        </is>
      </c>
      <c r="S1512" t="n">
        <v>5</v>
      </c>
      <c r="T1512" t="n">
        <v>5</v>
      </c>
      <c r="U1512" t="inlineStr">
        <is>
          <t>2009-09-26</t>
        </is>
      </c>
      <c r="V1512" t="inlineStr">
        <is>
          <t>2009-09-26</t>
        </is>
      </c>
      <c r="W1512" t="inlineStr">
        <is>
          <t>1990-11-05</t>
        </is>
      </c>
      <c r="X1512" t="inlineStr">
        <is>
          <t>1990-11-05</t>
        </is>
      </c>
      <c r="Y1512" t="n">
        <v>151</v>
      </c>
      <c r="Z1512" t="n">
        <v>136</v>
      </c>
      <c r="AA1512" t="n">
        <v>143</v>
      </c>
      <c r="AB1512" t="n">
        <v>1</v>
      </c>
      <c r="AC1512" t="n">
        <v>1</v>
      </c>
      <c r="AD1512" t="n">
        <v>1</v>
      </c>
      <c r="AE1512" t="n">
        <v>1</v>
      </c>
      <c r="AF1512" t="n">
        <v>1</v>
      </c>
      <c r="AG1512" t="n">
        <v>1</v>
      </c>
      <c r="AH1512" t="n">
        <v>0</v>
      </c>
      <c r="AI1512" t="n">
        <v>0</v>
      </c>
      <c r="AJ1512" t="n">
        <v>0</v>
      </c>
      <c r="AK1512" t="n">
        <v>0</v>
      </c>
      <c r="AL1512" t="n">
        <v>0</v>
      </c>
      <c r="AM1512" t="n">
        <v>0</v>
      </c>
      <c r="AN1512" t="n">
        <v>0</v>
      </c>
      <c r="AO1512" t="n">
        <v>0</v>
      </c>
      <c r="AP1512" t="inlineStr">
        <is>
          <t>No</t>
        </is>
      </c>
      <c r="AQ1512" t="inlineStr">
        <is>
          <t>Yes</t>
        </is>
      </c>
      <c r="AR1512">
        <f>HYPERLINK("http://catalog.hathitrust.org/Record/003177509","HathiTrust Record")</f>
        <v/>
      </c>
      <c r="AS1512">
        <f>HYPERLINK("https://creighton-primo.hosted.exlibrisgroup.com/primo-explore/search?tab=default_tab&amp;search_scope=EVERYTHING&amp;vid=01CRU&amp;lang=en_US&amp;offset=0&amp;query=any,contains,991001637079702656","Catalog Record")</f>
        <v/>
      </c>
      <c r="AT1512">
        <f>HYPERLINK("http://www.worldcat.org/oclc/20986025","WorldCat Record")</f>
        <v/>
      </c>
      <c r="AU1512" t="inlineStr">
        <is>
          <t>22609301:eng</t>
        </is>
      </c>
      <c r="AV1512" t="inlineStr">
        <is>
          <t>20986025</t>
        </is>
      </c>
      <c r="AW1512" t="inlineStr">
        <is>
          <t>991001637079702656</t>
        </is>
      </c>
      <c r="AX1512" t="inlineStr">
        <is>
          <t>991001637079702656</t>
        </is>
      </c>
      <c r="AY1512" t="inlineStr">
        <is>
          <t>2265684010002656</t>
        </is>
      </c>
      <c r="AZ1512" t="inlineStr">
        <is>
          <t>BOOK</t>
        </is>
      </c>
      <c r="BB1512" t="inlineStr">
        <is>
          <t>9780155207356</t>
        </is>
      </c>
      <c r="BC1512" t="inlineStr">
        <is>
          <t>32285000313014</t>
        </is>
      </c>
      <c r="BD1512" t="inlineStr">
        <is>
          <t>893709415</t>
        </is>
      </c>
    </row>
    <row r="1513">
      <c r="A1513" t="inlineStr">
        <is>
          <t>No</t>
        </is>
      </c>
      <c r="B1513" t="inlineStr">
        <is>
          <t>LC191.2 .H36 1986</t>
        </is>
      </c>
      <c r="C1513" t="inlineStr">
        <is>
          <t>0                      LC 0191200H  36          1986</t>
        </is>
      </c>
      <c r="D1513" t="inlineStr">
        <is>
          <t>Handbook of theory and research for the sociology of education / edited by John G. Richardson.</t>
        </is>
      </c>
      <c r="F1513" t="inlineStr">
        <is>
          <t>No</t>
        </is>
      </c>
      <c r="G1513" t="inlineStr">
        <is>
          <t>1</t>
        </is>
      </c>
      <c r="H1513" t="inlineStr">
        <is>
          <t>No</t>
        </is>
      </c>
      <c r="I1513" t="inlineStr">
        <is>
          <t>No</t>
        </is>
      </c>
      <c r="J1513" t="inlineStr">
        <is>
          <t>0</t>
        </is>
      </c>
      <c r="L1513" t="inlineStr">
        <is>
          <t>New York : Greenwood Press, c1986.</t>
        </is>
      </c>
      <c r="M1513" t="inlineStr">
        <is>
          <t>1985</t>
        </is>
      </c>
      <c r="O1513" t="inlineStr">
        <is>
          <t>eng</t>
        </is>
      </c>
      <c r="P1513" t="inlineStr">
        <is>
          <t>nyu</t>
        </is>
      </c>
      <c r="R1513" t="inlineStr">
        <is>
          <t xml:space="preserve">LC </t>
        </is>
      </c>
      <c r="S1513" t="n">
        <v>4</v>
      </c>
      <c r="T1513" t="n">
        <v>4</v>
      </c>
      <c r="U1513" t="inlineStr">
        <is>
          <t>2009-09-26</t>
        </is>
      </c>
      <c r="V1513" t="inlineStr">
        <is>
          <t>2009-09-26</t>
        </is>
      </c>
      <c r="W1513" t="inlineStr">
        <is>
          <t>1992-08-21</t>
        </is>
      </c>
      <c r="X1513" t="inlineStr">
        <is>
          <t>1992-08-21</t>
        </is>
      </c>
      <c r="Y1513" t="n">
        <v>515</v>
      </c>
      <c r="Z1513" t="n">
        <v>360</v>
      </c>
      <c r="AA1513" t="n">
        <v>370</v>
      </c>
      <c r="AB1513" t="n">
        <v>4</v>
      </c>
      <c r="AC1513" t="n">
        <v>4</v>
      </c>
      <c r="AD1513" t="n">
        <v>16</v>
      </c>
      <c r="AE1513" t="n">
        <v>17</v>
      </c>
      <c r="AF1513" t="n">
        <v>6</v>
      </c>
      <c r="AG1513" t="n">
        <v>7</v>
      </c>
      <c r="AH1513" t="n">
        <v>5</v>
      </c>
      <c r="AI1513" t="n">
        <v>5</v>
      </c>
      <c r="AJ1513" t="n">
        <v>8</v>
      </c>
      <c r="AK1513" t="n">
        <v>8</v>
      </c>
      <c r="AL1513" t="n">
        <v>3</v>
      </c>
      <c r="AM1513" t="n">
        <v>3</v>
      </c>
      <c r="AN1513" t="n">
        <v>0</v>
      </c>
      <c r="AO1513" t="n">
        <v>0</v>
      </c>
      <c r="AP1513" t="inlineStr">
        <is>
          <t>No</t>
        </is>
      </c>
      <c r="AQ1513" t="inlineStr">
        <is>
          <t>No</t>
        </is>
      </c>
      <c r="AS1513">
        <f>HYPERLINK("https://creighton-primo.hosted.exlibrisgroup.com/primo-explore/search?tab=default_tab&amp;search_scope=EVERYTHING&amp;vid=01CRU&amp;lang=en_US&amp;offset=0&amp;query=any,contains,991000588279702656","Catalog Record")</f>
        <v/>
      </c>
      <c r="AT1513">
        <f>HYPERLINK("http://www.worldcat.org/oclc/11783029","WorldCat Record")</f>
        <v/>
      </c>
      <c r="AU1513" t="inlineStr">
        <is>
          <t>54696524:eng</t>
        </is>
      </c>
      <c r="AV1513" t="inlineStr">
        <is>
          <t>11783029</t>
        </is>
      </c>
      <c r="AW1513" t="inlineStr">
        <is>
          <t>991000588279702656</t>
        </is>
      </c>
      <c r="AX1513" t="inlineStr">
        <is>
          <t>991000588279702656</t>
        </is>
      </c>
      <c r="AY1513" t="inlineStr">
        <is>
          <t>2255206980002656</t>
        </is>
      </c>
      <c r="AZ1513" t="inlineStr">
        <is>
          <t>BOOK</t>
        </is>
      </c>
      <c r="BB1513" t="inlineStr">
        <is>
          <t>9780313235290</t>
        </is>
      </c>
      <c r="BC1513" t="inlineStr">
        <is>
          <t>32285001280154</t>
        </is>
      </c>
      <c r="BD1513" t="inlineStr">
        <is>
          <t>893714714</t>
        </is>
      </c>
    </row>
    <row r="1514">
      <c r="A1514" t="inlineStr">
        <is>
          <t>No</t>
        </is>
      </c>
      <c r="B1514" t="inlineStr">
        <is>
          <t>LC191.4 .F45 1998</t>
        </is>
      </c>
      <c r="C1514" t="inlineStr">
        <is>
          <t>0                      LC 0191400F  45          1998</t>
        </is>
      </c>
      <c r="D1514" t="inlineStr">
        <is>
          <t>Common schools/uncommon identities : national unity and cultural difference / Walter Feinberg.</t>
        </is>
      </c>
      <c r="F1514" t="inlineStr">
        <is>
          <t>No</t>
        </is>
      </c>
      <c r="G1514" t="inlineStr">
        <is>
          <t>1</t>
        </is>
      </c>
      <c r="H1514" t="inlineStr">
        <is>
          <t>No</t>
        </is>
      </c>
      <c r="I1514" t="inlineStr">
        <is>
          <t>No</t>
        </is>
      </c>
      <c r="J1514" t="inlineStr">
        <is>
          <t>0</t>
        </is>
      </c>
      <c r="K1514" t="inlineStr">
        <is>
          <t>Feinberg, Walter, 1937-</t>
        </is>
      </c>
      <c r="L1514" t="inlineStr">
        <is>
          <t>New Haven [Conn.] : Yale University Press, c1998.</t>
        </is>
      </c>
      <c r="M1514" t="inlineStr">
        <is>
          <t>1998</t>
        </is>
      </c>
      <c r="O1514" t="inlineStr">
        <is>
          <t>eng</t>
        </is>
      </c>
      <c r="P1514" t="inlineStr">
        <is>
          <t>ctu</t>
        </is>
      </c>
      <c r="R1514" t="inlineStr">
        <is>
          <t xml:space="preserve">LC </t>
        </is>
      </c>
      <c r="S1514" t="n">
        <v>2</v>
      </c>
      <c r="T1514" t="n">
        <v>2</v>
      </c>
      <c r="U1514" t="inlineStr">
        <is>
          <t>2001-12-04</t>
        </is>
      </c>
      <c r="V1514" t="inlineStr">
        <is>
          <t>2001-12-04</t>
        </is>
      </c>
      <c r="W1514" t="inlineStr">
        <is>
          <t>1999-01-04</t>
        </is>
      </c>
      <c r="X1514" t="inlineStr">
        <is>
          <t>1999-01-04</t>
        </is>
      </c>
      <c r="Y1514" t="n">
        <v>577</v>
      </c>
      <c r="Z1514" t="n">
        <v>510</v>
      </c>
      <c r="AA1514" t="n">
        <v>1100</v>
      </c>
      <c r="AB1514" t="n">
        <v>6</v>
      </c>
      <c r="AC1514" t="n">
        <v>9</v>
      </c>
      <c r="AD1514" t="n">
        <v>25</v>
      </c>
      <c r="AE1514" t="n">
        <v>36</v>
      </c>
      <c r="AF1514" t="n">
        <v>9</v>
      </c>
      <c r="AG1514" t="n">
        <v>14</v>
      </c>
      <c r="AH1514" t="n">
        <v>5</v>
      </c>
      <c r="AI1514" t="n">
        <v>9</v>
      </c>
      <c r="AJ1514" t="n">
        <v>12</v>
      </c>
      <c r="AK1514" t="n">
        <v>15</v>
      </c>
      <c r="AL1514" t="n">
        <v>5</v>
      </c>
      <c r="AM1514" t="n">
        <v>7</v>
      </c>
      <c r="AN1514" t="n">
        <v>1</v>
      </c>
      <c r="AO1514" t="n">
        <v>1</v>
      </c>
      <c r="AP1514" t="inlineStr">
        <is>
          <t>No</t>
        </is>
      </c>
      <c r="AQ1514" t="inlineStr">
        <is>
          <t>No</t>
        </is>
      </c>
      <c r="AS1514">
        <f>HYPERLINK("https://creighton-primo.hosted.exlibrisgroup.com/primo-explore/search?tab=default_tab&amp;search_scope=EVERYTHING&amp;vid=01CRU&amp;lang=en_US&amp;offset=0&amp;query=any,contains,991002915729702656","Catalog Record")</f>
        <v/>
      </c>
      <c r="AT1514">
        <f>HYPERLINK("http://www.worldcat.org/oclc/38550865","WorldCat Record")</f>
        <v/>
      </c>
      <c r="AU1514" t="inlineStr">
        <is>
          <t>799538667:eng</t>
        </is>
      </c>
      <c r="AV1514" t="inlineStr">
        <is>
          <t>38550865</t>
        </is>
      </c>
      <c r="AW1514" t="inlineStr">
        <is>
          <t>991002915729702656</t>
        </is>
      </c>
      <c r="AX1514" t="inlineStr">
        <is>
          <t>991002915729702656</t>
        </is>
      </c>
      <c r="AY1514" t="inlineStr">
        <is>
          <t>2268305550002656</t>
        </is>
      </c>
      <c r="AZ1514" t="inlineStr">
        <is>
          <t>BOOK</t>
        </is>
      </c>
      <c r="BB1514" t="inlineStr">
        <is>
          <t>9780300074222</t>
        </is>
      </c>
      <c r="BC1514" t="inlineStr">
        <is>
          <t>32285003508305</t>
        </is>
      </c>
      <c r="BD1514" t="inlineStr">
        <is>
          <t>893721710</t>
        </is>
      </c>
    </row>
    <row r="1515">
      <c r="A1515" t="inlineStr">
        <is>
          <t>No</t>
        </is>
      </c>
      <c r="B1515" t="inlineStr">
        <is>
          <t>LC191.4 .M38 1989</t>
        </is>
      </c>
      <c r="C1515" t="inlineStr">
        <is>
          <t>0                      LC 0191400M  38          1989</t>
        </is>
      </c>
      <c r="D1515" t="inlineStr">
        <is>
          <t>Life in schools : an introduction to critical pedagogy in the foundations of education / Peter McLaren.</t>
        </is>
      </c>
      <c r="F1515" t="inlineStr">
        <is>
          <t>No</t>
        </is>
      </c>
      <c r="G1515" t="inlineStr">
        <is>
          <t>1</t>
        </is>
      </c>
      <c r="H1515" t="inlineStr">
        <is>
          <t>No</t>
        </is>
      </c>
      <c r="I1515" t="inlineStr">
        <is>
          <t>No</t>
        </is>
      </c>
      <c r="J1515" t="inlineStr">
        <is>
          <t>0</t>
        </is>
      </c>
      <c r="K1515" t="inlineStr">
        <is>
          <t>McLaren, Peter, 1948-</t>
        </is>
      </c>
      <c r="L1515" t="inlineStr">
        <is>
          <t>New York : Longman, c1989.</t>
        </is>
      </c>
      <c r="M1515" t="inlineStr">
        <is>
          <t>1989</t>
        </is>
      </c>
      <c r="O1515" t="inlineStr">
        <is>
          <t>eng</t>
        </is>
      </c>
      <c r="P1515" t="inlineStr">
        <is>
          <t>nyu</t>
        </is>
      </c>
      <c r="R1515" t="inlineStr">
        <is>
          <t xml:space="preserve">LC </t>
        </is>
      </c>
      <c r="S1515" t="n">
        <v>4</v>
      </c>
      <c r="T1515" t="n">
        <v>4</v>
      </c>
      <c r="U1515" t="inlineStr">
        <is>
          <t>2005-07-07</t>
        </is>
      </c>
      <c r="V1515" t="inlineStr">
        <is>
          <t>2005-07-07</t>
        </is>
      </c>
      <c r="W1515" t="inlineStr">
        <is>
          <t>1992-08-21</t>
        </is>
      </c>
      <c r="X1515" t="inlineStr">
        <is>
          <t>1992-08-21</t>
        </is>
      </c>
      <c r="Y1515" t="n">
        <v>598</v>
      </c>
      <c r="Z1515" t="n">
        <v>521</v>
      </c>
      <c r="AA1515" t="n">
        <v>971</v>
      </c>
      <c r="AB1515" t="n">
        <v>4</v>
      </c>
      <c r="AC1515" t="n">
        <v>9</v>
      </c>
      <c r="AD1515" t="n">
        <v>27</v>
      </c>
      <c r="AE1515" t="n">
        <v>49</v>
      </c>
      <c r="AF1515" t="n">
        <v>13</v>
      </c>
      <c r="AG1515" t="n">
        <v>25</v>
      </c>
      <c r="AH1515" t="n">
        <v>6</v>
      </c>
      <c r="AI1515" t="n">
        <v>9</v>
      </c>
      <c r="AJ1515" t="n">
        <v>10</v>
      </c>
      <c r="AK1515" t="n">
        <v>20</v>
      </c>
      <c r="AL1515" t="n">
        <v>3</v>
      </c>
      <c r="AM1515" t="n">
        <v>8</v>
      </c>
      <c r="AN1515" t="n">
        <v>0</v>
      </c>
      <c r="AO1515" t="n">
        <v>0</v>
      </c>
      <c r="AP1515" t="inlineStr">
        <is>
          <t>No</t>
        </is>
      </c>
      <c r="AQ1515" t="inlineStr">
        <is>
          <t>Yes</t>
        </is>
      </c>
      <c r="AR1515">
        <f>HYPERLINK("http://catalog.hathitrust.org/Record/000928587","HathiTrust Record")</f>
        <v/>
      </c>
      <c r="AS1515">
        <f>HYPERLINK("https://creighton-primo.hosted.exlibrisgroup.com/primo-explore/search?tab=default_tab&amp;search_scope=EVERYTHING&amp;vid=01CRU&amp;lang=en_US&amp;offset=0&amp;query=any,contains,991001213459702656","Catalog Record")</f>
        <v/>
      </c>
      <c r="AT1515">
        <f>HYPERLINK("http://www.worldcat.org/oclc/17412363","WorldCat Record")</f>
        <v/>
      </c>
      <c r="AU1515" t="inlineStr">
        <is>
          <t>609876:eng</t>
        </is>
      </c>
      <c r="AV1515" t="inlineStr">
        <is>
          <t>17412363</t>
        </is>
      </c>
      <c r="AW1515" t="inlineStr">
        <is>
          <t>991001213459702656</t>
        </is>
      </c>
      <c r="AX1515" t="inlineStr">
        <is>
          <t>991001213459702656</t>
        </is>
      </c>
      <c r="AY1515" t="inlineStr">
        <is>
          <t>2264429840002656</t>
        </is>
      </c>
      <c r="AZ1515" t="inlineStr">
        <is>
          <t>BOOK</t>
        </is>
      </c>
      <c r="BB1515" t="inlineStr">
        <is>
          <t>9780582286832</t>
        </is>
      </c>
      <c r="BC1515" t="inlineStr">
        <is>
          <t>32285001280170</t>
        </is>
      </c>
      <c r="BD1515" t="inlineStr">
        <is>
          <t>893225699</t>
        </is>
      </c>
    </row>
    <row r="1516">
      <c r="A1516" t="inlineStr">
        <is>
          <t>No</t>
        </is>
      </c>
      <c r="B1516" t="inlineStr">
        <is>
          <t>LC191.8.G3 H34 1998</t>
        </is>
      </c>
      <c r="C1516" t="inlineStr">
        <is>
          <t>0                      LC 0191800G  3                  H  34          1998</t>
        </is>
      </c>
      <c r="D1516" t="inlineStr">
        <is>
          <t>Education and society in Germany / H.-J. Hahn.</t>
        </is>
      </c>
      <c r="F1516" t="inlineStr">
        <is>
          <t>No</t>
        </is>
      </c>
      <c r="G1516" t="inlineStr">
        <is>
          <t>1</t>
        </is>
      </c>
      <c r="H1516" t="inlineStr">
        <is>
          <t>No</t>
        </is>
      </c>
      <c r="I1516" t="inlineStr">
        <is>
          <t>No</t>
        </is>
      </c>
      <c r="J1516" t="inlineStr">
        <is>
          <t>0</t>
        </is>
      </c>
      <c r="K1516" t="inlineStr">
        <is>
          <t>Hahn, Hans-Joachim.</t>
        </is>
      </c>
      <c r="L1516" t="inlineStr">
        <is>
          <t>Oxford ; New York : Berg, 1998.</t>
        </is>
      </c>
      <c r="M1516" t="inlineStr">
        <is>
          <t>1998</t>
        </is>
      </c>
      <c r="O1516" t="inlineStr">
        <is>
          <t>eng</t>
        </is>
      </c>
      <c r="P1516" t="inlineStr">
        <is>
          <t>enk</t>
        </is>
      </c>
      <c r="R1516" t="inlineStr">
        <is>
          <t xml:space="preserve">LC </t>
        </is>
      </c>
      <c r="S1516" t="n">
        <v>1</v>
      </c>
      <c r="T1516" t="n">
        <v>1</v>
      </c>
      <c r="U1516" t="inlineStr">
        <is>
          <t>2001-12-03</t>
        </is>
      </c>
      <c r="V1516" t="inlineStr">
        <is>
          <t>2001-12-03</t>
        </is>
      </c>
      <c r="W1516" t="inlineStr">
        <is>
          <t>1998-10-08</t>
        </is>
      </c>
      <c r="X1516" t="inlineStr">
        <is>
          <t>1998-10-08</t>
        </is>
      </c>
      <c r="Y1516" t="n">
        <v>254</v>
      </c>
      <c r="Z1516" t="n">
        <v>150</v>
      </c>
      <c r="AA1516" t="n">
        <v>151</v>
      </c>
      <c r="AB1516" t="n">
        <v>2</v>
      </c>
      <c r="AC1516" t="n">
        <v>2</v>
      </c>
      <c r="AD1516" t="n">
        <v>11</v>
      </c>
      <c r="AE1516" t="n">
        <v>11</v>
      </c>
      <c r="AF1516" t="n">
        <v>3</v>
      </c>
      <c r="AG1516" t="n">
        <v>3</v>
      </c>
      <c r="AH1516" t="n">
        <v>3</v>
      </c>
      <c r="AI1516" t="n">
        <v>3</v>
      </c>
      <c r="AJ1516" t="n">
        <v>7</v>
      </c>
      <c r="AK1516" t="n">
        <v>7</v>
      </c>
      <c r="AL1516" t="n">
        <v>1</v>
      </c>
      <c r="AM1516" t="n">
        <v>1</v>
      </c>
      <c r="AN1516" t="n">
        <v>0</v>
      </c>
      <c r="AO1516" t="n">
        <v>0</v>
      </c>
      <c r="AP1516" t="inlineStr">
        <is>
          <t>No</t>
        </is>
      </c>
      <c r="AQ1516" t="inlineStr">
        <is>
          <t>Yes</t>
        </is>
      </c>
      <c r="AR1516">
        <f>HYPERLINK("http://catalog.hathitrust.org/Record/003969910","HathiTrust Record")</f>
        <v/>
      </c>
      <c r="AS1516">
        <f>HYPERLINK("https://creighton-primo.hosted.exlibrisgroup.com/primo-explore/search?tab=default_tab&amp;search_scope=EVERYTHING&amp;vid=01CRU&amp;lang=en_US&amp;offset=0&amp;query=any,contains,991002939739702656","Catalog Record")</f>
        <v/>
      </c>
      <c r="AT1516">
        <f>HYPERLINK("http://www.worldcat.org/oclc/39116389","WorldCat Record")</f>
        <v/>
      </c>
      <c r="AU1516" t="inlineStr">
        <is>
          <t>355843987:eng</t>
        </is>
      </c>
      <c r="AV1516" t="inlineStr">
        <is>
          <t>39116389</t>
        </is>
      </c>
      <c r="AW1516" t="inlineStr">
        <is>
          <t>991002939739702656</t>
        </is>
      </c>
      <c r="AX1516" t="inlineStr">
        <is>
          <t>991002939739702656</t>
        </is>
      </c>
      <c r="AY1516" t="inlineStr">
        <is>
          <t>2258376660002656</t>
        </is>
      </c>
      <c r="AZ1516" t="inlineStr">
        <is>
          <t>BOOK</t>
        </is>
      </c>
      <c r="BB1516" t="inlineStr">
        <is>
          <t>9781859739129</t>
        </is>
      </c>
      <c r="BC1516" t="inlineStr">
        <is>
          <t>32285003473948</t>
        </is>
      </c>
      <c r="BD1516" t="inlineStr">
        <is>
          <t>893717121</t>
        </is>
      </c>
    </row>
    <row r="1517">
      <c r="A1517" t="inlineStr">
        <is>
          <t>No</t>
        </is>
      </c>
      <c r="B1517" t="inlineStr">
        <is>
          <t>LC191.8.G72 E5355 2007</t>
        </is>
      </c>
      <c r="C1517" t="inlineStr">
        <is>
          <t>0                      LC 0191800G  72                 E  5355        2007</t>
        </is>
      </c>
      <c r="D1517" t="inlineStr">
        <is>
          <t>The death of progressive education : how teachers lost control of the classroom / Roy Lowe.</t>
        </is>
      </c>
      <c r="F1517" t="inlineStr">
        <is>
          <t>No</t>
        </is>
      </c>
      <c r="G1517" t="inlineStr">
        <is>
          <t>1</t>
        </is>
      </c>
      <c r="H1517" t="inlineStr">
        <is>
          <t>No</t>
        </is>
      </c>
      <c r="I1517" t="inlineStr">
        <is>
          <t>No</t>
        </is>
      </c>
      <c r="J1517" t="inlineStr">
        <is>
          <t>0</t>
        </is>
      </c>
      <c r="K1517" t="inlineStr">
        <is>
          <t>Lowe, Roy.</t>
        </is>
      </c>
      <c r="L1517" t="inlineStr">
        <is>
          <t>London ; New York : Routledge, 2007.</t>
        </is>
      </c>
      <c r="M1517" t="inlineStr">
        <is>
          <t>2007</t>
        </is>
      </c>
      <c r="O1517" t="inlineStr">
        <is>
          <t>eng</t>
        </is>
      </c>
      <c r="P1517" t="inlineStr">
        <is>
          <t>enk</t>
        </is>
      </c>
      <c r="R1517" t="inlineStr">
        <is>
          <t xml:space="preserve">LC </t>
        </is>
      </c>
      <c r="S1517" t="n">
        <v>1</v>
      </c>
      <c r="T1517" t="n">
        <v>1</v>
      </c>
      <c r="U1517" t="inlineStr">
        <is>
          <t>2009-09-29</t>
        </is>
      </c>
      <c r="V1517" t="inlineStr">
        <is>
          <t>2009-09-29</t>
        </is>
      </c>
      <c r="W1517" t="inlineStr">
        <is>
          <t>2009-09-29</t>
        </is>
      </c>
      <c r="X1517" t="inlineStr">
        <is>
          <t>2009-09-29</t>
        </is>
      </c>
      <c r="Y1517" t="n">
        <v>210</v>
      </c>
      <c r="Z1517" t="n">
        <v>121</v>
      </c>
      <c r="AA1517" t="n">
        <v>189</v>
      </c>
      <c r="AB1517" t="n">
        <v>2</v>
      </c>
      <c r="AC1517" t="n">
        <v>2</v>
      </c>
      <c r="AD1517" t="n">
        <v>7</v>
      </c>
      <c r="AE1517" t="n">
        <v>7</v>
      </c>
      <c r="AF1517" t="n">
        <v>2</v>
      </c>
      <c r="AG1517" t="n">
        <v>2</v>
      </c>
      <c r="AH1517" t="n">
        <v>1</v>
      </c>
      <c r="AI1517" t="n">
        <v>1</v>
      </c>
      <c r="AJ1517" t="n">
        <v>5</v>
      </c>
      <c r="AK1517" t="n">
        <v>5</v>
      </c>
      <c r="AL1517" t="n">
        <v>1</v>
      </c>
      <c r="AM1517" t="n">
        <v>1</v>
      </c>
      <c r="AN1517" t="n">
        <v>0</v>
      </c>
      <c r="AO1517" t="n">
        <v>0</v>
      </c>
      <c r="AP1517" t="inlineStr">
        <is>
          <t>No</t>
        </is>
      </c>
      <c r="AQ1517" t="inlineStr">
        <is>
          <t>No</t>
        </is>
      </c>
      <c r="AS1517">
        <f>HYPERLINK("https://creighton-primo.hosted.exlibrisgroup.com/primo-explore/search?tab=default_tab&amp;search_scope=EVERYTHING&amp;vid=01CRU&amp;lang=en_US&amp;offset=0&amp;query=any,contains,991005333109702656","Catalog Record")</f>
        <v/>
      </c>
      <c r="AT1517">
        <f>HYPERLINK("http://www.worldcat.org/oclc/79002133","WorldCat Record")</f>
        <v/>
      </c>
      <c r="AU1517" t="inlineStr">
        <is>
          <t>323498088:eng</t>
        </is>
      </c>
      <c r="AV1517" t="inlineStr">
        <is>
          <t>79002133</t>
        </is>
      </c>
      <c r="AW1517" t="inlineStr">
        <is>
          <t>991005333109702656</t>
        </is>
      </c>
      <c r="AX1517" t="inlineStr">
        <is>
          <t>991005333109702656</t>
        </is>
      </c>
      <c r="AY1517" t="inlineStr">
        <is>
          <t>2270668240002656</t>
        </is>
      </c>
      <c r="AZ1517" t="inlineStr">
        <is>
          <t>BOOK</t>
        </is>
      </c>
      <c r="BB1517" t="inlineStr">
        <is>
          <t>9780415359719</t>
        </is>
      </c>
      <c r="BC1517" t="inlineStr">
        <is>
          <t>32285005545966</t>
        </is>
      </c>
      <c r="BD1517" t="inlineStr">
        <is>
          <t>893795992</t>
        </is>
      </c>
    </row>
    <row r="1518">
      <c r="A1518" t="inlineStr">
        <is>
          <t>No</t>
        </is>
      </c>
      <c r="B1518" t="inlineStr">
        <is>
          <t>LC191.8.L37 A42 1993b</t>
        </is>
      </c>
      <c r="C1518" t="inlineStr">
        <is>
          <t>0                      LC 0191800L  37                 A  42          1993b</t>
        </is>
      </c>
      <c r="D1518" t="inlineStr">
        <is>
          <t>Education and society in Latin America / Orlando Albornoz.</t>
        </is>
      </c>
      <c r="F1518" t="inlineStr">
        <is>
          <t>No</t>
        </is>
      </c>
      <c r="G1518" t="inlineStr">
        <is>
          <t>1</t>
        </is>
      </c>
      <c r="H1518" t="inlineStr">
        <is>
          <t>No</t>
        </is>
      </c>
      <c r="I1518" t="inlineStr">
        <is>
          <t>No</t>
        </is>
      </c>
      <c r="J1518" t="inlineStr">
        <is>
          <t>0</t>
        </is>
      </c>
      <c r="K1518" t="inlineStr">
        <is>
          <t>Albornoz, Orlando, 1932-</t>
        </is>
      </c>
      <c r="L1518" t="inlineStr">
        <is>
          <t>Pittsburgh, Pa. : University of Pittsburgh Press, 1993.</t>
        </is>
      </c>
      <c r="M1518" t="inlineStr">
        <is>
          <t>1993</t>
        </is>
      </c>
      <c r="O1518" t="inlineStr">
        <is>
          <t>eng</t>
        </is>
      </c>
      <c r="P1518" t="inlineStr">
        <is>
          <t>pau</t>
        </is>
      </c>
      <c r="Q1518" t="inlineStr">
        <is>
          <t>Pitt Latin American series</t>
        </is>
      </c>
      <c r="R1518" t="inlineStr">
        <is>
          <t xml:space="preserve">LC </t>
        </is>
      </c>
      <c r="S1518" t="n">
        <v>3</v>
      </c>
      <c r="T1518" t="n">
        <v>3</v>
      </c>
      <c r="U1518" t="inlineStr">
        <is>
          <t>2005-08-29</t>
        </is>
      </c>
      <c r="V1518" t="inlineStr">
        <is>
          <t>2005-08-29</t>
        </is>
      </c>
      <c r="W1518" t="inlineStr">
        <is>
          <t>1993-11-22</t>
        </is>
      </c>
      <c r="X1518" t="inlineStr">
        <is>
          <t>1993-11-22</t>
        </is>
      </c>
      <c r="Y1518" t="n">
        <v>200</v>
      </c>
      <c r="Z1518" t="n">
        <v>179</v>
      </c>
      <c r="AA1518" t="n">
        <v>209</v>
      </c>
      <c r="AB1518" t="n">
        <v>3</v>
      </c>
      <c r="AC1518" t="n">
        <v>3</v>
      </c>
      <c r="AD1518" t="n">
        <v>11</v>
      </c>
      <c r="AE1518" t="n">
        <v>13</v>
      </c>
      <c r="AF1518" t="n">
        <v>3</v>
      </c>
      <c r="AG1518" t="n">
        <v>4</v>
      </c>
      <c r="AH1518" t="n">
        <v>3</v>
      </c>
      <c r="AI1518" t="n">
        <v>4</v>
      </c>
      <c r="AJ1518" t="n">
        <v>6</v>
      </c>
      <c r="AK1518" t="n">
        <v>8</v>
      </c>
      <c r="AL1518" t="n">
        <v>2</v>
      </c>
      <c r="AM1518" t="n">
        <v>2</v>
      </c>
      <c r="AN1518" t="n">
        <v>0</v>
      </c>
      <c r="AO1518" t="n">
        <v>0</v>
      </c>
      <c r="AP1518" t="inlineStr">
        <is>
          <t>No</t>
        </is>
      </c>
      <c r="AQ1518" t="inlineStr">
        <is>
          <t>Yes</t>
        </is>
      </c>
      <c r="AR1518">
        <f>HYPERLINK("http://catalog.hathitrust.org/Record/003980827","HathiTrust Record")</f>
        <v/>
      </c>
      <c r="AS1518">
        <f>HYPERLINK("https://creighton-primo.hosted.exlibrisgroup.com/primo-explore/search?tab=default_tab&amp;search_scope=EVERYTHING&amp;vid=01CRU&amp;lang=en_US&amp;offset=0&amp;query=any,contains,991002251219702656","Catalog Record")</f>
        <v/>
      </c>
      <c r="AT1518">
        <f>HYPERLINK("http://www.worldcat.org/oclc/29149630","WorldCat Record")</f>
        <v/>
      </c>
      <c r="AU1518" t="inlineStr">
        <is>
          <t>356194:eng</t>
        </is>
      </c>
      <c r="AV1518" t="inlineStr">
        <is>
          <t>29149630</t>
        </is>
      </c>
      <c r="AW1518" t="inlineStr">
        <is>
          <t>991002251219702656</t>
        </is>
      </c>
      <c r="AX1518" t="inlineStr">
        <is>
          <t>991002251219702656</t>
        </is>
      </c>
      <c r="AY1518" t="inlineStr">
        <is>
          <t>2255893240002656</t>
        </is>
      </c>
      <c r="AZ1518" t="inlineStr">
        <is>
          <t>BOOK</t>
        </is>
      </c>
      <c r="BB1518" t="inlineStr">
        <is>
          <t>9780822911753</t>
        </is>
      </c>
      <c r="BC1518" t="inlineStr">
        <is>
          <t>32285001415206</t>
        </is>
      </c>
      <c r="BD1518" t="inlineStr">
        <is>
          <t>893238830</t>
        </is>
      </c>
    </row>
    <row r="1519">
      <c r="A1519" t="inlineStr">
        <is>
          <t>No</t>
        </is>
      </c>
      <c r="B1519" t="inlineStr">
        <is>
          <t>LC192.6 .B47 1995</t>
        </is>
      </c>
      <c r="C1519" t="inlineStr">
        <is>
          <t>0                      LC 0192600B  47          1995</t>
        </is>
      </c>
      <c r="D1519" t="inlineStr">
        <is>
          <t>Gay and lesbian students : understanding their needs / Hilda F. Besner, Charlotte I. Spungin.</t>
        </is>
      </c>
      <c r="F1519" t="inlineStr">
        <is>
          <t>No</t>
        </is>
      </c>
      <c r="G1519" t="inlineStr">
        <is>
          <t>1</t>
        </is>
      </c>
      <c r="H1519" t="inlineStr">
        <is>
          <t>No</t>
        </is>
      </c>
      <c r="I1519" t="inlineStr">
        <is>
          <t>No</t>
        </is>
      </c>
      <c r="J1519" t="inlineStr">
        <is>
          <t>0</t>
        </is>
      </c>
      <c r="K1519" t="inlineStr">
        <is>
          <t>Besner, Hilda F.</t>
        </is>
      </c>
      <c r="L1519" t="inlineStr">
        <is>
          <t>Washington : Taylor &amp; Francis, c1995.</t>
        </is>
      </c>
      <c r="M1519" t="inlineStr">
        <is>
          <t>1995</t>
        </is>
      </c>
      <c r="O1519" t="inlineStr">
        <is>
          <t>eng</t>
        </is>
      </c>
      <c r="P1519" t="inlineStr">
        <is>
          <t>dcu</t>
        </is>
      </c>
      <c r="R1519" t="inlineStr">
        <is>
          <t xml:space="preserve">LC </t>
        </is>
      </c>
      <c r="S1519" t="n">
        <v>9</v>
      </c>
      <c r="T1519" t="n">
        <v>9</v>
      </c>
      <c r="U1519" t="inlineStr">
        <is>
          <t>2009-02-26</t>
        </is>
      </c>
      <c r="V1519" t="inlineStr">
        <is>
          <t>2009-02-26</t>
        </is>
      </c>
      <c r="W1519" t="inlineStr">
        <is>
          <t>1997-01-17</t>
        </is>
      </c>
      <c r="X1519" t="inlineStr">
        <is>
          <t>1997-01-17</t>
        </is>
      </c>
      <c r="Y1519" t="n">
        <v>577</v>
      </c>
      <c r="Z1519" t="n">
        <v>513</v>
      </c>
      <c r="AA1519" t="n">
        <v>517</v>
      </c>
      <c r="AB1519" t="n">
        <v>4</v>
      </c>
      <c r="AC1519" t="n">
        <v>4</v>
      </c>
      <c r="AD1519" t="n">
        <v>21</v>
      </c>
      <c r="AE1519" t="n">
        <v>21</v>
      </c>
      <c r="AF1519" t="n">
        <v>8</v>
      </c>
      <c r="AG1519" t="n">
        <v>8</v>
      </c>
      <c r="AH1519" t="n">
        <v>5</v>
      </c>
      <c r="AI1519" t="n">
        <v>5</v>
      </c>
      <c r="AJ1519" t="n">
        <v>10</v>
      </c>
      <c r="AK1519" t="n">
        <v>10</v>
      </c>
      <c r="AL1519" t="n">
        <v>3</v>
      </c>
      <c r="AM1519" t="n">
        <v>3</v>
      </c>
      <c r="AN1519" t="n">
        <v>0</v>
      </c>
      <c r="AO1519" t="n">
        <v>0</v>
      </c>
      <c r="AP1519" t="inlineStr">
        <is>
          <t>No</t>
        </is>
      </c>
      <c r="AQ1519" t="inlineStr">
        <is>
          <t>No</t>
        </is>
      </c>
      <c r="AS1519">
        <f>HYPERLINK("https://creighton-primo.hosted.exlibrisgroup.com/primo-explore/search?tab=default_tab&amp;search_scope=EVERYTHING&amp;vid=01CRU&amp;lang=en_US&amp;offset=0&amp;query=any,contains,991002505489702656","Catalog Record")</f>
        <v/>
      </c>
      <c r="AT1519">
        <f>HYPERLINK("http://www.worldcat.org/oclc/32589705","WorldCat Record")</f>
        <v/>
      </c>
      <c r="AU1519" t="inlineStr">
        <is>
          <t>836934448:eng</t>
        </is>
      </c>
      <c r="AV1519" t="inlineStr">
        <is>
          <t>32589705</t>
        </is>
      </c>
      <c r="AW1519" t="inlineStr">
        <is>
          <t>991002505489702656</t>
        </is>
      </c>
      <c r="AX1519" t="inlineStr">
        <is>
          <t>991002505489702656</t>
        </is>
      </c>
      <c r="AY1519" t="inlineStr">
        <is>
          <t>2260990640002656</t>
        </is>
      </c>
      <c r="AZ1519" t="inlineStr">
        <is>
          <t>BOOK</t>
        </is>
      </c>
      <c r="BB1519" t="inlineStr">
        <is>
          <t>9781560323372</t>
        </is>
      </c>
      <c r="BC1519" t="inlineStr">
        <is>
          <t>32285002408820</t>
        </is>
      </c>
      <c r="BD1519" t="inlineStr">
        <is>
          <t>893433963</t>
        </is>
      </c>
    </row>
    <row r="1520">
      <c r="A1520" t="inlineStr">
        <is>
          <t>No</t>
        </is>
      </c>
      <c r="B1520" t="inlineStr">
        <is>
          <t>LC192.6 .B49 1998</t>
        </is>
      </c>
      <c r="C1520" t="inlineStr">
        <is>
          <t>0                      LC 0192600B  49          1998</t>
        </is>
      </c>
      <c r="D1520" t="inlineStr">
        <is>
          <t>Training for professionals who work with gays and lesbians in educational and workplace settings / Hilda F. Besner, Charlotte I. Spungin.</t>
        </is>
      </c>
      <c r="F1520" t="inlineStr">
        <is>
          <t>No</t>
        </is>
      </c>
      <c r="G1520" t="inlineStr">
        <is>
          <t>1</t>
        </is>
      </c>
      <c r="H1520" t="inlineStr">
        <is>
          <t>No</t>
        </is>
      </c>
      <c r="I1520" t="inlineStr">
        <is>
          <t>No</t>
        </is>
      </c>
      <c r="J1520" t="inlineStr">
        <is>
          <t>0</t>
        </is>
      </c>
      <c r="K1520" t="inlineStr">
        <is>
          <t>Besner, Hilda F.</t>
        </is>
      </c>
      <c r="L1520" t="inlineStr">
        <is>
          <t>Washington : Accelerated Development, c1998.</t>
        </is>
      </c>
      <c r="M1520" t="inlineStr">
        <is>
          <t>1998</t>
        </is>
      </c>
      <c r="O1520" t="inlineStr">
        <is>
          <t>eng</t>
        </is>
      </c>
      <c r="P1520" t="inlineStr">
        <is>
          <t>dcu</t>
        </is>
      </c>
      <c r="R1520" t="inlineStr">
        <is>
          <t xml:space="preserve">LC </t>
        </is>
      </c>
      <c r="S1520" t="n">
        <v>2</v>
      </c>
      <c r="T1520" t="n">
        <v>2</v>
      </c>
      <c r="U1520" t="inlineStr">
        <is>
          <t>2009-02-26</t>
        </is>
      </c>
      <c r="V1520" t="inlineStr">
        <is>
          <t>2009-02-26</t>
        </is>
      </c>
      <c r="W1520" t="inlineStr">
        <is>
          <t>2001-02-05</t>
        </is>
      </c>
      <c r="X1520" t="inlineStr">
        <is>
          <t>2001-02-05</t>
        </is>
      </c>
      <c r="Y1520" t="n">
        <v>191</v>
      </c>
      <c r="Z1520" t="n">
        <v>168</v>
      </c>
      <c r="AA1520" t="n">
        <v>193</v>
      </c>
      <c r="AB1520" t="n">
        <v>2</v>
      </c>
      <c r="AC1520" t="n">
        <v>2</v>
      </c>
      <c r="AD1520" t="n">
        <v>10</v>
      </c>
      <c r="AE1520" t="n">
        <v>10</v>
      </c>
      <c r="AF1520" t="n">
        <v>2</v>
      </c>
      <c r="AG1520" t="n">
        <v>2</v>
      </c>
      <c r="AH1520" t="n">
        <v>2</v>
      </c>
      <c r="AI1520" t="n">
        <v>2</v>
      </c>
      <c r="AJ1520" t="n">
        <v>7</v>
      </c>
      <c r="AK1520" t="n">
        <v>7</v>
      </c>
      <c r="AL1520" t="n">
        <v>1</v>
      </c>
      <c r="AM1520" t="n">
        <v>1</v>
      </c>
      <c r="AN1520" t="n">
        <v>0</v>
      </c>
      <c r="AO1520" t="n">
        <v>0</v>
      </c>
      <c r="AP1520" t="inlineStr">
        <is>
          <t>No</t>
        </is>
      </c>
      <c r="AQ1520" t="inlineStr">
        <is>
          <t>No</t>
        </is>
      </c>
      <c r="AS1520">
        <f>HYPERLINK("https://creighton-primo.hosted.exlibrisgroup.com/primo-explore/search?tab=default_tab&amp;search_scope=EVERYTHING&amp;vid=01CRU&amp;lang=en_US&amp;offset=0&amp;query=any,contains,991003453489702656","Catalog Record")</f>
        <v/>
      </c>
      <c r="AT1520">
        <f>HYPERLINK("http://www.worldcat.org/oclc/37180831","WorldCat Record")</f>
        <v/>
      </c>
      <c r="AU1520" t="inlineStr">
        <is>
          <t>1102701200:eng</t>
        </is>
      </c>
      <c r="AV1520" t="inlineStr">
        <is>
          <t>37180831</t>
        </is>
      </c>
      <c r="AW1520" t="inlineStr">
        <is>
          <t>991003453489702656</t>
        </is>
      </c>
      <c r="AX1520" t="inlineStr">
        <is>
          <t>991003453489702656</t>
        </is>
      </c>
      <c r="AY1520" t="inlineStr">
        <is>
          <t>2257187100002656</t>
        </is>
      </c>
      <c r="AZ1520" t="inlineStr">
        <is>
          <t>BOOK</t>
        </is>
      </c>
      <c r="BB1520" t="inlineStr">
        <is>
          <t>9781560325666</t>
        </is>
      </c>
      <c r="BC1520" t="inlineStr">
        <is>
          <t>32285004293584</t>
        </is>
      </c>
      <c r="BD1520" t="inlineStr">
        <is>
          <t>893781026</t>
        </is>
      </c>
    </row>
    <row r="1521">
      <c r="A1521" t="inlineStr">
        <is>
          <t>No</t>
        </is>
      </c>
      <c r="B1521" t="inlineStr">
        <is>
          <t>LC192.6 .H37 1997</t>
        </is>
      </c>
      <c r="C1521" t="inlineStr">
        <is>
          <t>0                      LC 0192600H  37          1997</t>
        </is>
      </c>
      <c r="D1521" t="inlineStr">
        <is>
          <t>Gay and lesbian educators : personal freedoms, public constraints / Karen M. Harbeck.</t>
        </is>
      </c>
      <c r="F1521" t="inlineStr">
        <is>
          <t>No</t>
        </is>
      </c>
      <c r="G1521" t="inlineStr">
        <is>
          <t>1</t>
        </is>
      </c>
      <c r="H1521" t="inlineStr">
        <is>
          <t>Yes</t>
        </is>
      </c>
      <c r="I1521" t="inlineStr">
        <is>
          <t>No</t>
        </is>
      </c>
      <c r="J1521" t="inlineStr">
        <is>
          <t>0</t>
        </is>
      </c>
      <c r="K1521" t="inlineStr">
        <is>
          <t>Harbeck, Karen Marie.</t>
        </is>
      </c>
      <c r="L1521" t="inlineStr">
        <is>
          <t>Malden, MA : Amethyst, c1997.</t>
        </is>
      </c>
      <c r="M1521" t="inlineStr">
        <is>
          <t>1997</t>
        </is>
      </c>
      <c r="O1521" t="inlineStr">
        <is>
          <t>eng</t>
        </is>
      </c>
      <c r="P1521" t="inlineStr">
        <is>
          <t>mau</t>
        </is>
      </c>
      <c r="R1521" t="inlineStr">
        <is>
          <t xml:space="preserve">LC </t>
        </is>
      </c>
      <c r="S1521" t="n">
        <v>3</v>
      </c>
      <c r="T1521" t="n">
        <v>4</v>
      </c>
      <c r="U1521" t="inlineStr">
        <is>
          <t>2006-03-14</t>
        </is>
      </c>
      <c r="V1521" t="inlineStr">
        <is>
          <t>2006-03-14</t>
        </is>
      </c>
      <c r="W1521" t="inlineStr">
        <is>
          <t>1997-05-28</t>
        </is>
      </c>
      <c r="X1521" t="inlineStr">
        <is>
          <t>1997-07-01</t>
        </is>
      </c>
      <c r="Y1521" t="n">
        <v>429</v>
      </c>
      <c r="Z1521" t="n">
        <v>415</v>
      </c>
      <c r="AA1521" t="n">
        <v>421</v>
      </c>
      <c r="AB1521" t="n">
        <v>4</v>
      </c>
      <c r="AC1521" t="n">
        <v>4</v>
      </c>
      <c r="AD1521" t="n">
        <v>21</v>
      </c>
      <c r="AE1521" t="n">
        <v>21</v>
      </c>
      <c r="AF1521" t="n">
        <v>7</v>
      </c>
      <c r="AG1521" t="n">
        <v>7</v>
      </c>
      <c r="AH1521" t="n">
        <v>3</v>
      </c>
      <c r="AI1521" t="n">
        <v>3</v>
      </c>
      <c r="AJ1521" t="n">
        <v>12</v>
      </c>
      <c r="AK1521" t="n">
        <v>12</v>
      </c>
      <c r="AL1521" t="n">
        <v>2</v>
      </c>
      <c r="AM1521" t="n">
        <v>2</v>
      </c>
      <c r="AN1521" t="n">
        <v>2</v>
      </c>
      <c r="AO1521" t="n">
        <v>2</v>
      </c>
      <c r="AP1521" t="inlineStr">
        <is>
          <t>No</t>
        </is>
      </c>
      <c r="AQ1521" t="inlineStr">
        <is>
          <t>Yes</t>
        </is>
      </c>
      <c r="AR1521">
        <f>HYPERLINK("http://catalog.hathitrust.org/Record/003952467","HathiTrust Record")</f>
        <v/>
      </c>
      <c r="AS1521">
        <f>HYPERLINK("https://creighton-primo.hosted.exlibrisgroup.com/primo-explore/search?tab=default_tab&amp;search_scope=EVERYTHING&amp;vid=01CRU&amp;lang=en_US&amp;offset=0&amp;query=any,contains,991001674959702656","Catalog Record")</f>
        <v/>
      </c>
      <c r="AT1521">
        <f>HYPERLINK("http://www.worldcat.org/oclc/36398346","WorldCat Record")</f>
        <v/>
      </c>
      <c r="AU1521" t="inlineStr">
        <is>
          <t>285578485:eng</t>
        </is>
      </c>
      <c r="AV1521" t="inlineStr">
        <is>
          <t>36398346</t>
        </is>
      </c>
      <c r="AW1521" t="inlineStr">
        <is>
          <t>991001674959702656</t>
        </is>
      </c>
      <c r="AX1521" t="inlineStr">
        <is>
          <t>991001674959702656</t>
        </is>
      </c>
      <c r="AY1521" t="inlineStr">
        <is>
          <t>2257983700002656</t>
        </is>
      </c>
      <c r="AZ1521" t="inlineStr">
        <is>
          <t>BOOK</t>
        </is>
      </c>
      <c r="BB1521" t="inlineStr">
        <is>
          <t>9781889393483</t>
        </is>
      </c>
      <c r="BC1521" t="inlineStr">
        <is>
          <t>32285002612322</t>
        </is>
      </c>
      <c r="BD1521" t="inlineStr">
        <is>
          <t>893516389</t>
        </is>
      </c>
    </row>
    <row r="1522">
      <c r="A1522" t="inlineStr">
        <is>
          <t>No</t>
        </is>
      </c>
      <c r="B1522" t="inlineStr">
        <is>
          <t>LC192.6 .O74 1996</t>
        </is>
      </c>
      <c r="C1522" t="inlineStr">
        <is>
          <t>0                      LC 0192600O  74          1996</t>
        </is>
      </c>
      <c r="D1522" t="inlineStr">
        <is>
          <t>Open lives, safe schools / edited by Donovan R. Walling.</t>
        </is>
      </c>
      <c r="F1522" t="inlineStr">
        <is>
          <t>No</t>
        </is>
      </c>
      <c r="G1522" t="inlineStr">
        <is>
          <t>1</t>
        </is>
      </c>
      <c r="H1522" t="inlineStr">
        <is>
          <t>No</t>
        </is>
      </c>
      <c r="I1522" t="inlineStr">
        <is>
          <t>No</t>
        </is>
      </c>
      <c r="J1522" t="inlineStr">
        <is>
          <t>0</t>
        </is>
      </c>
      <c r="L1522" t="inlineStr">
        <is>
          <t>Bloomington, Ind. : Phi Delta Kappa Educational Foundation, c1996.</t>
        </is>
      </c>
      <c r="M1522" t="inlineStr">
        <is>
          <t>1996</t>
        </is>
      </c>
      <c r="O1522" t="inlineStr">
        <is>
          <t>eng</t>
        </is>
      </c>
      <c r="P1522" t="inlineStr">
        <is>
          <t>inu</t>
        </is>
      </c>
      <c r="R1522" t="inlineStr">
        <is>
          <t xml:space="preserve">LC </t>
        </is>
      </c>
      <c r="S1522" t="n">
        <v>1</v>
      </c>
      <c r="T1522" t="n">
        <v>1</v>
      </c>
      <c r="U1522" t="inlineStr">
        <is>
          <t>2006-02-13</t>
        </is>
      </c>
      <c r="V1522" t="inlineStr">
        <is>
          <t>2006-02-13</t>
        </is>
      </c>
      <c r="W1522" t="inlineStr">
        <is>
          <t>1997-11-14</t>
        </is>
      </c>
      <c r="X1522" t="inlineStr">
        <is>
          <t>1997-11-14</t>
        </is>
      </c>
      <c r="Y1522" t="n">
        <v>409</v>
      </c>
      <c r="Z1522" t="n">
        <v>384</v>
      </c>
      <c r="AA1522" t="n">
        <v>391</v>
      </c>
      <c r="AB1522" t="n">
        <v>3</v>
      </c>
      <c r="AC1522" t="n">
        <v>3</v>
      </c>
      <c r="AD1522" t="n">
        <v>18</v>
      </c>
      <c r="AE1522" t="n">
        <v>18</v>
      </c>
      <c r="AF1522" t="n">
        <v>9</v>
      </c>
      <c r="AG1522" t="n">
        <v>9</v>
      </c>
      <c r="AH1522" t="n">
        <v>1</v>
      </c>
      <c r="AI1522" t="n">
        <v>1</v>
      </c>
      <c r="AJ1522" t="n">
        <v>9</v>
      </c>
      <c r="AK1522" t="n">
        <v>9</v>
      </c>
      <c r="AL1522" t="n">
        <v>2</v>
      </c>
      <c r="AM1522" t="n">
        <v>2</v>
      </c>
      <c r="AN1522" t="n">
        <v>0</v>
      </c>
      <c r="AO1522" t="n">
        <v>0</v>
      </c>
      <c r="AP1522" t="inlineStr">
        <is>
          <t>No</t>
        </is>
      </c>
      <c r="AQ1522" t="inlineStr">
        <is>
          <t>Yes</t>
        </is>
      </c>
      <c r="AR1522">
        <f>HYPERLINK("http://catalog.hathitrust.org/Record/004537852","HathiTrust Record")</f>
        <v/>
      </c>
      <c r="AS1522">
        <f>HYPERLINK("https://creighton-primo.hosted.exlibrisgroup.com/primo-explore/search?tab=default_tab&amp;search_scope=EVERYTHING&amp;vid=01CRU&amp;lang=en_US&amp;offset=0&amp;query=any,contains,991002625249702656","Catalog Record")</f>
        <v/>
      </c>
      <c r="AT1522">
        <f>HYPERLINK("http://www.worldcat.org/oclc/34411355","WorldCat Record")</f>
        <v/>
      </c>
      <c r="AU1522" t="inlineStr">
        <is>
          <t>39381988:eng</t>
        </is>
      </c>
      <c r="AV1522" t="inlineStr">
        <is>
          <t>34411355</t>
        </is>
      </c>
      <c r="AW1522" t="inlineStr">
        <is>
          <t>991002625249702656</t>
        </is>
      </c>
      <c r="AX1522" t="inlineStr">
        <is>
          <t>991002625249702656</t>
        </is>
      </c>
      <c r="AY1522" t="inlineStr">
        <is>
          <t>2263138820002656</t>
        </is>
      </c>
      <c r="AZ1522" t="inlineStr">
        <is>
          <t>BOOK</t>
        </is>
      </c>
      <c r="BB1522" t="inlineStr">
        <is>
          <t>9780873674850</t>
        </is>
      </c>
      <c r="BC1522" t="inlineStr">
        <is>
          <t>32285003270138</t>
        </is>
      </c>
      <c r="BD1522" t="inlineStr">
        <is>
          <t>893597671</t>
        </is>
      </c>
    </row>
    <row r="1523">
      <c r="A1523" t="inlineStr">
        <is>
          <t>No</t>
        </is>
      </c>
      <c r="B1523" t="inlineStr">
        <is>
          <t>LC192.6 .P47 2001</t>
        </is>
      </c>
      <c r="C1523" t="inlineStr">
        <is>
          <t>0                      LC 0192600P  47          2001</t>
        </is>
      </c>
      <c r="D1523" t="inlineStr">
        <is>
          <t>When the drama club is not enough : lessons from the Safe Schools Program for Gay and Lesbian Students / Jeff Perrotti and Kim Westheimer.</t>
        </is>
      </c>
      <c r="F1523" t="inlineStr">
        <is>
          <t>No</t>
        </is>
      </c>
      <c r="G1523" t="inlineStr">
        <is>
          <t>1</t>
        </is>
      </c>
      <c r="H1523" t="inlineStr">
        <is>
          <t>No</t>
        </is>
      </c>
      <c r="I1523" t="inlineStr">
        <is>
          <t>No</t>
        </is>
      </c>
      <c r="J1523" t="inlineStr">
        <is>
          <t>0</t>
        </is>
      </c>
      <c r="K1523" t="inlineStr">
        <is>
          <t>Perrotti, Jeff.</t>
        </is>
      </c>
      <c r="L1523" t="inlineStr">
        <is>
          <t>Boston : Beacon Press, c2001.</t>
        </is>
      </c>
      <c r="M1523" t="inlineStr">
        <is>
          <t>2001</t>
        </is>
      </c>
      <c r="O1523" t="inlineStr">
        <is>
          <t>eng</t>
        </is>
      </c>
      <c r="P1523" t="inlineStr">
        <is>
          <t>mau</t>
        </is>
      </c>
      <c r="R1523" t="inlineStr">
        <is>
          <t xml:space="preserve">LC </t>
        </is>
      </c>
      <c r="S1523" t="n">
        <v>2</v>
      </c>
      <c r="T1523" t="n">
        <v>2</v>
      </c>
      <c r="U1523" t="inlineStr">
        <is>
          <t>2007-07-02</t>
        </is>
      </c>
      <c r="V1523" t="inlineStr">
        <is>
          <t>2007-07-02</t>
        </is>
      </c>
      <c r="W1523" t="inlineStr">
        <is>
          <t>2001-08-23</t>
        </is>
      </c>
      <c r="X1523" t="inlineStr">
        <is>
          <t>2001-08-23</t>
        </is>
      </c>
      <c r="Y1523" t="n">
        <v>517</v>
      </c>
      <c r="Z1523" t="n">
        <v>486</v>
      </c>
      <c r="AA1523" t="n">
        <v>1510</v>
      </c>
      <c r="AB1523" t="n">
        <v>4</v>
      </c>
      <c r="AC1523" t="n">
        <v>28</v>
      </c>
      <c r="AD1523" t="n">
        <v>22</v>
      </c>
      <c r="AE1523" t="n">
        <v>49</v>
      </c>
      <c r="AF1523" t="n">
        <v>10</v>
      </c>
      <c r="AG1523" t="n">
        <v>18</v>
      </c>
      <c r="AH1523" t="n">
        <v>5</v>
      </c>
      <c r="AI1523" t="n">
        <v>8</v>
      </c>
      <c r="AJ1523" t="n">
        <v>10</v>
      </c>
      <c r="AK1523" t="n">
        <v>18</v>
      </c>
      <c r="AL1523" t="n">
        <v>3</v>
      </c>
      <c r="AM1523" t="n">
        <v>13</v>
      </c>
      <c r="AN1523" t="n">
        <v>0</v>
      </c>
      <c r="AO1523" t="n">
        <v>1</v>
      </c>
      <c r="AP1523" t="inlineStr">
        <is>
          <t>No</t>
        </is>
      </c>
      <c r="AQ1523" t="inlineStr">
        <is>
          <t>Yes</t>
        </is>
      </c>
      <c r="AR1523">
        <f>HYPERLINK("http://catalog.hathitrust.org/Record/004584613","HathiTrust Record")</f>
        <v/>
      </c>
      <c r="AS1523">
        <f>HYPERLINK("https://creighton-primo.hosted.exlibrisgroup.com/primo-explore/search?tab=default_tab&amp;search_scope=EVERYTHING&amp;vid=01CRU&amp;lang=en_US&amp;offset=0&amp;query=any,contains,991003605279702656","Catalog Record")</f>
        <v/>
      </c>
      <c r="AT1523">
        <f>HYPERLINK("http://www.worldcat.org/oclc/46364647","WorldCat Record")</f>
        <v/>
      </c>
      <c r="AU1523" t="inlineStr">
        <is>
          <t>793861175:eng</t>
        </is>
      </c>
      <c r="AV1523" t="inlineStr">
        <is>
          <t>46364647</t>
        </is>
      </c>
      <c r="AW1523" t="inlineStr">
        <is>
          <t>991003605279702656</t>
        </is>
      </c>
      <c r="AX1523" t="inlineStr">
        <is>
          <t>991003605279702656</t>
        </is>
      </c>
      <c r="AY1523" t="inlineStr">
        <is>
          <t>2256130750002656</t>
        </is>
      </c>
      <c r="AZ1523" t="inlineStr">
        <is>
          <t>BOOK</t>
        </is>
      </c>
      <c r="BB1523" t="inlineStr">
        <is>
          <t>9780807031308</t>
        </is>
      </c>
      <c r="BC1523" t="inlineStr">
        <is>
          <t>32285004380373</t>
        </is>
      </c>
      <c r="BD1523" t="inlineStr">
        <is>
          <t>893324242</t>
        </is>
      </c>
    </row>
    <row r="1524">
      <c r="A1524" t="inlineStr">
        <is>
          <t>No</t>
        </is>
      </c>
      <c r="B1524" t="inlineStr">
        <is>
          <t>LC196 .D69 1993</t>
        </is>
      </c>
      <c r="C1524" t="inlineStr">
        <is>
          <t>0                      LC 0196000D  69          1993</t>
        </is>
      </c>
      <c r="D1524" t="inlineStr">
        <is>
          <t>Raising curtains on education : drama as a site for critical pedagogy / Clar Doyle.</t>
        </is>
      </c>
      <c r="F1524" t="inlineStr">
        <is>
          <t>No</t>
        </is>
      </c>
      <c r="G1524" t="inlineStr">
        <is>
          <t>1</t>
        </is>
      </c>
      <c r="H1524" t="inlineStr">
        <is>
          <t>No</t>
        </is>
      </c>
      <c r="I1524" t="inlineStr">
        <is>
          <t>No</t>
        </is>
      </c>
      <c r="J1524" t="inlineStr">
        <is>
          <t>0</t>
        </is>
      </c>
      <c r="K1524" t="inlineStr">
        <is>
          <t>Doyle, Clar.</t>
        </is>
      </c>
      <c r="L1524" t="inlineStr">
        <is>
          <t>Westport, Conn. : Bergin &amp; Garvey, 1993.</t>
        </is>
      </c>
      <c r="M1524" t="inlineStr">
        <is>
          <t>1993</t>
        </is>
      </c>
      <c r="O1524" t="inlineStr">
        <is>
          <t>eng</t>
        </is>
      </c>
      <c r="P1524" t="inlineStr">
        <is>
          <t>ctu</t>
        </is>
      </c>
      <c r="Q1524" t="inlineStr">
        <is>
          <t>Critical studies in education and culture series</t>
        </is>
      </c>
      <c r="R1524" t="inlineStr">
        <is>
          <t xml:space="preserve">LC </t>
        </is>
      </c>
      <c r="S1524" t="n">
        <v>2</v>
      </c>
      <c r="T1524" t="n">
        <v>2</v>
      </c>
      <c r="U1524" t="inlineStr">
        <is>
          <t>1995-09-10</t>
        </is>
      </c>
      <c r="V1524" t="inlineStr">
        <is>
          <t>1995-09-10</t>
        </is>
      </c>
      <c r="W1524" t="inlineStr">
        <is>
          <t>1993-08-09</t>
        </is>
      </c>
      <c r="X1524" t="inlineStr">
        <is>
          <t>1993-08-09</t>
        </is>
      </c>
      <c r="Y1524" t="n">
        <v>261</v>
      </c>
      <c r="Z1524" t="n">
        <v>207</v>
      </c>
      <c r="AA1524" t="n">
        <v>532</v>
      </c>
      <c r="AB1524" t="n">
        <v>2</v>
      </c>
      <c r="AC1524" t="n">
        <v>4</v>
      </c>
      <c r="AD1524" t="n">
        <v>14</v>
      </c>
      <c r="AE1524" t="n">
        <v>20</v>
      </c>
      <c r="AF1524" t="n">
        <v>3</v>
      </c>
      <c r="AG1524" t="n">
        <v>6</v>
      </c>
      <c r="AH1524" t="n">
        <v>4</v>
      </c>
      <c r="AI1524" t="n">
        <v>4</v>
      </c>
      <c r="AJ1524" t="n">
        <v>9</v>
      </c>
      <c r="AK1524" t="n">
        <v>11</v>
      </c>
      <c r="AL1524" t="n">
        <v>1</v>
      </c>
      <c r="AM1524" t="n">
        <v>3</v>
      </c>
      <c r="AN1524" t="n">
        <v>0</v>
      </c>
      <c r="AO1524" t="n">
        <v>0</v>
      </c>
      <c r="AP1524" t="inlineStr">
        <is>
          <t>No</t>
        </is>
      </c>
      <c r="AQ1524" t="inlineStr">
        <is>
          <t>Yes</t>
        </is>
      </c>
      <c r="AR1524">
        <f>HYPERLINK("http://catalog.hathitrust.org/Record/002638318","HathiTrust Record")</f>
        <v/>
      </c>
      <c r="AS1524">
        <f>HYPERLINK("https://creighton-primo.hosted.exlibrisgroup.com/primo-explore/search?tab=default_tab&amp;search_scope=EVERYTHING&amp;vid=01CRU&amp;lang=en_US&amp;offset=0&amp;query=any,contains,991002071839702656","Catalog Record")</f>
        <v/>
      </c>
      <c r="AT1524">
        <f>HYPERLINK("http://www.worldcat.org/oclc/26546787","WorldCat Record")</f>
        <v/>
      </c>
      <c r="AU1524" t="inlineStr">
        <is>
          <t>803882754:eng</t>
        </is>
      </c>
      <c r="AV1524" t="inlineStr">
        <is>
          <t>26546787</t>
        </is>
      </c>
      <c r="AW1524" t="inlineStr">
        <is>
          <t>991002071839702656</t>
        </is>
      </c>
      <c r="AX1524" t="inlineStr">
        <is>
          <t>991002071839702656</t>
        </is>
      </c>
      <c r="AY1524" t="inlineStr">
        <is>
          <t>2259861850002656</t>
        </is>
      </c>
      <c r="AZ1524" t="inlineStr">
        <is>
          <t>BOOK</t>
        </is>
      </c>
      <c r="BB1524" t="inlineStr">
        <is>
          <t>9780897892728</t>
        </is>
      </c>
      <c r="BC1524" t="inlineStr">
        <is>
          <t>32285001725570</t>
        </is>
      </c>
      <c r="BD1524" t="inlineStr">
        <is>
          <t>893352143</t>
        </is>
      </c>
    </row>
    <row r="1525">
      <c r="A1525" t="inlineStr">
        <is>
          <t>No</t>
        </is>
      </c>
      <c r="B1525" t="inlineStr">
        <is>
          <t>LC196 .K368 1997</t>
        </is>
      </c>
      <c r="C1525" t="inlineStr">
        <is>
          <t>0                      LC 0196000K  368         1997</t>
        </is>
      </c>
      <c r="D1525" t="inlineStr">
        <is>
          <t>Issues and trends in critical pedagogy / Barry Kanpol.</t>
        </is>
      </c>
      <c r="F1525" t="inlineStr">
        <is>
          <t>No</t>
        </is>
      </c>
      <c r="G1525" t="inlineStr">
        <is>
          <t>1</t>
        </is>
      </c>
      <c r="H1525" t="inlineStr">
        <is>
          <t>No</t>
        </is>
      </c>
      <c r="I1525" t="inlineStr">
        <is>
          <t>No</t>
        </is>
      </c>
      <c r="J1525" t="inlineStr">
        <is>
          <t>0</t>
        </is>
      </c>
      <c r="K1525" t="inlineStr">
        <is>
          <t>Kanpol, Barry.</t>
        </is>
      </c>
      <c r="L1525" t="inlineStr">
        <is>
          <t>Cresskill, N.J. : Hampton Press, c1997.</t>
        </is>
      </c>
      <c r="M1525" t="inlineStr">
        <is>
          <t>1997</t>
        </is>
      </c>
      <c r="O1525" t="inlineStr">
        <is>
          <t>eng</t>
        </is>
      </c>
      <c r="P1525" t="inlineStr">
        <is>
          <t>nju</t>
        </is>
      </c>
      <c r="Q1525" t="inlineStr">
        <is>
          <t>Critical education and ethics</t>
        </is>
      </c>
      <c r="R1525" t="inlineStr">
        <is>
          <t xml:space="preserve">LC </t>
        </is>
      </c>
      <c r="S1525" t="n">
        <v>1</v>
      </c>
      <c r="T1525" t="n">
        <v>1</v>
      </c>
      <c r="U1525" t="inlineStr">
        <is>
          <t>2006-04-13</t>
        </is>
      </c>
      <c r="V1525" t="inlineStr">
        <is>
          <t>2006-04-13</t>
        </is>
      </c>
      <c r="W1525" t="inlineStr">
        <is>
          <t>2006-04-13</t>
        </is>
      </c>
      <c r="X1525" t="inlineStr">
        <is>
          <t>2006-04-13</t>
        </is>
      </c>
      <c r="Y1525" t="n">
        <v>166</v>
      </c>
      <c r="Z1525" t="n">
        <v>127</v>
      </c>
      <c r="AA1525" t="n">
        <v>132</v>
      </c>
      <c r="AB1525" t="n">
        <v>3</v>
      </c>
      <c r="AC1525" t="n">
        <v>3</v>
      </c>
      <c r="AD1525" t="n">
        <v>9</v>
      </c>
      <c r="AE1525" t="n">
        <v>9</v>
      </c>
      <c r="AF1525" t="n">
        <v>3</v>
      </c>
      <c r="AG1525" t="n">
        <v>3</v>
      </c>
      <c r="AH1525" t="n">
        <v>2</v>
      </c>
      <c r="AI1525" t="n">
        <v>2</v>
      </c>
      <c r="AJ1525" t="n">
        <v>6</v>
      </c>
      <c r="AK1525" t="n">
        <v>6</v>
      </c>
      <c r="AL1525" t="n">
        <v>2</v>
      </c>
      <c r="AM1525" t="n">
        <v>2</v>
      </c>
      <c r="AN1525" t="n">
        <v>0</v>
      </c>
      <c r="AO1525" t="n">
        <v>0</v>
      </c>
      <c r="AP1525" t="inlineStr">
        <is>
          <t>No</t>
        </is>
      </c>
      <c r="AQ1525" t="inlineStr">
        <is>
          <t>No</t>
        </is>
      </c>
      <c r="AS1525">
        <f>HYPERLINK("https://creighton-primo.hosted.exlibrisgroup.com/primo-explore/search?tab=default_tab&amp;search_scope=EVERYTHING&amp;vid=01CRU&amp;lang=en_US&amp;offset=0&amp;query=any,contains,991004782259702656","Catalog Record")</f>
        <v/>
      </c>
      <c r="AT1525">
        <f>HYPERLINK("http://www.worldcat.org/oclc/35574665","WorldCat Record")</f>
        <v/>
      </c>
      <c r="AU1525" t="inlineStr">
        <is>
          <t>40549007:eng</t>
        </is>
      </c>
      <c r="AV1525" t="inlineStr">
        <is>
          <t>35574665</t>
        </is>
      </c>
      <c r="AW1525" t="inlineStr">
        <is>
          <t>991004782259702656</t>
        </is>
      </c>
      <c r="AX1525" t="inlineStr">
        <is>
          <t>991004782259702656</t>
        </is>
      </c>
      <c r="AY1525" t="inlineStr">
        <is>
          <t>2257624690002656</t>
        </is>
      </c>
      <c r="AZ1525" t="inlineStr">
        <is>
          <t>BOOK</t>
        </is>
      </c>
      <c r="BB1525" t="inlineStr">
        <is>
          <t>9781572730847</t>
        </is>
      </c>
      <c r="BC1525" t="inlineStr">
        <is>
          <t>32285005181366</t>
        </is>
      </c>
      <c r="BD1525" t="inlineStr">
        <is>
          <t>893443051</t>
        </is>
      </c>
    </row>
    <row r="1526">
      <c r="A1526" t="inlineStr">
        <is>
          <t>No</t>
        </is>
      </c>
      <c r="B1526" t="inlineStr">
        <is>
          <t>LC196.5.D6 S67 2001</t>
        </is>
      </c>
      <c r="C1526" t="inlineStr">
        <is>
          <t>0                      LC 0196500D  6                  S  67          2001</t>
        </is>
      </c>
      <c r="D1526" t="inlineStr">
        <is>
          <t>Animaci©đn escolar : manual de dinamizaci©đn did©Łctica / Jos©♭ Rafael Sosa.</t>
        </is>
      </c>
      <c r="F1526" t="inlineStr">
        <is>
          <t>No</t>
        </is>
      </c>
      <c r="G1526" t="inlineStr">
        <is>
          <t>1</t>
        </is>
      </c>
      <c r="H1526" t="inlineStr">
        <is>
          <t>No</t>
        </is>
      </c>
      <c r="I1526" t="inlineStr">
        <is>
          <t>No</t>
        </is>
      </c>
      <c r="J1526" t="inlineStr">
        <is>
          <t>0</t>
        </is>
      </c>
      <c r="K1526" t="inlineStr">
        <is>
          <t>Sosa, José Rafael.</t>
        </is>
      </c>
      <c r="L1526" t="inlineStr">
        <is>
          <t>Santo Domingo, R.D. : Editora Buho, 2001.</t>
        </is>
      </c>
      <c r="M1526" t="inlineStr">
        <is>
          <t>2001</t>
        </is>
      </c>
      <c r="N1526" t="inlineStr">
        <is>
          <t>1. ed.</t>
        </is>
      </c>
      <c r="O1526" t="inlineStr">
        <is>
          <t>spa</t>
        </is>
      </c>
      <c r="P1526" t="inlineStr">
        <is>
          <t xml:space="preserve">dr </t>
        </is>
      </c>
      <c r="R1526" t="inlineStr">
        <is>
          <t xml:space="preserve">LC </t>
        </is>
      </c>
      <c r="S1526" t="n">
        <v>1</v>
      </c>
      <c r="T1526" t="n">
        <v>1</v>
      </c>
      <c r="U1526" t="inlineStr">
        <is>
          <t>2006-02-10</t>
        </is>
      </c>
      <c r="V1526" t="inlineStr">
        <is>
          <t>2006-02-10</t>
        </is>
      </c>
      <c r="W1526" t="inlineStr">
        <is>
          <t>2006-01-23</t>
        </is>
      </c>
      <c r="X1526" t="inlineStr">
        <is>
          <t>2006-01-23</t>
        </is>
      </c>
      <c r="Y1526" t="n">
        <v>3</v>
      </c>
      <c r="Z1526" t="n">
        <v>3</v>
      </c>
      <c r="AA1526" t="n">
        <v>3</v>
      </c>
      <c r="AB1526" t="n">
        <v>1</v>
      </c>
      <c r="AC1526" t="n">
        <v>1</v>
      </c>
      <c r="AD1526" t="n">
        <v>0</v>
      </c>
      <c r="AE1526" t="n">
        <v>0</v>
      </c>
      <c r="AF1526" t="n">
        <v>0</v>
      </c>
      <c r="AG1526" t="n">
        <v>0</v>
      </c>
      <c r="AH1526" t="n">
        <v>0</v>
      </c>
      <c r="AI1526" t="n">
        <v>0</v>
      </c>
      <c r="AJ1526" t="n">
        <v>0</v>
      </c>
      <c r="AK1526" t="n">
        <v>0</v>
      </c>
      <c r="AL1526" t="n">
        <v>0</v>
      </c>
      <c r="AM1526" t="n">
        <v>0</v>
      </c>
      <c r="AN1526" t="n">
        <v>0</v>
      </c>
      <c r="AO1526" t="n">
        <v>0</v>
      </c>
      <c r="AP1526" t="inlineStr">
        <is>
          <t>No</t>
        </is>
      </c>
      <c r="AQ1526" t="inlineStr">
        <is>
          <t>No</t>
        </is>
      </c>
      <c r="AS1526">
        <f>HYPERLINK("https://creighton-primo.hosted.exlibrisgroup.com/primo-explore/search?tab=default_tab&amp;search_scope=EVERYTHING&amp;vid=01CRU&amp;lang=en_US&amp;offset=0&amp;query=any,contains,991004720949702656","Catalog Record")</f>
        <v/>
      </c>
      <c r="AT1526">
        <f>HYPERLINK("http://www.worldcat.org/oclc/62752714","WorldCat Record")</f>
        <v/>
      </c>
      <c r="AU1526" t="inlineStr">
        <is>
          <t>47070555:spa</t>
        </is>
      </c>
      <c r="AV1526" t="inlineStr">
        <is>
          <t>62752714</t>
        </is>
      </c>
      <c r="AW1526" t="inlineStr">
        <is>
          <t>991004720949702656</t>
        </is>
      </c>
      <c r="AX1526" t="inlineStr">
        <is>
          <t>991004720949702656</t>
        </is>
      </c>
      <c r="AY1526" t="inlineStr">
        <is>
          <t>2267220840002656</t>
        </is>
      </c>
      <c r="AZ1526" t="inlineStr">
        <is>
          <t>BOOK</t>
        </is>
      </c>
      <c r="BB1526" t="inlineStr">
        <is>
          <t>9789993410058</t>
        </is>
      </c>
      <c r="BC1526" t="inlineStr">
        <is>
          <t>32285005100739</t>
        </is>
      </c>
      <c r="BD1526" t="inlineStr">
        <is>
          <t>893619009</t>
        </is>
      </c>
    </row>
    <row r="1527">
      <c r="A1527" t="inlineStr">
        <is>
          <t>No</t>
        </is>
      </c>
      <c r="B1527" t="inlineStr">
        <is>
          <t>LC196.5.U6 G36 1994</t>
        </is>
      </c>
      <c r="C1527" t="inlineStr">
        <is>
          <t>0                      LC 0196500U  6                  G  36          1994</t>
        </is>
      </c>
      <c r="D1527" t="inlineStr">
        <is>
          <t>Transforming mind : a critical cognitive activity / Gloria Gannaway.</t>
        </is>
      </c>
      <c r="F1527" t="inlineStr">
        <is>
          <t>No</t>
        </is>
      </c>
      <c r="G1527" t="inlineStr">
        <is>
          <t>1</t>
        </is>
      </c>
      <c r="H1527" t="inlineStr">
        <is>
          <t>No</t>
        </is>
      </c>
      <c r="I1527" t="inlineStr">
        <is>
          <t>No</t>
        </is>
      </c>
      <c r="J1527" t="inlineStr">
        <is>
          <t>0</t>
        </is>
      </c>
      <c r="K1527" t="inlineStr">
        <is>
          <t>Gannaway, Gloria.</t>
        </is>
      </c>
      <c r="L1527" t="inlineStr">
        <is>
          <t>Westport, Ct. : Bergin &amp; Garvey, 1994.</t>
        </is>
      </c>
      <c r="M1527" t="inlineStr">
        <is>
          <t>1994</t>
        </is>
      </c>
      <c r="O1527" t="inlineStr">
        <is>
          <t>eng</t>
        </is>
      </c>
      <c r="P1527" t="inlineStr">
        <is>
          <t>ctu</t>
        </is>
      </c>
      <c r="Q1527" t="inlineStr">
        <is>
          <t>Series in language and ideology, 1069-6806</t>
        </is>
      </c>
      <c r="R1527" t="inlineStr">
        <is>
          <t xml:space="preserve">LC </t>
        </is>
      </c>
      <c r="S1527" t="n">
        <v>4</v>
      </c>
      <c r="T1527" t="n">
        <v>4</v>
      </c>
      <c r="U1527" t="inlineStr">
        <is>
          <t>1996-11-04</t>
        </is>
      </c>
      <c r="V1527" t="inlineStr">
        <is>
          <t>1996-11-04</t>
        </is>
      </c>
      <c r="W1527" t="inlineStr">
        <is>
          <t>1994-07-21</t>
        </is>
      </c>
      <c r="X1527" t="inlineStr">
        <is>
          <t>1994-07-21</t>
        </is>
      </c>
      <c r="Y1527" t="n">
        <v>273</v>
      </c>
      <c r="Z1527" t="n">
        <v>221</v>
      </c>
      <c r="AA1527" t="n">
        <v>592</v>
      </c>
      <c r="AB1527" t="n">
        <v>3</v>
      </c>
      <c r="AC1527" t="n">
        <v>5</v>
      </c>
      <c r="AD1527" t="n">
        <v>11</v>
      </c>
      <c r="AE1527" t="n">
        <v>18</v>
      </c>
      <c r="AF1527" t="n">
        <v>0</v>
      </c>
      <c r="AG1527" t="n">
        <v>3</v>
      </c>
      <c r="AH1527" t="n">
        <v>4</v>
      </c>
      <c r="AI1527" t="n">
        <v>5</v>
      </c>
      <c r="AJ1527" t="n">
        <v>7</v>
      </c>
      <c r="AK1527" t="n">
        <v>10</v>
      </c>
      <c r="AL1527" t="n">
        <v>2</v>
      </c>
      <c r="AM1527" t="n">
        <v>4</v>
      </c>
      <c r="AN1527" t="n">
        <v>0</v>
      </c>
      <c r="AO1527" t="n">
        <v>0</v>
      </c>
      <c r="AP1527" t="inlineStr">
        <is>
          <t>No</t>
        </is>
      </c>
      <c r="AQ1527" t="inlineStr">
        <is>
          <t>Yes</t>
        </is>
      </c>
      <c r="AR1527">
        <f>HYPERLINK("http://catalog.hathitrust.org/Record/002886240","HathiTrust Record")</f>
        <v/>
      </c>
      <c r="AS1527">
        <f>HYPERLINK("https://creighton-primo.hosted.exlibrisgroup.com/primo-explore/search?tab=default_tab&amp;search_scope=EVERYTHING&amp;vid=01CRU&amp;lang=en_US&amp;offset=0&amp;query=any,contains,991002216609702656","Catalog Record")</f>
        <v/>
      </c>
      <c r="AT1527">
        <f>HYPERLINK("http://www.worldcat.org/oclc/28547973","WorldCat Record")</f>
        <v/>
      </c>
      <c r="AU1527" t="inlineStr">
        <is>
          <t>353424277:eng</t>
        </is>
      </c>
      <c r="AV1527" t="inlineStr">
        <is>
          <t>28547973</t>
        </is>
      </c>
      <c r="AW1527" t="inlineStr">
        <is>
          <t>991002216609702656</t>
        </is>
      </c>
      <c r="AX1527" t="inlineStr">
        <is>
          <t>991002216609702656</t>
        </is>
      </c>
      <c r="AY1527" t="inlineStr">
        <is>
          <t>2257750120002656</t>
        </is>
      </c>
      <c r="AZ1527" t="inlineStr">
        <is>
          <t>BOOK</t>
        </is>
      </c>
      <c r="BB1527" t="inlineStr">
        <is>
          <t>9780897892797</t>
        </is>
      </c>
      <c r="BC1527" t="inlineStr">
        <is>
          <t>32285001932283</t>
        </is>
      </c>
      <c r="BD1527" t="inlineStr">
        <is>
          <t>893497842</t>
        </is>
      </c>
    </row>
    <row r="1528">
      <c r="A1528" t="inlineStr">
        <is>
          <t>No</t>
        </is>
      </c>
      <c r="B1528" t="inlineStr">
        <is>
          <t>LC196.5.U6 K36 1998</t>
        </is>
      </c>
      <c r="C1528" t="inlineStr">
        <is>
          <t>0                      LC 0196500U  6                  K  36          1998</t>
        </is>
      </c>
      <c r="D1528" t="inlineStr">
        <is>
          <t>Teachers talking back and breaking bread / Barry Kanpol.</t>
        </is>
      </c>
      <c r="F1528" t="inlineStr">
        <is>
          <t>No</t>
        </is>
      </c>
      <c r="G1528" t="inlineStr">
        <is>
          <t>1</t>
        </is>
      </c>
      <c r="H1528" t="inlineStr">
        <is>
          <t>No</t>
        </is>
      </c>
      <c r="I1528" t="inlineStr">
        <is>
          <t>No</t>
        </is>
      </c>
      <c r="J1528" t="inlineStr">
        <is>
          <t>0</t>
        </is>
      </c>
      <c r="K1528" t="inlineStr">
        <is>
          <t>Kanpol, Barry.</t>
        </is>
      </c>
      <c r="L1528" t="inlineStr">
        <is>
          <t>Cresskill, N.J. : Hampton Press, c1998.</t>
        </is>
      </c>
      <c r="M1528" t="inlineStr">
        <is>
          <t>1998</t>
        </is>
      </c>
      <c r="O1528" t="inlineStr">
        <is>
          <t>eng</t>
        </is>
      </c>
      <c r="P1528" t="inlineStr">
        <is>
          <t>nju</t>
        </is>
      </c>
      <c r="Q1528" t="inlineStr">
        <is>
          <t>Critical education and ethics</t>
        </is>
      </c>
      <c r="R1528" t="inlineStr">
        <is>
          <t xml:space="preserve">LC </t>
        </is>
      </c>
      <c r="S1528" t="n">
        <v>1</v>
      </c>
      <c r="T1528" t="n">
        <v>1</v>
      </c>
      <c r="U1528" t="inlineStr">
        <is>
          <t>2006-04-13</t>
        </is>
      </c>
      <c r="V1528" t="inlineStr">
        <is>
          <t>2006-04-13</t>
        </is>
      </c>
      <c r="W1528" t="inlineStr">
        <is>
          <t>2006-04-13</t>
        </is>
      </c>
      <c r="X1528" t="inlineStr">
        <is>
          <t>2006-04-13</t>
        </is>
      </c>
      <c r="Y1528" t="n">
        <v>149</v>
      </c>
      <c r="Z1528" t="n">
        <v>134</v>
      </c>
      <c r="AA1528" t="n">
        <v>135</v>
      </c>
      <c r="AB1528" t="n">
        <v>2</v>
      </c>
      <c r="AC1528" t="n">
        <v>2</v>
      </c>
      <c r="AD1528" t="n">
        <v>11</v>
      </c>
      <c r="AE1528" t="n">
        <v>11</v>
      </c>
      <c r="AF1528" t="n">
        <v>1</v>
      </c>
      <c r="AG1528" t="n">
        <v>1</v>
      </c>
      <c r="AH1528" t="n">
        <v>4</v>
      </c>
      <c r="AI1528" t="n">
        <v>4</v>
      </c>
      <c r="AJ1528" t="n">
        <v>7</v>
      </c>
      <c r="AK1528" t="n">
        <v>7</v>
      </c>
      <c r="AL1528" t="n">
        <v>1</v>
      </c>
      <c r="AM1528" t="n">
        <v>1</v>
      </c>
      <c r="AN1528" t="n">
        <v>0</v>
      </c>
      <c r="AO1528" t="n">
        <v>0</v>
      </c>
      <c r="AP1528" t="inlineStr">
        <is>
          <t>No</t>
        </is>
      </c>
      <c r="AQ1528" t="inlineStr">
        <is>
          <t>Yes</t>
        </is>
      </c>
      <c r="AR1528">
        <f>HYPERLINK("http://catalog.hathitrust.org/Record/003981193","HathiTrust Record")</f>
        <v/>
      </c>
      <c r="AS1528">
        <f>HYPERLINK("https://creighton-primo.hosted.exlibrisgroup.com/primo-explore/search?tab=default_tab&amp;search_scope=EVERYTHING&amp;vid=01CRU&amp;lang=en_US&amp;offset=0&amp;query=any,contains,991004782239702656","Catalog Record")</f>
        <v/>
      </c>
      <c r="AT1528">
        <f>HYPERLINK("http://www.worldcat.org/oclc/38104598","WorldCat Record")</f>
        <v/>
      </c>
      <c r="AU1528" t="inlineStr">
        <is>
          <t>684964:eng</t>
        </is>
      </c>
      <c r="AV1528" t="inlineStr">
        <is>
          <t>38104598</t>
        </is>
      </c>
      <c r="AW1528" t="inlineStr">
        <is>
          <t>991004782239702656</t>
        </is>
      </c>
      <c r="AX1528" t="inlineStr">
        <is>
          <t>991004782239702656</t>
        </is>
      </c>
      <c r="AY1528" t="inlineStr">
        <is>
          <t>2267699230002656</t>
        </is>
      </c>
      <c r="AZ1528" t="inlineStr">
        <is>
          <t>BOOK</t>
        </is>
      </c>
      <c r="BB1528" t="inlineStr">
        <is>
          <t>9781572731516</t>
        </is>
      </c>
      <c r="BC1528" t="inlineStr">
        <is>
          <t>32285005181358</t>
        </is>
      </c>
      <c r="BD1528" t="inlineStr">
        <is>
          <t>893411938</t>
        </is>
      </c>
    </row>
    <row r="1529">
      <c r="A1529" t="inlineStr">
        <is>
          <t>No</t>
        </is>
      </c>
      <c r="B1529" t="inlineStr">
        <is>
          <t>LC196.5.U6 K45 1995</t>
        </is>
      </c>
      <c r="C1529" t="inlineStr">
        <is>
          <t>0                      LC 0196500U  6                  K  45          1995</t>
        </is>
      </c>
      <c r="D1529" t="inlineStr">
        <is>
          <t>Education, democracy, and public knowledge / Elizabeth A. Kelly.</t>
        </is>
      </c>
      <c r="F1529" t="inlineStr">
        <is>
          <t>No</t>
        </is>
      </c>
      <c r="G1529" t="inlineStr">
        <is>
          <t>1</t>
        </is>
      </c>
      <c r="H1529" t="inlineStr">
        <is>
          <t>No</t>
        </is>
      </c>
      <c r="I1529" t="inlineStr">
        <is>
          <t>No</t>
        </is>
      </c>
      <c r="J1529" t="inlineStr">
        <is>
          <t>0</t>
        </is>
      </c>
      <c r="K1529" t="inlineStr">
        <is>
          <t>Kelly, Elizabeth A.</t>
        </is>
      </c>
      <c r="L1529" t="inlineStr">
        <is>
          <t>Boulder, Colo. : Westview Press, 1995.</t>
        </is>
      </c>
      <c r="M1529" t="inlineStr">
        <is>
          <t>1995</t>
        </is>
      </c>
      <c r="O1529" t="inlineStr">
        <is>
          <t>eng</t>
        </is>
      </c>
      <c r="P1529" t="inlineStr">
        <is>
          <t>cou</t>
        </is>
      </c>
      <c r="Q1529" t="inlineStr">
        <is>
          <t>Interventions</t>
        </is>
      </c>
      <c r="R1529" t="inlineStr">
        <is>
          <t xml:space="preserve">LC </t>
        </is>
      </c>
      <c r="S1529" t="n">
        <v>1</v>
      </c>
      <c r="T1529" t="n">
        <v>1</v>
      </c>
      <c r="U1529" t="inlineStr">
        <is>
          <t>1996-10-29</t>
        </is>
      </c>
      <c r="V1529" t="inlineStr">
        <is>
          <t>1996-10-29</t>
        </is>
      </c>
      <c r="W1529" t="inlineStr">
        <is>
          <t>1995-01-30</t>
        </is>
      </c>
      <c r="X1529" t="inlineStr">
        <is>
          <t>1995-01-30</t>
        </is>
      </c>
      <c r="Y1529" t="n">
        <v>354</v>
      </c>
      <c r="Z1529" t="n">
        <v>300</v>
      </c>
      <c r="AA1529" t="n">
        <v>322</v>
      </c>
      <c r="AB1529" t="n">
        <v>2</v>
      </c>
      <c r="AC1529" t="n">
        <v>2</v>
      </c>
      <c r="AD1529" t="n">
        <v>14</v>
      </c>
      <c r="AE1529" t="n">
        <v>14</v>
      </c>
      <c r="AF1529" t="n">
        <v>4</v>
      </c>
      <c r="AG1529" t="n">
        <v>4</v>
      </c>
      <c r="AH1529" t="n">
        <v>4</v>
      </c>
      <c r="AI1529" t="n">
        <v>4</v>
      </c>
      <c r="AJ1529" t="n">
        <v>7</v>
      </c>
      <c r="AK1529" t="n">
        <v>7</v>
      </c>
      <c r="AL1529" t="n">
        <v>1</v>
      </c>
      <c r="AM1529" t="n">
        <v>1</v>
      </c>
      <c r="AN1529" t="n">
        <v>0</v>
      </c>
      <c r="AO1529" t="n">
        <v>0</v>
      </c>
      <c r="AP1529" t="inlineStr">
        <is>
          <t>No</t>
        </is>
      </c>
      <c r="AQ1529" t="inlineStr">
        <is>
          <t>Yes</t>
        </is>
      </c>
      <c r="AR1529">
        <f>HYPERLINK("http://catalog.hathitrust.org/Record/002964846","HathiTrust Record")</f>
        <v/>
      </c>
      <c r="AS1529">
        <f>HYPERLINK("https://creighton-primo.hosted.exlibrisgroup.com/primo-explore/search?tab=default_tab&amp;search_scope=EVERYTHING&amp;vid=01CRU&amp;lang=en_US&amp;offset=0&amp;query=any,contains,991002376399702656","Catalog Record")</f>
        <v/>
      </c>
      <c r="AT1529">
        <f>HYPERLINK("http://www.worldcat.org/oclc/30894930","WorldCat Record")</f>
        <v/>
      </c>
      <c r="AU1529" t="inlineStr">
        <is>
          <t>33336636:eng</t>
        </is>
      </c>
      <c r="AV1529" t="inlineStr">
        <is>
          <t>30894930</t>
        </is>
      </c>
      <c r="AW1529" t="inlineStr">
        <is>
          <t>991002376399702656</t>
        </is>
      </c>
      <c r="AX1529" t="inlineStr">
        <is>
          <t>991002376399702656</t>
        </is>
      </c>
      <c r="AY1529" t="inlineStr">
        <is>
          <t>2271122690002656</t>
        </is>
      </c>
      <c r="AZ1529" t="inlineStr">
        <is>
          <t>BOOK</t>
        </is>
      </c>
      <c r="BB1529" t="inlineStr">
        <is>
          <t>9780813316338</t>
        </is>
      </c>
      <c r="BC1529" t="inlineStr">
        <is>
          <t>32285001995660</t>
        </is>
      </c>
      <c r="BD1529" t="inlineStr">
        <is>
          <t>893226765</t>
        </is>
      </c>
    </row>
    <row r="1530">
      <c r="A1530" t="inlineStr">
        <is>
          <t>No</t>
        </is>
      </c>
      <c r="B1530" t="inlineStr">
        <is>
          <t>LC197 .M53 1993</t>
        </is>
      </c>
      <c r="C1530" t="inlineStr">
        <is>
          <t>0                      LC 0197000M  53          1993</t>
        </is>
      </c>
      <c r="D1530" t="inlineStr">
        <is>
          <t>Educating feminists : life histories and pedagogy / Sue Middleton.</t>
        </is>
      </c>
      <c r="F1530" t="inlineStr">
        <is>
          <t>No</t>
        </is>
      </c>
      <c r="G1530" t="inlineStr">
        <is>
          <t>1</t>
        </is>
      </c>
      <c r="H1530" t="inlineStr">
        <is>
          <t>No</t>
        </is>
      </c>
      <c r="I1530" t="inlineStr">
        <is>
          <t>No</t>
        </is>
      </c>
      <c r="J1530" t="inlineStr">
        <is>
          <t>0</t>
        </is>
      </c>
      <c r="K1530" t="inlineStr">
        <is>
          <t>Middleton, Sue, 1947-</t>
        </is>
      </c>
      <c r="L1530" t="inlineStr">
        <is>
          <t>New York : Teachers College Press, c1993.</t>
        </is>
      </c>
      <c r="M1530" t="inlineStr">
        <is>
          <t>1993</t>
        </is>
      </c>
      <c r="O1530" t="inlineStr">
        <is>
          <t>eng</t>
        </is>
      </c>
      <c r="P1530" t="inlineStr">
        <is>
          <t>nyu</t>
        </is>
      </c>
      <c r="R1530" t="inlineStr">
        <is>
          <t xml:space="preserve">LC </t>
        </is>
      </c>
      <c r="S1530" t="n">
        <v>1</v>
      </c>
      <c r="T1530" t="n">
        <v>1</v>
      </c>
      <c r="U1530" t="inlineStr">
        <is>
          <t>1994-10-18</t>
        </is>
      </c>
      <c r="V1530" t="inlineStr">
        <is>
          <t>1994-10-18</t>
        </is>
      </c>
      <c r="W1530" t="inlineStr">
        <is>
          <t>1994-09-23</t>
        </is>
      </c>
      <c r="X1530" t="inlineStr">
        <is>
          <t>1994-09-23</t>
        </is>
      </c>
      <c r="Y1530" t="n">
        <v>457</v>
      </c>
      <c r="Z1530" t="n">
        <v>343</v>
      </c>
      <c r="AA1530" t="n">
        <v>344</v>
      </c>
      <c r="AB1530" t="n">
        <v>3</v>
      </c>
      <c r="AC1530" t="n">
        <v>3</v>
      </c>
      <c r="AD1530" t="n">
        <v>16</v>
      </c>
      <c r="AE1530" t="n">
        <v>16</v>
      </c>
      <c r="AF1530" t="n">
        <v>6</v>
      </c>
      <c r="AG1530" t="n">
        <v>6</v>
      </c>
      <c r="AH1530" t="n">
        <v>3</v>
      </c>
      <c r="AI1530" t="n">
        <v>3</v>
      </c>
      <c r="AJ1530" t="n">
        <v>7</v>
      </c>
      <c r="AK1530" t="n">
        <v>7</v>
      </c>
      <c r="AL1530" t="n">
        <v>2</v>
      </c>
      <c r="AM1530" t="n">
        <v>2</v>
      </c>
      <c r="AN1530" t="n">
        <v>1</v>
      </c>
      <c r="AO1530" t="n">
        <v>1</v>
      </c>
      <c r="AP1530" t="inlineStr">
        <is>
          <t>No</t>
        </is>
      </c>
      <c r="AQ1530" t="inlineStr">
        <is>
          <t>No</t>
        </is>
      </c>
      <c r="AS1530">
        <f>HYPERLINK("https://creighton-primo.hosted.exlibrisgroup.com/primo-explore/search?tab=default_tab&amp;search_scope=EVERYTHING&amp;vid=01CRU&amp;lang=en_US&amp;offset=0&amp;query=any,contains,991002117649702656","Catalog Record")</f>
        <v/>
      </c>
      <c r="AT1530">
        <f>HYPERLINK("http://www.worldcat.org/oclc/27145052","WorldCat Record")</f>
        <v/>
      </c>
      <c r="AU1530" t="inlineStr">
        <is>
          <t>368727977:eng</t>
        </is>
      </c>
      <c r="AV1530" t="inlineStr">
        <is>
          <t>27145052</t>
        </is>
      </c>
      <c r="AW1530" t="inlineStr">
        <is>
          <t>991002117649702656</t>
        </is>
      </c>
      <c r="AX1530" t="inlineStr">
        <is>
          <t>991002117649702656</t>
        </is>
      </c>
      <c r="AY1530" t="inlineStr">
        <is>
          <t>2256726780002656</t>
        </is>
      </c>
      <c r="AZ1530" t="inlineStr">
        <is>
          <t>BOOK</t>
        </is>
      </c>
      <c r="BB1530" t="inlineStr">
        <is>
          <t>9780807732335</t>
        </is>
      </c>
      <c r="BC1530" t="inlineStr">
        <is>
          <t>32285001947356</t>
        </is>
      </c>
      <c r="BD1530" t="inlineStr">
        <is>
          <t>893534860</t>
        </is>
      </c>
    </row>
    <row r="1531">
      <c r="A1531" t="inlineStr">
        <is>
          <t>No</t>
        </is>
      </c>
      <c r="B1531" t="inlineStr">
        <is>
          <t>LC2031 .S76 1978</t>
        </is>
      </c>
      <c r="C1531" t="inlineStr">
        <is>
          <t>0                      LC 2031000S  76          1978</t>
        </is>
      </c>
      <c r="D1531" t="inlineStr">
        <is>
          <t>Better than rubies : a history of women's education / Phyllis Stock.</t>
        </is>
      </c>
      <c r="F1531" t="inlineStr">
        <is>
          <t>No</t>
        </is>
      </c>
      <c r="G1531" t="inlineStr">
        <is>
          <t>1</t>
        </is>
      </c>
      <c r="H1531" t="inlineStr">
        <is>
          <t>No</t>
        </is>
      </c>
      <c r="I1531" t="inlineStr">
        <is>
          <t>No</t>
        </is>
      </c>
      <c r="J1531" t="inlineStr">
        <is>
          <t>0</t>
        </is>
      </c>
      <c r="K1531" t="inlineStr">
        <is>
          <t>Stock, Phyllis.</t>
        </is>
      </c>
      <c r="L1531" t="inlineStr">
        <is>
          <t>New York : Putnam, c1978.</t>
        </is>
      </c>
      <c r="M1531" t="inlineStr">
        <is>
          <t>1978</t>
        </is>
      </c>
      <c r="O1531" t="inlineStr">
        <is>
          <t>eng</t>
        </is>
      </c>
      <c r="P1531" t="inlineStr">
        <is>
          <t>nyu</t>
        </is>
      </c>
      <c r="R1531" t="inlineStr">
        <is>
          <t xml:space="preserve">LC </t>
        </is>
      </c>
      <c r="S1531" t="n">
        <v>2</v>
      </c>
      <c r="T1531" t="n">
        <v>2</v>
      </c>
      <c r="U1531" t="inlineStr">
        <is>
          <t>1997-10-30</t>
        </is>
      </c>
      <c r="V1531" t="inlineStr">
        <is>
          <t>1997-10-30</t>
        </is>
      </c>
      <c r="W1531" t="inlineStr">
        <is>
          <t>1997-06-09</t>
        </is>
      </c>
      <c r="X1531" t="inlineStr">
        <is>
          <t>1997-06-09</t>
        </is>
      </c>
      <c r="Y1531" t="n">
        <v>703</v>
      </c>
      <c r="Z1531" t="n">
        <v>630</v>
      </c>
      <c r="AA1531" t="n">
        <v>633</v>
      </c>
      <c r="AB1531" t="n">
        <v>6</v>
      </c>
      <c r="AC1531" t="n">
        <v>6</v>
      </c>
      <c r="AD1531" t="n">
        <v>21</v>
      </c>
      <c r="AE1531" t="n">
        <v>21</v>
      </c>
      <c r="AF1531" t="n">
        <v>6</v>
      </c>
      <c r="AG1531" t="n">
        <v>6</v>
      </c>
      <c r="AH1531" t="n">
        <v>6</v>
      </c>
      <c r="AI1531" t="n">
        <v>6</v>
      </c>
      <c r="AJ1531" t="n">
        <v>11</v>
      </c>
      <c r="AK1531" t="n">
        <v>11</v>
      </c>
      <c r="AL1531" t="n">
        <v>3</v>
      </c>
      <c r="AM1531" t="n">
        <v>3</v>
      </c>
      <c r="AN1531" t="n">
        <v>0</v>
      </c>
      <c r="AO1531" t="n">
        <v>0</v>
      </c>
      <c r="AP1531" t="inlineStr">
        <is>
          <t>No</t>
        </is>
      </c>
      <c r="AQ1531" t="inlineStr">
        <is>
          <t>Yes</t>
        </is>
      </c>
      <c r="AR1531">
        <f>HYPERLINK("http://catalog.hathitrust.org/Record/000294649","HathiTrust Record")</f>
        <v/>
      </c>
      <c r="AS1531">
        <f>HYPERLINK("https://creighton-primo.hosted.exlibrisgroup.com/primo-explore/search?tab=default_tab&amp;search_scope=EVERYTHING&amp;vid=01CRU&amp;lang=en_US&amp;offset=0&amp;query=any,contains,991004373419702656","Catalog Record")</f>
        <v/>
      </c>
      <c r="AT1531">
        <f>HYPERLINK("http://www.worldcat.org/oclc/3202868","WorldCat Record")</f>
        <v/>
      </c>
      <c r="AU1531" t="inlineStr">
        <is>
          <t>8317853:eng</t>
        </is>
      </c>
      <c r="AV1531" t="inlineStr">
        <is>
          <t>3202868</t>
        </is>
      </c>
      <c r="AW1531" t="inlineStr">
        <is>
          <t>991004373419702656</t>
        </is>
      </c>
      <c r="AX1531" t="inlineStr">
        <is>
          <t>991004373419702656</t>
        </is>
      </c>
      <c r="AY1531" t="inlineStr">
        <is>
          <t>2270474100002656</t>
        </is>
      </c>
      <c r="AZ1531" t="inlineStr">
        <is>
          <t>BOOK</t>
        </is>
      </c>
      <c r="BB1531" t="inlineStr">
        <is>
          <t>9780399120817</t>
        </is>
      </c>
      <c r="BC1531" t="inlineStr">
        <is>
          <t>32285002802816</t>
        </is>
      </c>
      <c r="BD1531" t="inlineStr">
        <is>
          <t>893807000</t>
        </is>
      </c>
    </row>
    <row r="1532">
      <c r="A1532" t="inlineStr">
        <is>
          <t>No</t>
        </is>
      </c>
      <c r="B1532" t="inlineStr">
        <is>
          <t>LC205 .S74 1996</t>
        </is>
      </c>
      <c r="C1532" t="inlineStr">
        <is>
          <t>0                      LC 0205000S  74          1996</t>
        </is>
      </c>
      <c r="D1532" t="inlineStr">
        <is>
          <t>Beyond the classroom : why school reform has failed and what parents need to do / Laurence Steinberg, with B. Bradford Brown and Sanford M. Dornbusch.</t>
        </is>
      </c>
      <c r="F1532" t="inlineStr">
        <is>
          <t>No</t>
        </is>
      </c>
      <c r="G1532" t="inlineStr">
        <is>
          <t>1</t>
        </is>
      </c>
      <c r="H1532" t="inlineStr">
        <is>
          <t>No</t>
        </is>
      </c>
      <c r="I1532" t="inlineStr">
        <is>
          <t>No</t>
        </is>
      </c>
      <c r="J1532" t="inlineStr">
        <is>
          <t>0</t>
        </is>
      </c>
      <c r="K1532" t="inlineStr">
        <is>
          <t>Steinberg, Laurence D., 1952-</t>
        </is>
      </c>
      <c r="L1532" t="inlineStr">
        <is>
          <t>New York : Simon &amp; Schuster, c1996.</t>
        </is>
      </c>
      <c r="M1532" t="inlineStr">
        <is>
          <t>1996</t>
        </is>
      </c>
      <c r="O1532" t="inlineStr">
        <is>
          <t>eng</t>
        </is>
      </c>
      <c r="P1532" t="inlineStr">
        <is>
          <t>nyu</t>
        </is>
      </c>
      <c r="R1532" t="inlineStr">
        <is>
          <t xml:space="preserve">LC </t>
        </is>
      </c>
      <c r="S1532" t="n">
        <v>6</v>
      </c>
      <c r="T1532" t="n">
        <v>6</v>
      </c>
      <c r="U1532" t="inlineStr">
        <is>
          <t>2002-07-01</t>
        </is>
      </c>
      <c r="V1532" t="inlineStr">
        <is>
          <t>2002-07-01</t>
        </is>
      </c>
      <c r="W1532" t="inlineStr">
        <is>
          <t>1996-08-13</t>
        </is>
      </c>
      <c r="X1532" t="inlineStr">
        <is>
          <t>1996-08-13</t>
        </is>
      </c>
      <c r="Y1532" t="n">
        <v>998</v>
      </c>
      <c r="Z1532" t="n">
        <v>944</v>
      </c>
      <c r="AA1532" t="n">
        <v>1048</v>
      </c>
      <c r="AB1532" t="n">
        <v>7</v>
      </c>
      <c r="AC1532" t="n">
        <v>7</v>
      </c>
      <c r="AD1532" t="n">
        <v>33</v>
      </c>
      <c r="AE1532" t="n">
        <v>34</v>
      </c>
      <c r="AF1532" t="n">
        <v>16</v>
      </c>
      <c r="AG1532" t="n">
        <v>17</v>
      </c>
      <c r="AH1532" t="n">
        <v>5</v>
      </c>
      <c r="AI1532" t="n">
        <v>5</v>
      </c>
      <c r="AJ1532" t="n">
        <v>16</v>
      </c>
      <c r="AK1532" t="n">
        <v>16</v>
      </c>
      <c r="AL1532" t="n">
        <v>5</v>
      </c>
      <c r="AM1532" t="n">
        <v>5</v>
      </c>
      <c r="AN1532" t="n">
        <v>0</v>
      </c>
      <c r="AO1532" t="n">
        <v>0</v>
      </c>
      <c r="AP1532" t="inlineStr">
        <is>
          <t>No</t>
        </is>
      </c>
      <c r="AQ1532" t="inlineStr">
        <is>
          <t>Yes</t>
        </is>
      </c>
      <c r="AR1532">
        <f>HYPERLINK("http://catalog.hathitrust.org/Record/003062736","HathiTrust Record")</f>
        <v/>
      </c>
      <c r="AS1532">
        <f>HYPERLINK("https://creighton-primo.hosted.exlibrisgroup.com/primo-explore/search?tab=default_tab&amp;search_scope=EVERYTHING&amp;vid=01CRU&amp;lang=en_US&amp;offset=0&amp;query=any,contains,991002603809702656","Catalog Record")</f>
        <v/>
      </c>
      <c r="AT1532">
        <f>HYPERLINK("http://www.worldcat.org/oclc/34113915","WorldCat Record")</f>
        <v/>
      </c>
      <c r="AU1532" t="inlineStr">
        <is>
          <t>572542:eng</t>
        </is>
      </c>
      <c r="AV1532" t="inlineStr">
        <is>
          <t>34113915</t>
        </is>
      </c>
      <c r="AW1532" t="inlineStr">
        <is>
          <t>991002603809702656</t>
        </is>
      </c>
      <c r="AX1532" t="inlineStr">
        <is>
          <t>991002603809702656</t>
        </is>
      </c>
      <c r="AY1532" t="inlineStr">
        <is>
          <t>2272531460002656</t>
        </is>
      </c>
      <c r="AZ1532" t="inlineStr">
        <is>
          <t>BOOK</t>
        </is>
      </c>
      <c r="BB1532" t="inlineStr">
        <is>
          <t>9780684800080</t>
        </is>
      </c>
      <c r="BC1532" t="inlineStr">
        <is>
          <t>32285002274750</t>
        </is>
      </c>
      <c r="BD1532" t="inlineStr">
        <is>
          <t>893591545</t>
        </is>
      </c>
    </row>
    <row r="1533">
      <c r="A1533" t="inlineStr">
        <is>
          <t>No</t>
        </is>
      </c>
      <c r="B1533" t="inlineStr">
        <is>
          <t>LC212.23.H37 E28 2007</t>
        </is>
      </c>
      <c r="C1533" t="inlineStr">
        <is>
          <t>0                      LC 0212230H  37                 E  28          2007</t>
        </is>
      </c>
      <c r="D1533" t="inlineStr">
        <is>
          <t>The children in room E4 : American education on trial / by Susan Eaton.</t>
        </is>
      </c>
      <c r="F1533" t="inlineStr">
        <is>
          <t>No</t>
        </is>
      </c>
      <c r="G1533" t="inlineStr">
        <is>
          <t>1</t>
        </is>
      </c>
      <c r="H1533" t="inlineStr">
        <is>
          <t>No</t>
        </is>
      </c>
      <c r="I1533" t="inlineStr">
        <is>
          <t>No</t>
        </is>
      </c>
      <c r="J1533" t="inlineStr">
        <is>
          <t>0</t>
        </is>
      </c>
      <c r="K1533" t="inlineStr">
        <is>
          <t>Eaton, Susan E.</t>
        </is>
      </c>
      <c r="L1533" t="inlineStr">
        <is>
          <t>Chapel Hill, N.C. : Algonquin Books of Chapel Hill, 2007.</t>
        </is>
      </c>
      <c r="M1533" t="inlineStr">
        <is>
          <t>2007</t>
        </is>
      </c>
      <c r="N1533" t="inlineStr">
        <is>
          <t>1st ed.</t>
        </is>
      </c>
      <c r="O1533" t="inlineStr">
        <is>
          <t>eng</t>
        </is>
      </c>
      <c r="P1533" t="inlineStr">
        <is>
          <t>ncu</t>
        </is>
      </c>
      <c r="R1533" t="inlineStr">
        <is>
          <t xml:space="preserve">LC </t>
        </is>
      </c>
      <c r="S1533" t="n">
        <v>1</v>
      </c>
      <c r="T1533" t="n">
        <v>1</v>
      </c>
      <c r="U1533" t="inlineStr">
        <is>
          <t>2007-11-27</t>
        </is>
      </c>
      <c r="V1533" t="inlineStr">
        <is>
          <t>2007-11-27</t>
        </is>
      </c>
      <c r="W1533" t="inlineStr">
        <is>
          <t>2007-01-16</t>
        </is>
      </c>
      <c r="X1533" t="inlineStr">
        <is>
          <t>2007-01-16</t>
        </is>
      </c>
      <c r="Y1533" t="n">
        <v>1183</v>
      </c>
      <c r="Z1533" t="n">
        <v>1161</v>
      </c>
      <c r="AA1533" t="n">
        <v>1248</v>
      </c>
      <c r="AB1533" t="n">
        <v>5</v>
      </c>
      <c r="AC1533" t="n">
        <v>7</v>
      </c>
      <c r="AD1533" t="n">
        <v>35</v>
      </c>
      <c r="AE1533" t="n">
        <v>38</v>
      </c>
      <c r="AF1533" t="n">
        <v>17</v>
      </c>
      <c r="AG1533" t="n">
        <v>17</v>
      </c>
      <c r="AH1533" t="n">
        <v>7</v>
      </c>
      <c r="AI1533" t="n">
        <v>7</v>
      </c>
      <c r="AJ1533" t="n">
        <v>13</v>
      </c>
      <c r="AK1533" t="n">
        <v>14</v>
      </c>
      <c r="AL1533" t="n">
        <v>4</v>
      </c>
      <c r="AM1533" t="n">
        <v>5</v>
      </c>
      <c r="AN1533" t="n">
        <v>1</v>
      </c>
      <c r="AO1533" t="n">
        <v>2</v>
      </c>
      <c r="AP1533" t="inlineStr">
        <is>
          <t>No</t>
        </is>
      </c>
      <c r="AQ1533" t="inlineStr">
        <is>
          <t>Yes</t>
        </is>
      </c>
      <c r="AR1533">
        <f>HYPERLINK("http://catalog.hathitrust.org/Record/005419330","HathiTrust Record")</f>
        <v/>
      </c>
      <c r="AS1533">
        <f>HYPERLINK("https://creighton-primo.hosted.exlibrisgroup.com/primo-explore/search?tab=default_tab&amp;search_scope=EVERYTHING&amp;vid=01CRU&amp;lang=en_US&amp;offset=0&amp;query=any,contains,991004995179702656","Catalog Record")</f>
        <v/>
      </c>
      <c r="AT1533">
        <f>HYPERLINK("http://www.worldcat.org/oclc/70129182","WorldCat Record")</f>
        <v/>
      </c>
      <c r="AU1533" t="inlineStr">
        <is>
          <t>198225916:eng</t>
        </is>
      </c>
      <c r="AV1533" t="inlineStr">
        <is>
          <t>70129182</t>
        </is>
      </c>
      <c r="AW1533" t="inlineStr">
        <is>
          <t>991004995179702656</t>
        </is>
      </c>
      <c r="AX1533" t="inlineStr">
        <is>
          <t>991004995179702656</t>
        </is>
      </c>
      <c r="AY1533" t="inlineStr">
        <is>
          <t>2271614790002656</t>
        </is>
      </c>
      <c r="AZ1533" t="inlineStr">
        <is>
          <t>BOOK</t>
        </is>
      </c>
      <c r="BB1533" t="inlineStr">
        <is>
          <t>9781565124882</t>
        </is>
      </c>
      <c r="BC1533" t="inlineStr">
        <is>
          <t>32285005270599</t>
        </is>
      </c>
      <c r="BD1533" t="inlineStr">
        <is>
          <t>893507470</t>
        </is>
      </c>
    </row>
    <row r="1534">
      <c r="A1534" t="inlineStr">
        <is>
          <t>No</t>
        </is>
      </c>
      <c r="B1534" t="inlineStr">
        <is>
          <t>LC212.3.I75 H86 2001</t>
        </is>
      </c>
      <c r="C1534" t="inlineStr">
        <is>
          <t>0                      LC 0212300I  75                 H  86          2001</t>
        </is>
      </c>
      <c r="D1534" t="inlineStr">
        <is>
          <t>Second class : discrimination against Palestinian Arab children in Israel's schools.</t>
        </is>
      </c>
      <c r="F1534" t="inlineStr">
        <is>
          <t>No</t>
        </is>
      </c>
      <c r="G1534" t="inlineStr">
        <is>
          <t>1</t>
        </is>
      </c>
      <c r="H1534" t="inlineStr">
        <is>
          <t>No</t>
        </is>
      </c>
      <c r="I1534" t="inlineStr">
        <is>
          <t>No</t>
        </is>
      </c>
      <c r="J1534" t="inlineStr">
        <is>
          <t>0</t>
        </is>
      </c>
      <c r="K1534" t="inlineStr">
        <is>
          <t>Human Rights Watch (Organization). Children's Rights Division.</t>
        </is>
      </c>
      <c r="L1534" t="inlineStr">
        <is>
          <t>New York : Human Rights Watch, c2001.</t>
        </is>
      </c>
      <c r="M1534" t="inlineStr">
        <is>
          <t>2001</t>
        </is>
      </c>
      <c r="O1534" t="inlineStr">
        <is>
          <t>eng</t>
        </is>
      </c>
      <c r="P1534" t="inlineStr">
        <is>
          <t>nyu</t>
        </is>
      </c>
      <c r="R1534" t="inlineStr">
        <is>
          <t xml:space="preserve">LC </t>
        </is>
      </c>
      <c r="S1534" t="n">
        <v>2</v>
      </c>
      <c r="T1534" t="n">
        <v>2</v>
      </c>
      <c r="U1534" t="inlineStr">
        <is>
          <t>2006-10-22</t>
        </is>
      </c>
      <c r="V1534" t="inlineStr">
        <is>
          <t>2006-10-22</t>
        </is>
      </c>
      <c r="W1534" t="inlineStr">
        <is>
          <t>2002-10-29</t>
        </is>
      </c>
      <c r="X1534" t="inlineStr">
        <is>
          <t>2002-10-29</t>
        </is>
      </c>
      <c r="Y1534" t="n">
        <v>175</v>
      </c>
      <c r="Z1534" t="n">
        <v>139</v>
      </c>
      <c r="AA1534" t="n">
        <v>149</v>
      </c>
      <c r="AB1534" t="n">
        <v>3</v>
      </c>
      <c r="AC1534" t="n">
        <v>3</v>
      </c>
      <c r="AD1534" t="n">
        <v>5</v>
      </c>
      <c r="AE1534" t="n">
        <v>5</v>
      </c>
      <c r="AF1534" t="n">
        <v>1</v>
      </c>
      <c r="AG1534" t="n">
        <v>1</v>
      </c>
      <c r="AH1534" t="n">
        <v>1</v>
      </c>
      <c r="AI1534" t="n">
        <v>1</v>
      </c>
      <c r="AJ1534" t="n">
        <v>2</v>
      </c>
      <c r="AK1534" t="n">
        <v>2</v>
      </c>
      <c r="AL1534" t="n">
        <v>2</v>
      </c>
      <c r="AM1534" t="n">
        <v>2</v>
      </c>
      <c r="AN1534" t="n">
        <v>0</v>
      </c>
      <c r="AO1534" t="n">
        <v>0</v>
      </c>
      <c r="AP1534" t="inlineStr">
        <is>
          <t>No</t>
        </is>
      </c>
      <c r="AQ1534" t="inlineStr">
        <is>
          <t>Yes</t>
        </is>
      </c>
      <c r="AR1534">
        <f>HYPERLINK("http://catalog.hathitrust.org/Record/003615570","HathiTrust Record")</f>
        <v/>
      </c>
      <c r="AS1534">
        <f>HYPERLINK("https://creighton-primo.hosted.exlibrisgroup.com/primo-explore/search?tab=default_tab&amp;search_scope=EVERYTHING&amp;vid=01CRU&amp;lang=en_US&amp;offset=0&amp;query=any,contains,991003879379702656","Catalog Record")</f>
        <v/>
      </c>
      <c r="AT1534">
        <f>HYPERLINK("http://www.worldcat.org/oclc/49238482","WorldCat Record")</f>
        <v/>
      </c>
      <c r="AU1534" t="inlineStr">
        <is>
          <t>480757320:eng</t>
        </is>
      </c>
      <c r="AV1534" t="inlineStr">
        <is>
          <t>49238482</t>
        </is>
      </c>
      <c r="AW1534" t="inlineStr">
        <is>
          <t>991003879379702656</t>
        </is>
      </c>
      <c r="AX1534" t="inlineStr">
        <is>
          <t>991003879379702656</t>
        </is>
      </c>
      <c r="AY1534" t="inlineStr">
        <is>
          <t>2261437430002656</t>
        </is>
      </c>
      <c r="AZ1534" t="inlineStr">
        <is>
          <t>BOOK</t>
        </is>
      </c>
      <c r="BB1534" t="inlineStr">
        <is>
          <t>9781564322661</t>
        </is>
      </c>
      <c r="BC1534" t="inlineStr">
        <is>
          <t>32285004658638</t>
        </is>
      </c>
      <c r="BD1534" t="inlineStr">
        <is>
          <t>893722141</t>
        </is>
      </c>
    </row>
    <row r="1535">
      <c r="A1535" t="inlineStr">
        <is>
          <t>No</t>
        </is>
      </c>
      <c r="B1535" t="inlineStr">
        <is>
          <t>LC212.862 .M35 1997</t>
        </is>
      </c>
      <c r="C1535" t="inlineStr">
        <is>
          <t>0                      LC 0212862M  35          1997</t>
        </is>
      </c>
      <c r="D1535" t="inlineStr">
        <is>
          <t>Poisoned ivy : lesbian and gay academics confronting homophobia / Toni A.H. McNaron.</t>
        </is>
      </c>
      <c r="F1535" t="inlineStr">
        <is>
          <t>No</t>
        </is>
      </c>
      <c r="G1535" t="inlineStr">
        <is>
          <t>1</t>
        </is>
      </c>
      <c r="H1535" t="inlineStr">
        <is>
          <t>No</t>
        </is>
      </c>
      <c r="I1535" t="inlineStr">
        <is>
          <t>No</t>
        </is>
      </c>
      <c r="J1535" t="inlineStr">
        <is>
          <t>0</t>
        </is>
      </c>
      <c r="K1535" t="inlineStr">
        <is>
          <t>McNaron, Toni A. H.</t>
        </is>
      </c>
      <c r="L1535" t="inlineStr">
        <is>
          <t>Philadelphia : Temple University Press, 1997.</t>
        </is>
      </c>
      <c r="M1535" t="inlineStr">
        <is>
          <t>1997</t>
        </is>
      </c>
      <c r="O1535" t="inlineStr">
        <is>
          <t>eng</t>
        </is>
      </c>
      <c r="P1535" t="inlineStr">
        <is>
          <t>pau</t>
        </is>
      </c>
      <c r="R1535" t="inlineStr">
        <is>
          <t xml:space="preserve">LC </t>
        </is>
      </c>
      <c r="S1535" t="n">
        <v>1</v>
      </c>
      <c r="T1535" t="n">
        <v>1</v>
      </c>
      <c r="U1535" t="inlineStr">
        <is>
          <t>2006-06-30</t>
        </is>
      </c>
      <c r="V1535" t="inlineStr">
        <is>
          <t>2006-06-30</t>
        </is>
      </c>
      <c r="W1535" t="inlineStr">
        <is>
          <t>1997-04-28</t>
        </is>
      </c>
      <c r="X1535" t="inlineStr">
        <is>
          <t>1997-04-28</t>
        </is>
      </c>
      <c r="Y1535" t="n">
        <v>436</v>
      </c>
      <c r="Z1535" t="n">
        <v>398</v>
      </c>
      <c r="AA1535" t="n">
        <v>887</v>
      </c>
      <c r="AB1535" t="n">
        <v>3</v>
      </c>
      <c r="AC1535" t="n">
        <v>26</v>
      </c>
      <c r="AD1535" t="n">
        <v>20</v>
      </c>
      <c r="AE1535" t="n">
        <v>32</v>
      </c>
      <c r="AF1535" t="n">
        <v>4</v>
      </c>
      <c r="AG1535" t="n">
        <v>6</v>
      </c>
      <c r="AH1535" t="n">
        <v>6</v>
      </c>
      <c r="AI1535" t="n">
        <v>6</v>
      </c>
      <c r="AJ1535" t="n">
        <v>11</v>
      </c>
      <c r="AK1535" t="n">
        <v>12</v>
      </c>
      <c r="AL1535" t="n">
        <v>2</v>
      </c>
      <c r="AM1535" t="n">
        <v>11</v>
      </c>
      <c r="AN1535" t="n">
        <v>1</v>
      </c>
      <c r="AO1535" t="n">
        <v>1</v>
      </c>
      <c r="AP1535" t="inlineStr">
        <is>
          <t>No</t>
        </is>
      </c>
      <c r="AQ1535" t="inlineStr">
        <is>
          <t>No</t>
        </is>
      </c>
      <c r="AS1535">
        <f>HYPERLINK("https://creighton-primo.hosted.exlibrisgroup.com/primo-explore/search?tab=default_tab&amp;search_scope=EVERYTHING&amp;vid=01CRU&amp;lang=en_US&amp;offset=0&amp;query=any,contains,991002712829702656","Catalog Record")</f>
        <v/>
      </c>
      <c r="AT1535">
        <f>HYPERLINK("http://www.worldcat.org/oclc/35574508","WorldCat Record")</f>
        <v/>
      </c>
      <c r="AU1535" t="inlineStr">
        <is>
          <t>25243251:eng</t>
        </is>
      </c>
      <c r="AV1535" t="inlineStr">
        <is>
          <t>35574508</t>
        </is>
      </c>
      <c r="AW1535" t="inlineStr">
        <is>
          <t>991002712829702656</t>
        </is>
      </c>
      <c r="AX1535" t="inlineStr">
        <is>
          <t>991002712829702656</t>
        </is>
      </c>
      <c r="AY1535" t="inlineStr">
        <is>
          <t>2257715140002656</t>
        </is>
      </c>
      <c r="AZ1535" t="inlineStr">
        <is>
          <t>BOOK</t>
        </is>
      </c>
      <c r="BB1535" t="inlineStr">
        <is>
          <t>9781566394871</t>
        </is>
      </c>
      <c r="BC1535" t="inlineStr">
        <is>
          <t>32285002541380</t>
        </is>
      </c>
      <c r="BD1535" t="inlineStr">
        <is>
          <t>893262430</t>
        </is>
      </c>
    </row>
    <row r="1536">
      <c r="A1536" t="inlineStr">
        <is>
          <t>No</t>
        </is>
      </c>
      <c r="B1536" t="inlineStr">
        <is>
          <t>LC212.92 .B49 2001</t>
        </is>
      </c>
      <c r="C1536" t="inlineStr">
        <is>
          <t>0                      LC 0212920B  49          2001</t>
        </is>
      </c>
      <c r="D1536" t="inlineStr">
        <is>
          <t>Beyond the "gender wars" : a conversation about girls, boys, and education.</t>
        </is>
      </c>
      <c r="F1536" t="inlineStr">
        <is>
          <t>No</t>
        </is>
      </c>
      <c r="G1536" t="inlineStr">
        <is>
          <t>1</t>
        </is>
      </c>
      <c r="H1536" t="inlineStr">
        <is>
          <t>No</t>
        </is>
      </c>
      <c r="I1536" t="inlineStr">
        <is>
          <t>No</t>
        </is>
      </c>
      <c r="J1536" t="inlineStr">
        <is>
          <t>0</t>
        </is>
      </c>
      <c r="L1536" t="inlineStr">
        <is>
          <t>Washington, DC : AAUW Educational Foundation, c2001.</t>
        </is>
      </c>
      <c r="M1536" t="inlineStr">
        <is>
          <t>2001</t>
        </is>
      </c>
      <c r="O1536" t="inlineStr">
        <is>
          <t>eng</t>
        </is>
      </c>
      <c r="P1536" t="inlineStr">
        <is>
          <t>dcu</t>
        </is>
      </c>
      <c r="R1536" t="inlineStr">
        <is>
          <t xml:space="preserve">LC </t>
        </is>
      </c>
      <c r="S1536" t="n">
        <v>2</v>
      </c>
      <c r="T1536" t="n">
        <v>2</v>
      </c>
      <c r="U1536" t="inlineStr">
        <is>
          <t>2009-03-22</t>
        </is>
      </c>
      <c r="V1536" t="inlineStr">
        <is>
          <t>2009-03-22</t>
        </is>
      </c>
      <c r="W1536" t="inlineStr">
        <is>
          <t>2003-12-01</t>
        </is>
      </c>
      <c r="X1536" t="inlineStr">
        <is>
          <t>2003-12-01</t>
        </is>
      </c>
      <c r="Y1536" t="n">
        <v>90</v>
      </c>
      <c r="Z1536" t="n">
        <v>87</v>
      </c>
      <c r="AA1536" t="n">
        <v>93</v>
      </c>
      <c r="AB1536" t="n">
        <v>2</v>
      </c>
      <c r="AC1536" t="n">
        <v>2</v>
      </c>
      <c r="AD1536" t="n">
        <v>8</v>
      </c>
      <c r="AE1536" t="n">
        <v>8</v>
      </c>
      <c r="AF1536" t="n">
        <v>3</v>
      </c>
      <c r="AG1536" t="n">
        <v>3</v>
      </c>
      <c r="AH1536" t="n">
        <v>1</v>
      </c>
      <c r="AI1536" t="n">
        <v>1</v>
      </c>
      <c r="AJ1536" t="n">
        <v>5</v>
      </c>
      <c r="AK1536" t="n">
        <v>5</v>
      </c>
      <c r="AL1536" t="n">
        <v>1</v>
      </c>
      <c r="AM1536" t="n">
        <v>1</v>
      </c>
      <c r="AN1536" t="n">
        <v>1</v>
      </c>
      <c r="AO1536" t="n">
        <v>1</v>
      </c>
      <c r="AP1536" t="inlineStr">
        <is>
          <t>No</t>
        </is>
      </c>
      <c r="AQ1536" t="inlineStr">
        <is>
          <t>Yes</t>
        </is>
      </c>
      <c r="AR1536">
        <f>HYPERLINK("http://catalog.hathitrust.org/Record/004349502","HathiTrust Record")</f>
        <v/>
      </c>
      <c r="AS1536">
        <f>HYPERLINK("https://creighton-primo.hosted.exlibrisgroup.com/primo-explore/search?tab=default_tab&amp;search_scope=EVERYTHING&amp;vid=01CRU&amp;lang=en_US&amp;offset=0&amp;query=any,contains,991004194969702656","Catalog Record")</f>
        <v/>
      </c>
      <c r="AT1536">
        <f>HYPERLINK("http://www.worldcat.org/oclc/46806456","WorldCat Record")</f>
        <v/>
      </c>
      <c r="AU1536" t="inlineStr">
        <is>
          <t>937441711:eng</t>
        </is>
      </c>
      <c r="AV1536" t="inlineStr">
        <is>
          <t>46806456</t>
        </is>
      </c>
      <c r="AW1536" t="inlineStr">
        <is>
          <t>991004194969702656</t>
        </is>
      </c>
      <c r="AX1536" t="inlineStr">
        <is>
          <t>991004194969702656</t>
        </is>
      </c>
      <c r="AY1536" t="inlineStr">
        <is>
          <t>2255026510002656</t>
        </is>
      </c>
      <c r="AZ1536" t="inlineStr">
        <is>
          <t>BOOK</t>
        </is>
      </c>
      <c r="BB1536" t="inlineStr">
        <is>
          <t>9781879922273</t>
        </is>
      </c>
      <c r="BC1536" t="inlineStr">
        <is>
          <t>32285004841689</t>
        </is>
      </c>
      <c r="BD1536" t="inlineStr">
        <is>
          <t>893349721</t>
        </is>
      </c>
    </row>
    <row r="1537">
      <c r="A1537" t="inlineStr">
        <is>
          <t>No</t>
        </is>
      </c>
      <c r="B1537" t="inlineStr">
        <is>
          <t>LC213.2 .H69 1997</t>
        </is>
      </c>
      <c r="C1537" t="inlineStr">
        <is>
          <t>0                      LC 0213200H  69          1997</t>
        </is>
      </c>
      <c r="D1537" t="inlineStr">
        <is>
          <t>Understanding equal educational opportunity : social justice, democracy, and schooling / Kenneth R. Howe.</t>
        </is>
      </c>
      <c r="F1537" t="inlineStr">
        <is>
          <t>No</t>
        </is>
      </c>
      <c r="G1537" t="inlineStr">
        <is>
          <t>1</t>
        </is>
      </c>
      <c r="H1537" t="inlineStr">
        <is>
          <t>No</t>
        </is>
      </c>
      <c r="I1537" t="inlineStr">
        <is>
          <t>No</t>
        </is>
      </c>
      <c r="J1537" t="inlineStr">
        <is>
          <t>0</t>
        </is>
      </c>
      <c r="K1537" t="inlineStr">
        <is>
          <t>Howe, Kenneth R. (Kenneth Ross)</t>
        </is>
      </c>
      <c r="L1537" t="inlineStr">
        <is>
          <t>New York : Teachers College Press, c1997.</t>
        </is>
      </c>
      <c r="M1537" t="inlineStr">
        <is>
          <t>1997</t>
        </is>
      </c>
      <c r="O1537" t="inlineStr">
        <is>
          <t>eng</t>
        </is>
      </c>
      <c r="P1537" t="inlineStr">
        <is>
          <t>nyu</t>
        </is>
      </c>
      <c r="Q1537" t="inlineStr">
        <is>
          <t>Advances in contemporary educational thought series ; v. 20</t>
        </is>
      </c>
      <c r="R1537" t="inlineStr">
        <is>
          <t xml:space="preserve">LC </t>
        </is>
      </c>
      <c r="S1537" t="n">
        <v>3</v>
      </c>
      <c r="T1537" t="n">
        <v>3</v>
      </c>
      <c r="U1537" t="inlineStr">
        <is>
          <t>2001-01-27</t>
        </is>
      </c>
      <c r="V1537" t="inlineStr">
        <is>
          <t>2001-01-27</t>
        </is>
      </c>
      <c r="W1537" t="inlineStr">
        <is>
          <t>1997-07-01</t>
        </is>
      </c>
      <c r="X1537" t="inlineStr">
        <is>
          <t>1997-07-01</t>
        </is>
      </c>
      <c r="Y1537" t="n">
        <v>396</v>
      </c>
      <c r="Z1537" t="n">
        <v>337</v>
      </c>
      <c r="AA1537" t="n">
        <v>690</v>
      </c>
      <c r="AB1537" t="n">
        <v>3</v>
      </c>
      <c r="AC1537" t="n">
        <v>3</v>
      </c>
      <c r="AD1537" t="n">
        <v>25</v>
      </c>
      <c r="AE1537" t="n">
        <v>28</v>
      </c>
      <c r="AF1537" t="n">
        <v>9</v>
      </c>
      <c r="AG1537" t="n">
        <v>11</v>
      </c>
      <c r="AH1537" t="n">
        <v>7</v>
      </c>
      <c r="AI1537" t="n">
        <v>8</v>
      </c>
      <c r="AJ1537" t="n">
        <v>14</v>
      </c>
      <c r="AK1537" t="n">
        <v>15</v>
      </c>
      <c r="AL1537" t="n">
        <v>2</v>
      </c>
      <c r="AM1537" t="n">
        <v>2</v>
      </c>
      <c r="AN1537" t="n">
        <v>1</v>
      </c>
      <c r="AO1537" t="n">
        <v>1</v>
      </c>
      <c r="AP1537" t="inlineStr">
        <is>
          <t>No</t>
        </is>
      </c>
      <c r="AQ1537" t="inlineStr">
        <is>
          <t>No</t>
        </is>
      </c>
      <c r="AS1537">
        <f>HYPERLINK("https://creighton-primo.hosted.exlibrisgroup.com/primo-explore/search?tab=default_tab&amp;search_scope=EVERYTHING&amp;vid=01CRU&amp;lang=en_US&amp;offset=0&amp;query=any,contains,991002739759702656","Catalog Record")</f>
        <v/>
      </c>
      <c r="AT1537">
        <f>HYPERLINK("http://www.worldcat.org/oclc/35986191","WorldCat Record")</f>
        <v/>
      </c>
      <c r="AU1537" t="inlineStr">
        <is>
          <t>799942346:eng</t>
        </is>
      </c>
      <c r="AV1537" t="inlineStr">
        <is>
          <t>35986191</t>
        </is>
      </c>
      <c r="AW1537" t="inlineStr">
        <is>
          <t>991002739759702656</t>
        </is>
      </c>
      <c r="AX1537" t="inlineStr">
        <is>
          <t>991002739759702656</t>
        </is>
      </c>
      <c r="AY1537" t="inlineStr">
        <is>
          <t>2269142990002656</t>
        </is>
      </c>
      <c r="AZ1537" t="inlineStr">
        <is>
          <t>BOOK</t>
        </is>
      </c>
      <c r="BB1537" t="inlineStr">
        <is>
          <t>9780807735992</t>
        </is>
      </c>
      <c r="BC1537" t="inlineStr">
        <is>
          <t>32285002880036</t>
        </is>
      </c>
      <c r="BD1537" t="inlineStr">
        <is>
          <t>893622652</t>
        </is>
      </c>
    </row>
    <row r="1538">
      <c r="A1538" t="inlineStr">
        <is>
          <t>No</t>
        </is>
      </c>
      <c r="B1538" t="inlineStr">
        <is>
          <t>LC214 .R3 1979</t>
        </is>
      </c>
      <c r="C1538" t="inlineStr">
        <is>
          <t>0                      LC 0214000R  3           1979</t>
        </is>
      </c>
      <c r="D1538" t="inlineStr">
        <is>
          <t>Race, education, and identity / edited by Gajendra K. Verma and Christopher Bagley.</t>
        </is>
      </c>
      <c r="F1538" t="inlineStr">
        <is>
          <t>No</t>
        </is>
      </c>
      <c r="G1538" t="inlineStr">
        <is>
          <t>1</t>
        </is>
      </c>
      <c r="H1538" t="inlineStr">
        <is>
          <t>No</t>
        </is>
      </c>
      <c r="I1538" t="inlineStr">
        <is>
          <t>No</t>
        </is>
      </c>
      <c r="J1538" t="inlineStr">
        <is>
          <t>0</t>
        </is>
      </c>
      <c r="L1538" t="inlineStr">
        <is>
          <t>New York : St. Martin's Press, 1979.</t>
        </is>
      </c>
      <c r="M1538" t="inlineStr">
        <is>
          <t>1979</t>
        </is>
      </c>
      <c r="O1538" t="inlineStr">
        <is>
          <t>eng</t>
        </is>
      </c>
      <c r="P1538" t="inlineStr">
        <is>
          <t>nyu</t>
        </is>
      </c>
      <c r="R1538" t="inlineStr">
        <is>
          <t xml:space="preserve">LC </t>
        </is>
      </c>
      <c r="S1538" t="n">
        <v>20</v>
      </c>
      <c r="T1538" t="n">
        <v>20</v>
      </c>
      <c r="U1538" t="inlineStr">
        <is>
          <t>2010-03-26</t>
        </is>
      </c>
      <c r="V1538" t="inlineStr">
        <is>
          <t>2010-03-26</t>
        </is>
      </c>
      <c r="W1538" t="inlineStr">
        <is>
          <t>1992-03-03</t>
        </is>
      </c>
      <c r="X1538" t="inlineStr">
        <is>
          <t>1992-03-03</t>
        </is>
      </c>
      <c r="Y1538" t="n">
        <v>341</v>
      </c>
      <c r="Z1538" t="n">
        <v>308</v>
      </c>
      <c r="AA1538" t="n">
        <v>369</v>
      </c>
      <c r="AB1538" t="n">
        <v>5</v>
      </c>
      <c r="AC1538" t="n">
        <v>6</v>
      </c>
      <c r="AD1538" t="n">
        <v>13</v>
      </c>
      <c r="AE1538" t="n">
        <v>16</v>
      </c>
      <c r="AF1538" t="n">
        <v>3</v>
      </c>
      <c r="AG1538" t="n">
        <v>4</v>
      </c>
      <c r="AH1538" t="n">
        <v>1</v>
      </c>
      <c r="AI1538" t="n">
        <v>1</v>
      </c>
      <c r="AJ1538" t="n">
        <v>5</v>
      </c>
      <c r="AK1538" t="n">
        <v>7</v>
      </c>
      <c r="AL1538" t="n">
        <v>4</v>
      </c>
      <c r="AM1538" t="n">
        <v>5</v>
      </c>
      <c r="AN1538" t="n">
        <v>1</v>
      </c>
      <c r="AO1538" t="n">
        <v>1</v>
      </c>
      <c r="AP1538" t="inlineStr">
        <is>
          <t>No</t>
        </is>
      </c>
      <c r="AQ1538" t="inlineStr">
        <is>
          <t>No</t>
        </is>
      </c>
      <c r="AS1538">
        <f>HYPERLINK("https://creighton-primo.hosted.exlibrisgroup.com/primo-explore/search?tab=default_tab&amp;search_scope=EVERYTHING&amp;vid=01CRU&amp;lang=en_US&amp;offset=0&amp;query=any,contains,991004545709702656","Catalog Record")</f>
        <v/>
      </c>
      <c r="AT1538">
        <f>HYPERLINK("http://www.worldcat.org/oclc/3913524","WorldCat Record")</f>
        <v/>
      </c>
      <c r="AU1538" t="inlineStr">
        <is>
          <t>355862154:eng</t>
        </is>
      </c>
      <c r="AV1538" t="inlineStr">
        <is>
          <t>3913524</t>
        </is>
      </c>
      <c r="AW1538" t="inlineStr">
        <is>
          <t>991004545709702656</t>
        </is>
      </c>
      <c r="AX1538" t="inlineStr">
        <is>
          <t>991004545709702656</t>
        </is>
      </c>
      <c r="AY1538" t="inlineStr">
        <is>
          <t>2258289170002656</t>
        </is>
      </c>
      <c r="AZ1538" t="inlineStr">
        <is>
          <t>BOOK</t>
        </is>
      </c>
      <c r="BB1538" t="inlineStr">
        <is>
          <t>9780312661342</t>
        </is>
      </c>
      <c r="BC1538" t="inlineStr">
        <is>
          <t>32285000990928</t>
        </is>
      </c>
      <c r="BD1538" t="inlineStr">
        <is>
          <t>893436412</t>
        </is>
      </c>
    </row>
    <row r="1539">
      <c r="A1539" t="inlineStr">
        <is>
          <t>No</t>
        </is>
      </c>
      <c r="B1539" t="inlineStr">
        <is>
          <t>LC214.2 .M46 1983</t>
        </is>
      </c>
      <c r="C1539" t="inlineStr">
        <is>
          <t>0                      LC 0214200M  46          1983</t>
        </is>
      </c>
      <c r="D1539" t="inlineStr">
        <is>
          <t>From Little Rock to Boston : the history of school desegregation / George R. Metcalf.</t>
        </is>
      </c>
      <c r="F1539" t="inlineStr">
        <is>
          <t>No</t>
        </is>
      </c>
      <c r="G1539" t="inlineStr">
        <is>
          <t>1</t>
        </is>
      </c>
      <c r="H1539" t="inlineStr">
        <is>
          <t>No</t>
        </is>
      </c>
      <c r="I1539" t="inlineStr">
        <is>
          <t>No</t>
        </is>
      </c>
      <c r="J1539" t="inlineStr">
        <is>
          <t>0</t>
        </is>
      </c>
      <c r="K1539" t="inlineStr">
        <is>
          <t>Metcalf, George R., 1914-2002.</t>
        </is>
      </c>
      <c r="L1539" t="inlineStr">
        <is>
          <t>Westport, Conn. : Greenwood Press, 1983.</t>
        </is>
      </c>
      <c r="M1539" t="inlineStr">
        <is>
          <t>1983</t>
        </is>
      </c>
      <c r="O1539" t="inlineStr">
        <is>
          <t>eng</t>
        </is>
      </c>
      <c r="P1539" t="inlineStr">
        <is>
          <t>ctu</t>
        </is>
      </c>
      <c r="Q1539" t="inlineStr">
        <is>
          <t>Contributions to the study of education, 0196-707X ; no. 8</t>
        </is>
      </c>
      <c r="R1539" t="inlineStr">
        <is>
          <t xml:space="preserve">LC </t>
        </is>
      </c>
      <c r="S1539" t="n">
        <v>5</v>
      </c>
      <c r="T1539" t="n">
        <v>5</v>
      </c>
      <c r="U1539" t="inlineStr">
        <is>
          <t>2004-05-21</t>
        </is>
      </c>
      <c r="V1539" t="inlineStr">
        <is>
          <t>2004-05-21</t>
        </is>
      </c>
      <c r="W1539" t="inlineStr">
        <is>
          <t>1992-08-21</t>
        </is>
      </c>
      <c r="X1539" t="inlineStr">
        <is>
          <t>1992-08-21</t>
        </is>
      </c>
      <c r="Y1539" t="n">
        <v>841</v>
      </c>
      <c r="Z1539" t="n">
        <v>773</v>
      </c>
      <c r="AA1539" t="n">
        <v>778</v>
      </c>
      <c r="AB1539" t="n">
        <v>10</v>
      </c>
      <c r="AC1539" t="n">
        <v>10</v>
      </c>
      <c r="AD1539" t="n">
        <v>42</v>
      </c>
      <c r="AE1539" t="n">
        <v>42</v>
      </c>
      <c r="AF1539" t="n">
        <v>15</v>
      </c>
      <c r="AG1539" t="n">
        <v>15</v>
      </c>
      <c r="AH1539" t="n">
        <v>6</v>
      </c>
      <c r="AI1539" t="n">
        <v>6</v>
      </c>
      <c r="AJ1539" t="n">
        <v>17</v>
      </c>
      <c r="AK1539" t="n">
        <v>17</v>
      </c>
      <c r="AL1539" t="n">
        <v>8</v>
      </c>
      <c r="AM1539" t="n">
        <v>8</v>
      </c>
      <c r="AN1539" t="n">
        <v>6</v>
      </c>
      <c r="AO1539" t="n">
        <v>6</v>
      </c>
      <c r="AP1539" t="inlineStr">
        <is>
          <t>No</t>
        </is>
      </c>
      <c r="AQ1539" t="inlineStr">
        <is>
          <t>Yes</t>
        </is>
      </c>
      <c r="AR1539">
        <f>HYPERLINK("http://catalog.hathitrust.org/Record/000773708","HathiTrust Record")</f>
        <v/>
      </c>
      <c r="AS1539">
        <f>HYPERLINK("https://creighton-primo.hosted.exlibrisgroup.com/primo-explore/search?tab=default_tab&amp;search_scope=EVERYTHING&amp;vid=01CRU&amp;lang=en_US&amp;offset=0&amp;query=any,contains,991000064769702656","Catalog Record")</f>
        <v/>
      </c>
      <c r="AT1539">
        <f>HYPERLINK("http://www.worldcat.org/oclc/8762920","WorldCat Record")</f>
        <v/>
      </c>
      <c r="AU1539" t="inlineStr">
        <is>
          <t>346006062:eng</t>
        </is>
      </c>
      <c r="AV1539" t="inlineStr">
        <is>
          <t>8762920</t>
        </is>
      </c>
      <c r="AW1539" t="inlineStr">
        <is>
          <t>991000064769702656</t>
        </is>
      </c>
      <c r="AX1539" t="inlineStr">
        <is>
          <t>991000064769702656</t>
        </is>
      </c>
      <c r="AY1539" t="inlineStr">
        <is>
          <t>2266919800002656</t>
        </is>
      </c>
      <c r="AZ1539" t="inlineStr">
        <is>
          <t>BOOK</t>
        </is>
      </c>
      <c r="BB1539" t="inlineStr">
        <is>
          <t>9780313234705</t>
        </is>
      </c>
      <c r="BC1539" t="inlineStr">
        <is>
          <t>32285001280519</t>
        </is>
      </c>
      <c r="BD1539" t="inlineStr">
        <is>
          <t>893339235</t>
        </is>
      </c>
    </row>
    <row r="1540">
      <c r="A1540" t="inlineStr">
        <is>
          <t>No</t>
        </is>
      </c>
      <c r="B1540" t="inlineStr">
        <is>
          <t>LC214.2 .T39 1984</t>
        </is>
      </c>
      <c r="C1540" t="inlineStr">
        <is>
          <t>0                      LC 0214200T  39          1984</t>
        </is>
      </c>
      <c r="D1540" t="inlineStr">
        <is>
          <t>Three cities that are making desegregation work : report of a National Education Association special study / [prepared by the NEA Desegregation Inquiry Panel].</t>
        </is>
      </c>
      <c r="F1540" t="inlineStr">
        <is>
          <t>No</t>
        </is>
      </c>
      <c r="G1540" t="inlineStr">
        <is>
          <t>1</t>
        </is>
      </c>
      <c r="H1540" t="inlineStr">
        <is>
          <t>No</t>
        </is>
      </c>
      <c r="I1540" t="inlineStr">
        <is>
          <t>No</t>
        </is>
      </c>
      <c r="J1540" t="inlineStr">
        <is>
          <t>0</t>
        </is>
      </c>
      <c r="L1540" t="inlineStr">
        <is>
          <t>Washington, D.C. (1201 16th St., N.W. 20036) : National Education Association Human and Civil Rights, c1984.</t>
        </is>
      </c>
      <c r="M1540" t="inlineStr">
        <is>
          <t>1984</t>
        </is>
      </c>
      <c r="O1540" t="inlineStr">
        <is>
          <t>eng</t>
        </is>
      </c>
      <c r="P1540" t="inlineStr">
        <is>
          <t>dcu</t>
        </is>
      </c>
      <c r="R1540" t="inlineStr">
        <is>
          <t xml:space="preserve">LC </t>
        </is>
      </c>
      <c r="S1540" t="n">
        <v>9</v>
      </c>
      <c r="T1540" t="n">
        <v>9</v>
      </c>
      <c r="U1540" t="inlineStr">
        <is>
          <t>1998-03-27</t>
        </is>
      </c>
      <c r="V1540" t="inlineStr">
        <is>
          <t>1998-03-27</t>
        </is>
      </c>
      <c r="W1540" t="inlineStr">
        <is>
          <t>1992-08-25</t>
        </is>
      </c>
      <c r="X1540" t="inlineStr">
        <is>
          <t>1992-08-25</t>
        </is>
      </c>
      <c r="Y1540" t="n">
        <v>187</v>
      </c>
      <c r="Z1540" t="n">
        <v>186</v>
      </c>
      <c r="AA1540" t="n">
        <v>186</v>
      </c>
      <c r="AB1540" t="n">
        <v>5</v>
      </c>
      <c r="AC1540" t="n">
        <v>5</v>
      </c>
      <c r="AD1540" t="n">
        <v>7</v>
      </c>
      <c r="AE1540" t="n">
        <v>7</v>
      </c>
      <c r="AF1540" t="n">
        <v>1</v>
      </c>
      <c r="AG1540" t="n">
        <v>1</v>
      </c>
      <c r="AH1540" t="n">
        <v>1</v>
      </c>
      <c r="AI1540" t="n">
        <v>1</v>
      </c>
      <c r="AJ1540" t="n">
        <v>2</v>
      </c>
      <c r="AK1540" t="n">
        <v>2</v>
      </c>
      <c r="AL1540" t="n">
        <v>4</v>
      </c>
      <c r="AM1540" t="n">
        <v>4</v>
      </c>
      <c r="AN1540" t="n">
        <v>0</v>
      </c>
      <c r="AO1540" t="n">
        <v>0</v>
      </c>
      <c r="AP1540" t="inlineStr">
        <is>
          <t>No</t>
        </is>
      </c>
      <c r="AQ1540" t="inlineStr">
        <is>
          <t>No</t>
        </is>
      </c>
      <c r="AS1540">
        <f>HYPERLINK("https://creighton-primo.hosted.exlibrisgroup.com/primo-explore/search?tab=default_tab&amp;search_scope=EVERYTHING&amp;vid=01CRU&amp;lang=en_US&amp;offset=0&amp;query=any,contains,991000439039702656","Catalog Record")</f>
        <v/>
      </c>
      <c r="AT1540">
        <f>HYPERLINK("http://www.worldcat.org/oclc/13821954","WorldCat Record")</f>
        <v/>
      </c>
      <c r="AU1540" t="inlineStr">
        <is>
          <t>5609013770:eng</t>
        </is>
      </c>
      <c r="AV1540" t="inlineStr">
        <is>
          <t>13821954</t>
        </is>
      </c>
      <c r="AW1540" t="inlineStr">
        <is>
          <t>991000439039702656</t>
        </is>
      </c>
      <c r="AX1540" t="inlineStr">
        <is>
          <t>991000439039702656</t>
        </is>
      </c>
      <c r="AY1540" t="inlineStr">
        <is>
          <t>2268709630002656</t>
        </is>
      </c>
      <c r="AZ1540" t="inlineStr">
        <is>
          <t>BOOK</t>
        </is>
      </c>
      <c r="BC1540" t="inlineStr">
        <is>
          <t>32285001280543</t>
        </is>
      </c>
      <c r="BD1540" t="inlineStr">
        <is>
          <t>893243247</t>
        </is>
      </c>
    </row>
    <row r="1541">
      <c r="A1541" t="inlineStr">
        <is>
          <t>No</t>
        </is>
      </c>
      <c r="B1541" t="inlineStr">
        <is>
          <t>LC214.2 .W54</t>
        </is>
      </c>
      <c r="C1541" t="inlineStr">
        <is>
          <t>0                      LC 0214200W  54</t>
        </is>
      </c>
      <c r="D1541" t="inlineStr">
        <is>
          <t>The sociology of urban education : desegregation and integration / Charles Vert Willie.</t>
        </is>
      </c>
      <c r="F1541" t="inlineStr">
        <is>
          <t>No</t>
        </is>
      </c>
      <c r="G1541" t="inlineStr">
        <is>
          <t>1</t>
        </is>
      </c>
      <c r="H1541" t="inlineStr">
        <is>
          <t>No</t>
        </is>
      </c>
      <c r="I1541" t="inlineStr">
        <is>
          <t>No</t>
        </is>
      </c>
      <c r="J1541" t="inlineStr">
        <is>
          <t>0</t>
        </is>
      </c>
      <c r="K1541" t="inlineStr">
        <is>
          <t>Willie, Charles Vert, 1927-</t>
        </is>
      </c>
      <c r="L1541" t="inlineStr">
        <is>
          <t>Lexington, Mass. : Lexington Books, c1978.</t>
        </is>
      </c>
      <c r="M1541" t="inlineStr">
        <is>
          <t>1978</t>
        </is>
      </c>
      <c r="O1541" t="inlineStr">
        <is>
          <t>eng</t>
        </is>
      </c>
      <c r="P1541" t="inlineStr">
        <is>
          <t>mau</t>
        </is>
      </c>
      <c r="R1541" t="inlineStr">
        <is>
          <t xml:space="preserve">LC </t>
        </is>
      </c>
      <c r="S1541" t="n">
        <v>6</v>
      </c>
      <c r="T1541" t="n">
        <v>6</v>
      </c>
      <c r="U1541" t="inlineStr">
        <is>
          <t>2009-04-28</t>
        </is>
      </c>
      <c r="V1541" t="inlineStr">
        <is>
          <t>2009-04-28</t>
        </is>
      </c>
      <c r="W1541" t="inlineStr">
        <is>
          <t>1991-12-13</t>
        </is>
      </c>
      <c r="X1541" t="inlineStr">
        <is>
          <t>1991-12-13</t>
        </is>
      </c>
      <c r="Y1541" t="n">
        <v>463</v>
      </c>
      <c r="Z1541" t="n">
        <v>407</v>
      </c>
      <c r="AA1541" t="n">
        <v>410</v>
      </c>
      <c r="AB1541" t="n">
        <v>6</v>
      </c>
      <c r="AC1541" t="n">
        <v>6</v>
      </c>
      <c r="AD1541" t="n">
        <v>17</v>
      </c>
      <c r="AE1541" t="n">
        <v>17</v>
      </c>
      <c r="AF1541" t="n">
        <v>5</v>
      </c>
      <c r="AG1541" t="n">
        <v>5</v>
      </c>
      <c r="AH1541" t="n">
        <v>3</v>
      </c>
      <c r="AI1541" t="n">
        <v>3</v>
      </c>
      <c r="AJ1541" t="n">
        <v>8</v>
      </c>
      <c r="AK1541" t="n">
        <v>8</v>
      </c>
      <c r="AL1541" t="n">
        <v>4</v>
      </c>
      <c r="AM1541" t="n">
        <v>4</v>
      </c>
      <c r="AN1541" t="n">
        <v>0</v>
      </c>
      <c r="AO1541" t="n">
        <v>0</v>
      </c>
      <c r="AP1541" t="inlineStr">
        <is>
          <t>No</t>
        </is>
      </c>
      <c r="AQ1541" t="inlineStr">
        <is>
          <t>Yes</t>
        </is>
      </c>
      <c r="AR1541">
        <f>HYPERLINK("http://catalog.hathitrust.org/Record/000037609","HathiTrust Record")</f>
        <v/>
      </c>
      <c r="AS1541">
        <f>HYPERLINK("https://creighton-primo.hosted.exlibrisgroup.com/primo-explore/search?tab=default_tab&amp;search_scope=EVERYTHING&amp;vid=01CRU&amp;lang=en_US&amp;offset=0&amp;query=any,contains,991004595599702656","Catalog Record")</f>
        <v/>
      </c>
      <c r="AT1541">
        <f>HYPERLINK("http://www.worldcat.org/oclc/4136524","WorldCat Record")</f>
        <v/>
      </c>
      <c r="AU1541" t="inlineStr">
        <is>
          <t>836628235:eng</t>
        </is>
      </c>
      <c r="AV1541" t="inlineStr">
        <is>
          <t>4136524</t>
        </is>
      </c>
      <c r="AW1541" t="inlineStr">
        <is>
          <t>991004595599702656</t>
        </is>
      </c>
      <c r="AX1541" t="inlineStr">
        <is>
          <t>991004595599702656</t>
        </is>
      </c>
      <c r="AY1541" t="inlineStr">
        <is>
          <t>2258151400002656</t>
        </is>
      </c>
      <c r="AZ1541" t="inlineStr">
        <is>
          <t>BOOK</t>
        </is>
      </c>
      <c r="BB1541" t="inlineStr">
        <is>
          <t>9780669023480</t>
        </is>
      </c>
      <c r="BC1541" t="inlineStr">
        <is>
          <t>32285000905587</t>
        </is>
      </c>
      <c r="BD1541" t="inlineStr">
        <is>
          <t>893442794</t>
        </is>
      </c>
    </row>
    <row r="1542">
      <c r="A1542" t="inlineStr">
        <is>
          <t>No</t>
        </is>
      </c>
      <c r="B1542" t="inlineStr">
        <is>
          <t>LC214.22.M7 B65 2005</t>
        </is>
      </c>
      <c r="C1542" t="inlineStr">
        <is>
          <t>0                      LC 0214220M  7                  B  65          2005</t>
        </is>
      </c>
      <c r="D1542" t="inlineStr">
        <is>
          <t>The hardest deal of all : the battle over school integration in Mississippi, 1870-1980 / Charles C. Bolton.</t>
        </is>
      </c>
      <c r="F1542" t="inlineStr">
        <is>
          <t>No</t>
        </is>
      </c>
      <c r="G1542" t="inlineStr">
        <is>
          <t>1</t>
        </is>
      </c>
      <c r="H1542" t="inlineStr">
        <is>
          <t>No</t>
        </is>
      </c>
      <c r="I1542" t="inlineStr">
        <is>
          <t>No</t>
        </is>
      </c>
      <c r="J1542" t="inlineStr">
        <is>
          <t>0</t>
        </is>
      </c>
      <c r="K1542" t="inlineStr">
        <is>
          <t>Bolton, Charles C.</t>
        </is>
      </c>
      <c r="L1542" t="inlineStr">
        <is>
          <t>Jackson, MS : University Press of Mississippi, 2005.</t>
        </is>
      </c>
      <c r="M1542" t="inlineStr">
        <is>
          <t>2005</t>
        </is>
      </c>
      <c r="N1542" t="inlineStr">
        <is>
          <t>1st ed.</t>
        </is>
      </c>
      <c r="O1542" t="inlineStr">
        <is>
          <t>eng</t>
        </is>
      </c>
      <c r="P1542" t="inlineStr">
        <is>
          <t>msu</t>
        </is>
      </c>
      <c r="R1542" t="inlineStr">
        <is>
          <t xml:space="preserve">LC </t>
        </is>
      </c>
      <c r="S1542" t="n">
        <v>1</v>
      </c>
      <c r="T1542" t="n">
        <v>1</v>
      </c>
      <c r="U1542" t="inlineStr">
        <is>
          <t>2006-11-13</t>
        </is>
      </c>
      <c r="V1542" t="inlineStr">
        <is>
          <t>2006-11-13</t>
        </is>
      </c>
      <c r="W1542" t="inlineStr">
        <is>
          <t>2006-11-13</t>
        </is>
      </c>
      <c r="X1542" t="inlineStr">
        <is>
          <t>2006-11-13</t>
        </is>
      </c>
      <c r="Y1542" t="n">
        <v>598</v>
      </c>
      <c r="Z1542" t="n">
        <v>566</v>
      </c>
      <c r="AA1542" t="n">
        <v>1336</v>
      </c>
      <c r="AB1542" t="n">
        <v>5</v>
      </c>
      <c r="AC1542" t="n">
        <v>16</v>
      </c>
      <c r="AD1542" t="n">
        <v>28</v>
      </c>
      <c r="AE1542" t="n">
        <v>49</v>
      </c>
      <c r="AF1542" t="n">
        <v>11</v>
      </c>
      <c r="AG1542" t="n">
        <v>18</v>
      </c>
      <c r="AH1542" t="n">
        <v>4</v>
      </c>
      <c r="AI1542" t="n">
        <v>7</v>
      </c>
      <c r="AJ1542" t="n">
        <v>15</v>
      </c>
      <c r="AK1542" t="n">
        <v>17</v>
      </c>
      <c r="AL1542" t="n">
        <v>4</v>
      </c>
      <c r="AM1542" t="n">
        <v>13</v>
      </c>
      <c r="AN1542" t="n">
        <v>0</v>
      </c>
      <c r="AO1542" t="n">
        <v>1</v>
      </c>
      <c r="AP1542" t="inlineStr">
        <is>
          <t>No</t>
        </is>
      </c>
      <c r="AQ1542" t="inlineStr">
        <is>
          <t>No</t>
        </is>
      </c>
      <c r="AS1542">
        <f>HYPERLINK("https://creighton-primo.hosted.exlibrisgroup.com/primo-explore/search?tab=default_tab&amp;search_scope=EVERYTHING&amp;vid=01CRU&amp;lang=en_US&amp;offset=0&amp;query=any,contains,991004948579702656","Catalog Record")</f>
        <v/>
      </c>
      <c r="AT1542">
        <f>HYPERLINK("http://www.worldcat.org/oclc/57694717","WorldCat Record")</f>
        <v/>
      </c>
      <c r="AU1542" t="inlineStr">
        <is>
          <t>794039909:eng</t>
        </is>
      </c>
      <c r="AV1542" t="inlineStr">
        <is>
          <t>57694717</t>
        </is>
      </c>
      <c r="AW1542" t="inlineStr">
        <is>
          <t>991004948579702656</t>
        </is>
      </c>
      <c r="AX1542" t="inlineStr">
        <is>
          <t>991004948579702656</t>
        </is>
      </c>
      <c r="AY1542" t="inlineStr">
        <is>
          <t>2266143980002656</t>
        </is>
      </c>
      <c r="AZ1542" t="inlineStr">
        <is>
          <t>BOOK</t>
        </is>
      </c>
      <c r="BB1542" t="inlineStr">
        <is>
          <t>9781578067176</t>
        </is>
      </c>
      <c r="BC1542" t="inlineStr">
        <is>
          <t>32285005238364</t>
        </is>
      </c>
      <c r="BD1542" t="inlineStr">
        <is>
          <t>893526689</t>
        </is>
      </c>
    </row>
    <row r="1543">
      <c r="A1543" t="inlineStr">
        <is>
          <t>No</t>
        </is>
      </c>
      <c r="B1543" t="inlineStr">
        <is>
          <t>LC214.5 .B88</t>
        </is>
      </c>
      <c r="C1543" t="inlineStr">
        <is>
          <t>0                      LC 0214500B  88</t>
        </is>
      </c>
      <c r="D1543" t="inlineStr">
        <is>
          <t>Busing U.S.A. / Nicolaus Mills, editor.</t>
        </is>
      </c>
      <c r="F1543" t="inlineStr">
        <is>
          <t>No</t>
        </is>
      </c>
      <c r="G1543" t="inlineStr">
        <is>
          <t>1</t>
        </is>
      </c>
      <c r="H1543" t="inlineStr">
        <is>
          <t>No</t>
        </is>
      </c>
      <c r="I1543" t="inlineStr">
        <is>
          <t>No</t>
        </is>
      </c>
      <c r="J1543" t="inlineStr">
        <is>
          <t>0</t>
        </is>
      </c>
      <c r="L1543" t="inlineStr">
        <is>
          <t>New York : Teachers College Press, 1979.</t>
        </is>
      </c>
      <c r="M1543" t="inlineStr">
        <is>
          <t>1979</t>
        </is>
      </c>
      <c r="O1543" t="inlineStr">
        <is>
          <t>eng</t>
        </is>
      </c>
      <c r="P1543" t="inlineStr">
        <is>
          <t>nyu</t>
        </is>
      </c>
      <c r="R1543" t="inlineStr">
        <is>
          <t xml:space="preserve">LC </t>
        </is>
      </c>
      <c r="S1543" t="n">
        <v>6</v>
      </c>
      <c r="T1543" t="n">
        <v>6</v>
      </c>
      <c r="U1543" t="inlineStr">
        <is>
          <t>2008-11-12</t>
        </is>
      </c>
      <c r="V1543" t="inlineStr">
        <is>
          <t>2008-11-12</t>
        </is>
      </c>
      <c r="W1543" t="inlineStr">
        <is>
          <t>1992-08-25</t>
        </is>
      </c>
      <c r="X1543" t="inlineStr">
        <is>
          <t>1992-08-25</t>
        </is>
      </c>
      <c r="Y1543" t="n">
        <v>430</v>
      </c>
      <c r="Z1543" t="n">
        <v>408</v>
      </c>
      <c r="AA1543" t="n">
        <v>408</v>
      </c>
      <c r="AB1543" t="n">
        <v>3</v>
      </c>
      <c r="AC1543" t="n">
        <v>3</v>
      </c>
      <c r="AD1543" t="n">
        <v>27</v>
      </c>
      <c r="AE1543" t="n">
        <v>27</v>
      </c>
      <c r="AF1543" t="n">
        <v>7</v>
      </c>
      <c r="AG1543" t="n">
        <v>7</v>
      </c>
      <c r="AH1543" t="n">
        <v>5</v>
      </c>
      <c r="AI1543" t="n">
        <v>5</v>
      </c>
      <c r="AJ1543" t="n">
        <v>9</v>
      </c>
      <c r="AK1543" t="n">
        <v>9</v>
      </c>
      <c r="AL1543" t="n">
        <v>2</v>
      </c>
      <c r="AM1543" t="n">
        <v>2</v>
      </c>
      <c r="AN1543" t="n">
        <v>10</v>
      </c>
      <c r="AO1543" t="n">
        <v>10</v>
      </c>
      <c r="AP1543" t="inlineStr">
        <is>
          <t>No</t>
        </is>
      </c>
      <c r="AQ1543" t="inlineStr">
        <is>
          <t>No</t>
        </is>
      </c>
      <c r="AS1543">
        <f>HYPERLINK("https://creighton-primo.hosted.exlibrisgroup.com/primo-explore/search?tab=default_tab&amp;search_scope=EVERYTHING&amp;vid=01CRU&amp;lang=en_US&amp;offset=0&amp;query=any,contains,991004677669702656","Catalog Record")</f>
        <v/>
      </c>
      <c r="AT1543">
        <f>HYPERLINK("http://www.worldcat.org/oclc/4549448","WorldCat Record")</f>
        <v/>
      </c>
      <c r="AU1543" t="inlineStr">
        <is>
          <t>5613487737:eng</t>
        </is>
      </c>
      <c r="AV1543" t="inlineStr">
        <is>
          <t>4549448</t>
        </is>
      </c>
      <c r="AW1543" t="inlineStr">
        <is>
          <t>991004677669702656</t>
        </is>
      </c>
      <c r="AX1543" t="inlineStr">
        <is>
          <t>991004677669702656</t>
        </is>
      </c>
      <c r="AY1543" t="inlineStr">
        <is>
          <t>2272586940002656</t>
        </is>
      </c>
      <c r="AZ1543" t="inlineStr">
        <is>
          <t>BOOK</t>
        </is>
      </c>
      <c r="BB1543" t="inlineStr">
        <is>
          <t>9780807725542</t>
        </is>
      </c>
      <c r="BC1543" t="inlineStr">
        <is>
          <t>32285001280626</t>
        </is>
      </c>
      <c r="BD1543" t="inlineStr">
        <is>
          <t>893788991</t>
        </is>
      </c>
    </row>
    <row r="1544">
      <c r="A1544" t="inlineStr">
        <is>
          <t>No</t>
        </is>
      </c>
      <c r="B1544" t="inlineStr">
        <is>
          <t>LC214.5 .O73</t>
        </is>
      </c>
      <c r="C1544" t="inlineStr">
        <is>
          <t>0                      LC 0214500O  73</t>
        </is>
      </c>
      <c r="D1544" t="inlineStr">
        <is>
          <t>Must we bus? : Segregated schools and national policy / Gary Orfield.</t>
        </is>
      </c>
      <c r="F1544" t="inlineStr">
        <is>
          <t>No</t>
        </is>
      </c>
      <c r="G1544" t="inlineStr">
        <is>
          <t>1</t>
        </is>
      </c>
      <c r="H1544" t="inlineStr">
        <is>
          <t>No</t>
        </is>
      </c>
      <c r="I1544" t="inlineStr">
        <is>
          <t>No</t>
        </is>
      </c>
      <c r="J1544" t="inlineStr">
        <is>
          <t>0</t>
        </is>
      </c>
      <c r="K1544" t="inlineStr">
        <is>
          <t>Orfield, Gary.</t>
        </is>
      </c>
      <c r="L1544" t="inlineStr">
        <is>
          <t>Washington : Brookings Institution, c1978.</t>
        </is>
      </c>
      <c r="M1544" t="inlineStr">
        <is>
          <t>1978</t>
        </is>
      </c>
      <c r="O1544" t="inlineStr">
        <is>
          <t>eng</t>
        </is>
      </c>
      <c r="P1544" t="inlineStr">
        <is>
          <t>dcu</t>
        </is>
      </c>
      <c r="R1544" t="inlineStr">
        <is>
          <t xml:space="preserve">LC </t>
        </is>
      </c>
      <c r="S1544" t="n">
        <v>7</v>
      </c>
      <c r="T1544" t="n">
        <v>7</v>
      </c>
      <c r="U1544" t="inlineStr">
        <is>
          <t>2007-07-17</t>
        </is>
      </c>
      <c r="V1544" t="inlineStr">
        <is>
          <t>2007-07-17</t>
        </is>
      </c>
      <c r="W1544" t="inlineStr">
        <is>
          <t>1994-04-21</t>
        </is>
      </c>
      <c r="X1544" t="inlineStr">
        <is>
          <t>1994-04-21</t>
        </is>
      </c>
      <c r="Y1544" t="n">
        <v>1058</v>
      </c>
      <c r="Z1544" t="n">
        <v>992</v>
      </c>
      <c r="AA1544" t="n">
        <v>999</v>
      </c>
      <c r="AB1544" t="n">
        <v>8</v>
      </c>
      <c r="AC1544" t="n">
        <v>8</v>
      </c>
      <c r="AD1544" t="n">
        <v>51</v>
      </c>
      <c r="AE1544" t="n">
        <v>51</v>
      </c>
      <c r="AF1544" t="n">
        <v>13</v>
      </c>
      <c r="AG1544" t="n">
        <v>13</v>
      </c>
      <c r="AH1544" t="n">
        <v>9</v>
      </c>
      <c r="AI1544" t="n">
        <v>9</v>
      </c>
      <c r="AJ1544" t="n">
        <v>19</v>
      </c>
      <c r="AK1544" t="n">
        <v>19</v>
      </c>
      <c r="AL1544" t="n">
        <v>6</v>
      </c>
      <c r="AM1544" t="n">
        <v>6</v>
      </c>
      <c r="AN1544" t="n">
        <v>16</v>
      </c>
      <c r="AO1544" t="n">
        <v>16</v>
      </c>
      <c r="AP1544" t="inlineStr">
        <is>
          <t>No</t>
        </is>
      </c>
      <c r="AQ1544" t="inlineStr">
        <is>
          <t>Yes</t>
        </is>
      </c>
      <c r="AR1544">
        <f>HYPERLINK("http://catalog.hathitrust.org/Record/000090202","HathiTrust Record")</f>
        <v/>
      </c>
      <c r="AS1544">
        <f>HYPERLINK("https://creighton-primo.hosted.exlibrisgroup.com/primo-explore/search?tab=default_tab&amp;search_scope=EVERYTHING&amp;vid=01CRU&amp;lang=en_US&amp;offset=0&amp;query=any,contains,991004464309702656","Catalog Record")</f>
        <v/>
      </c>
      <c r="AT1544">
        <f>HYPERLINK("http://www.worldcat.org/oclc/3559599","WorldCat Record")</f>
        <v/>
      </c>
      <c r="AU1544" t="inlineStr">
        <is>
          <t>309039469:eng</t>
        </is>
      </c>
      <c r="AV1544" t="inlineStr">
        <is>
          <t>3559599</t>
        </is>
      </c>
      <c r="AW1544" t="inlineStr">
        <is>
          <t>991004464309702656</t>
        </is>
      </c>
      <c r="AX1544" t="inlineStr">
        <is>
          <t>991004464309702656</t>
        </is>
      </c>
      <c r="AY1544" t="inlineStr">
        <is>
          <t>2264193840002656</t>
        </is>
      </c>
      <c r="AZ1544" t="inlineStr">
        <is>
          <t>BOOK</t>
        </is>
      </c>
      <c r="BB1544" t="inlineStr">
        <is>
          <t>9780815766384</t>
        </is>
      </c>
      <c r="BC1544" t="inlineStr">
        <is>
          <t>32285001890614</t>
        </is>
      </c>
      <c r="BD1544" t="inlineStr">
        <is>
          <t>893319252</t>
        </is>
      </c>
    </row>
    <row r="1545">
      <c r="A1545" t="inlineStr">
        <is>
          <t>No</t>
        </is>
      </c>
      <c r="B1545" t="inlineStr">
        <is>
          <t>LC215 .L48 1986</t>
        </is>
      </c>
      <c r="C1545" t="inlineStr">
        <is>
          <t>0                      LC 0215000L  48          1986</t>
        </is>
      </c>
      <c r="D1545" t="inlineStr">
        <is>
          <t>Partnerships connecting school and community / by Anne C. Lewis ; edited by T. Susan Hill and Debbie Demmon-Berger.</t>
        </is>
      </c>
      <c r="F1545" t="inlineStr">
        <is>
          <t>No</t>
        </is>
      </c>
      <c r="G1545" t="inlineStr">
        <is>
          <t>1</t>
        </is>
      </c>
      <c r="H1545" t="inlineStr">
        <is>
          <t>No</t>
        </is>
      </c>
      <c r="I1545" t="inlineStr">
        <is>
          <t>No</t>
        </is>
      </c>
      <c r="J1545" t="inlineStr">
        <is>
          <t>0</t>
        </is>
      </c>
      <c r="K1545" t="inlineStr">
        <is>
          <t>Lewis, Anne Chambers.</t>
        </is>
      </c>
      <c r="L1545" t="inlineStr">
        <is>
          <t>Arlington, Va. : American Association of School Administrators, c1986.</t>
        </is>
      </c>
      <c r="M1545" t="inlineStr">
        <is>
          <t>1986</t>
        </is>
      </c>
      <c r="O1545" t="inlineStr">
        <is>
          <t>eng</t>
        </is>
      </c>
      <c r="P1545" t="inlineStr">
        <is>
          <t>vau</t>
        </is>
      </c>
      <c r="R1545" t="inlineStr">
        <is>
          <t xml:space="preserve">LC </t>
        </is>
      </c>
      <c r="S1545" t="n">
        <v>1</v>
      </c>
      <c r="T1545" t="n">
        <v>1</v>
      </c>
      <c r="U1545" t="inlineStr">
        <is>
          <t>2004-09-14</t>
        </is>
      </c>
      <c r="V1545" t="inlineStr">
        <is>
          <t>2004-09-14</t>
        </is>
      </c>
      <c r="W1545" t="inlineStr">
        <is>
          <t>1992-08-25</t>
        </is>
      </c>
      <c r="X1545" t="inlineStr">
        <is>
          <t>1992-08-25</t>
        </is>
      </c>
      <c r="Y1545" t="n">
        <v>121</v>
      </c>
      <c r="Z1545" t="n">
        <v>113</v>
      </c>
      <c r="AA1545" t="n">
        <v>115</v>
      </c>
      <c r="AB1545" t="n">
        <v>3</v>
      </c>
      <c r="AC1545" t="n">
        <v>3</v>
      </c>
      <c r="AD1545" t="n">
        <v>2</v>
      </c>
      <c r="AE1545" t="n">
        <v>2</v>
      </c>
      <c r="AF1545" t="n">
        <v>1</v>
      </c>
      <c r="AG1545" t="n">
        <v>1</v>
      </c>
      <c r="AH1545" t="n">
        <v>0</v>
      </c>
      <c r="AI1545" t="n">
        <v>0</v>
      </c>
      <c r="AJ1545" t="n">
        <v>1</v>
      </c>
      <c r="AK1545" t="n">
        <v>1</v>
      </c>
      <c r="AL1545" t="n">
        <v>1</v>
      </c>
      <c r="AM1545" t="n">
        <v>1</v>
      </c>
      <c r="AN1545" t="n">
        <v>0</v>
      </c>
      <c r="AO1545" t="n">
        <v>0</v>
      </c>
      <c r="AP1545" t="inlineStr">
        <is>
          <t>No</t>
        </is>
      </c>
      <c r="AQ1545" t="inlineStr">
        <is>
          <t>No</t>
        </is>
      </c>
      <c r="AS1545">
        <f>HYPERLINK("https://creighton-primo.hosted.exlibrisgroup.com/primo-explore/search?tab=default_tab&amp;search_scope=EVERYTHING&amp;vid=01CRU&amp;lang=en_US&amp;offset=0&amp;query=any,contains,991001090649702656","Catalog Record")</f>
        <v/>
      </c>
      <c r="AT1545">
        <f>HYPERLINK("http://www.worldcat.org/oclc/16218698","WorldCat Record")</f>
        <v/>
      </c>
      <c r="AU1545" t="inlineStr">
        <is>
          <t>12056612:eng</t>
        </is>
      </c>
      <c r="AV1545" t="inlineStr">
        <is>
          <t>16218698</t>
        </is>
      </c>
      <c r="AW1545" t="inlineStr">
        <is>
          <t>991001090649702656</t>
        </is>
      </c>
      <c r="AX1545" t="inlineStr">
        <is>
          <t>991001090649702656</t>
        </is>
      </c>
      <c r="AY1545" t="inlineStr">
        <is>
          <t>2255259060002656</t>
        </is>
      </c>
      <c r="AZ1545" t="inlineStr">
        <is>
          <t>BOOK</t>
        </is>
      </c>
      <c r="BB1545" t="inlineStr">
        <is>
          <t>9780876521021</t>
        </is>
      </c>
      <c r="BC1545" t="inlineStr">
        <is>
          <t>32285001280675</t>
        </is>
      </c>
      <c r="BD1545" t="inlineStr">
        <is>
          <t>893708983</t>
        </is>
      </c>
    </row>
    <row r="1546">
      <c r="A1546" t="inlineStr">
        <is>
          <t>No</t>
        </is>
      </c>
      <c r="B1546" t="inlineStr">
        <is>
          <t>LC220.5 .A884 1994</t>
        </is>
      </c>
      <c r="C1546" t="inlineStr">
        <is>
          <t>0                      LC 0220500A  884         1994</t>
        </is>
      </c>
      <c r="D1546" t="inlineStr">
        <is>
          <t>Attitude assessment : guidebook and assessment tools to measure a developing sense of social responsibility and personal growth through community service / [editor, Karen J. Solomon]</t>
        </is>
      </c>
      <c r="F1546" t="inlineStr">
        <is>
          <t>No</t>
        </is>
      </c>
      <c r="G1546" t="inlineStr">
        <is>
          <t>1</t>
        </is>
      </c>
      <c r="H1546" t="inlineStr">
        <is>
          <t>No</t>
        </is>
      </c>
      <c r="I1546" t="inlineStr">
        <is>
          <t>No</t>
        </is>
      </c>
      <c r="J1546" t="inlineStr">
        <is>
          <t>0</t>
        </is>
      </c>
      <c r="L1546" t="inlineStr">
        <is>
          <t>[Normal, Ill.] : Illinois Campus Compact for Community Service, c1994.</t>
        </is>
      </c>
      <c r="M1546" t="inlineStr">
        <is>
          <t>1994</t>
        </is>
      </c>
      <c r="O1546" t="inlineStr">
        <is>
          <t>eng</t>
        </is>
      </c>
      <c r="P1546" t="inlineStr">
        <is>
          <t>ilu</t>
        </is>
      </c>
      <c r="R1546" t="inlineStr">
        <is>
          <t xml:space="preserve">LC </t>
        </is>
      </c>
      <c r="S1546" t="n">
        <v>21</v>
      </c>
      <c r="T1546" t="n">
        <v>21</v>
      </c>
      <c r="U1546" t="inlineStr">
        <is>
          <t>2010-10-12</t>
        </is>
      </c>
      <c r="V1546" t="inlineStr">
        <is>
          <t>2010-10-12</t>
        </is>
      </c>
      <c r="W1546" t="inlineStr">
        <is>
          <t>2001-01-16</t>
        </is>
      </c>
      <c r="X1546" t="inlineStr">
        <is>
          <t>2001-01-16</t>
        </is>
      </c>
      <c r="Y1546" t="n">
        <v>3</v>
      </c>
      <c r="Z1546" t="n">
        <v>3</v>
      </c>
      <c r="AA1546" t="n">
        <v>3</v>
      </c>
      <c r="AB1546" t="n">
        <v>1</v>
      </c>
      <c r="AC1546" t="n">
        <v>1</v>
      </c>
      <c r="AD1546" t="n">
        <v>1</v>
      </c>
      <c r="AE1546" t="n">
        <v>1</v>
      </c>
      <c r="AF1546" t="n">
        <v>1</v>
      </c>
      <c r="AG1546" t="n">
        <v>1</v>
      </c>
      <c r="AH1546" t="n">
        <v>0</v>
      </c>
      <c r="AI1546" t="n">
        <v>0</v>
      </c>
      <c r="AJ1546" t="n">
        <v>0</v>
      </c>
      <c r="AK1546" t="n">
        <v>0</v>
      </c>
      <c r="AL1546" t="n">
        <v>0</v>
      </c>
      <c r="AM1546" t="n">
        <v>0</v>
      </c>
      <c r="AN1546" t="n">
        <v>0</v>
      </c>
      <c r="AO1546" t="n">
        <v>0</v>
      </c>
      <c r="AP1546" t="inlineStr">
        <is>
          <t>No</t>
        </is>
      </c>
      <c r="AQ1546" t="inlineStr">
        <is>
          <t>No</t>
        </is>
      </c>
      <c r="AS1546">
        <f>HYPERLINK("https://creighton-primo.hosted.exlibrisgroup.com/primo-explore/search?tab=default_tab&amp;search_scope=EVERYTHING&amp;vid=01CRU&amp;lang=en_US&amp;offset=0&amp;query=any,contains,991003352389702656","Catalog Record")</f>
        <v/>
      </c>
      <c r="AT1546">
        <f>HYPERLINK("http://www.worldcat.org/oclc/40673718","WorldCat Record")</f>
        <v/>
      </c>
      <c r="AU1546" t="inlineStr">
        <is>
          <t>25559662:eng</t>
        </is>
      </c>
      <c r="AV1546" t="inlineStr">
        <is>
          <t>40673718</t>
        </is>
      </c>
      <c r="AW1546" t="inlineStr">
        <is>
          <t>991003352389702656</t>
        </is>
      </c>
      <c r="AX1546" t="inlineStr">
        <is>
          <t>991003352389702656</t>
        </is>
      </c>
      <c r="AY1546" t="inlineStr">
        <is>
          <t>2260107390002656</t>
        </is>
      </c>
      <c r="AZ1546" t="inlineStr">
        <is>
          <t>BOOK</t>
        </is>
      </c>
      <c r="BC1546" t="inlineStr">
        <is>
          <t>32285004284328</t>
        </is>
      </c>
      <c r="BD1546" t="inlineStr">
        <is>
          <t>893774653</t>
        </is>
      </c>
    </row>
    <row r="1547">
      <c r="A1547" t="inlineStr">
        <is>
          <t>No</t>
        </is>
      </c>
      <c r="B1547" t="inlineStr">
        <is>
          <t>LC220.5 .B465 1999</t>
        </is>
      </c>
      <c r="C1547" t="inlineStr">
        <is>
          <t>0                      LC 0220500B  465         1999</t>
        </is>
      </c>
      <c r="D1547" t="inlineStr">
        <is>
          <t>Service learning for the multiple intelligences classroom / Sally Berman ; [editor, Sue Schumer ; indexer, Schroeder Indexing].</t>
        </is>
      </c>
      <c r="F1547" t="inlineStr">
        <is>
          <t>No</t>
        </is>
      </c>
      <c r="G1547" t="inlineStr">
        <is>
          <t>1</t>
        </is>
      </c>
      <c r="H1547" t="inlineStr">
        <is>
          <t>No</t>
        </is>
      </c>
      <c r="I1547" t="inlineStr">
        <is>
          <t>No</t>
        </is>
      </c>
      <c r="J1547" t="inlineStr">
        <is>
          <t>0</t>
        </is>
      </c>
      <c r="K1547" t="inlineStr">
        <is>
          <t>Berman, Sally.</t>
        </is>
      </c>
      <c r="L1547" t="inlineStr">
        <is>
          <t>Arlington Heights, IL : Skylight Training and Pub., c1999.</t>
        </is>
      </c>
      <c r="M1547" t="inlineStr">
        <is>
          <t>1999</t>
        </is>
      </c>
      <c r="O1547" t="inlineStr">
        <is>
          <t>eng</t>
        </is>
      </c>
      <c r="P1547" t="inlineStr">
        <is>
          <t>ilu</t>
        </is>
      </c>
      <c r="R1547" t="inlineStr">
        <is>
          <t xml:space="preserve">LC </t>
        </is>
      </c>
      <c r="S1547" t="n">
        <v>5</v>
      </c>
      <c r="T1547" t="n">
        <v>5</v>
      </c>
      <c r="U1547" t="inlineStr">
        <is>
          <t>2009-10-04</t>
        </is>
      </c>
      <c r="V1547" t="inlineStr">
        <is>
          <t>2009-10-04</t>
        </is>
      </c>
      <c r="W1547" t="inlineStr">
        <is>
          <t>2003-04-24</t>
        </is>
      </c>
      <c r="X1547" t="inlineStr">
        <is>
          <t>2003-04-24</t>
        </is>
      </c>
      <c r="Y1547" t="n">
        <v>70</v>
      </c>
      <c r="Z1547" t="n">
        <v>54</v>
      </c>
      <c r="AA1547" t="n">
        <v>54</v>
      </c>
      <c r="AB1547" t="n">
        <v>2</v>
      </c>
      <c r="AC1547" t="n">
        <v>2</v>
      </c>
      <c r="AD1547" t="n">
        <v>2</v>
      </c>
      <c r="AE1547" t="n">
        <v>2</v>
      </c>
      <c r="AF1547" t="n">
        <v>1</v>
      </c>
      <c r="AG1547" t="n">
        <v>1</v>
      </c>
      <c r="AH1547" t="n">
        <v>0</v>
      </c>
      <c r="AI1547" t="n">
        <v>0</v>
      </c>
      <c r="AJ1547" t="n">
        <v>0</v>
      </c>
      <c r="AK1547" t="n">
        <v>0</v>
      </c>
      <c r="AL1547" t="n">
        <v>1</v>
      </c>
      <c r="AM1547" t="n">
        <v>1</v>
      </c>
      <c r="AN1547" t="n">
        <v>0</v>
      </c>
      <c r="AO1547" t="n">
        <v>0</v>
      </c>
      <c r="AP1547" t="inlineStr">
        <is>
          <t>No</t>
        </is>
      </c>
      <c r="AQ1547" t="inlineStr">
        <is>
          <t>No</t>
        </is>
      </c>
      <c r="AS1547">
        <f>HYPERLINK("https://creighton-primo.hosted.exlibrisgroup.com/primo-explore/search?tab=default_tab&amp;search_scope=EVERYTHING&amp;vid=01CRU&amp;lang=en_US&amp;offset=0&amp;query=any,contains,991004022929702656","Catalog Record")</f>
        <v/>
      </c>
      <c r="AT1547">
        <f>HYPERLINK("http://www.worldcat.org/oclc/41176395","WorldCat Record")</f>
        <v/>
      </c>
      <c r="AU1547" t="inlineStr">
        <is>
          <t>134323365:eng</t>
        </is>
      </c>
      <c r="AV1547" t="inlineStr">
        <is>
          <t>41176395</t>
        </is>
      </c>
      <c r="AW1547" t="inlineStr">
        <is>
          <t>991004022929702656</t>
        </is>
      </c>
      <c r="AX1547" t="inlineStr">
        <is>
          <t>991004022929702656</t>
        </is>
      </c>
      <c r="AY1547" t="inlineStr">
        <is>
          <t>2259404790002656</t>
        </is>
      </c>
      <c r="AZ1547" t="inlineStr">
        <is>
          <t>BOOK</t>
        </is>
      </c>
      <c r="BB1547" t="inlineStr">
        <is>
          <t>9781575171203</t>
        </is>
      </c>
      <c r="BC1547" t="inlineStr">
        <is>
          <t>32285004743463</t>
        </is>
      </c>
      <c r="BD1547" t="inlineStr">
        <is>
          <t>893781767</t>
        </is>
      </c>
    </row>
    <row r="1548">
      <c r="A1548" t="inlineStr">
        <is>
          <t>No</t>
        </is>
      </c>
      <c r="B1548" t="inlineStr">
        <is>
          <t>LC220.5 .C644 1999</t>
        </is>
      </c>
      <c r="C1548" t="inlineStr">
        <is>
          <t>0                      LC 0220500C  644         1999</t>
        </is>
      </c>
      <c r="D1548" t="inlineStr">
        <is>
          <t>Colleges and universities as citizens / edited by Robert G. Bringle, Richard Games, Edward A. Malloy.</t>
        </is>
      </c>
      <c r="F1548" t="inlineStr">
        <is>
          <t>No</t>
        </is>
      </c>
      <c r="G1548" t="inlineStr">
        <is>
          <t>1</t>
        </is>
      </c>
      <c r="H1548" t="inlineStr">
        <is>
          <t>No</t>
        </is>
      </c>
      <c r="I1548" t="inlineStr">
        <is>
          <t>No</t>
        </is>
      </c>
      <c r="J1548" t="inlineStr">
        <is>
          <t>0</t>
        </is>
      </c>
      <c r="L1548" t="inlineStr">
        <is>
          <t>Boston : Allyn and Bacon, c1999.</t>
        </is>
      </c>
      <c r="M1548" t="inlineStr">
        <is>
          <t>1999</t>
        </is>
      </c>
      <c r="O1548" t="inlineStr">
        <is>
          <t>eng</t>
        </is>
      </c>
      <c r="P1548" t="inlineStr">
        <is>
          <t>mau</t>
        </is>
      </c>
      <c r="R1548" t="inlineStr">
        <is>
          <t xml:space="preserve">LC </t>
        </is>
      </c>
      <c r="S1548" t="n">
        <v>3</v>
      </c>
      <c r="T1548" t="n">
        <v>3</v>
      </c>
      <c r="U1548" t="inlineStr">
        <is>
          <t>2004-10-25</t>
        </is>
      </c>
      <c r="V1548" t="inlineStr">
        <is>
          <t>2004-10-25</t>
        </is>
      </c>
      <c r="W1548" t="inlineStr">
        <is>
          <t>2000-12-20</t>
        </is>
      </c>
      <c r="X1548" t="inlineStr">
        <is>
          <t>2000-12-20</t>
        </is>
      </c>
      <c r="Y1548" t="n">
        <v>303</v>
      </c>
      <c r="Z1548" t="n">
        <v>276</v>
      </c>
      <c r="AA1548" t="n">
        <v>278</v>
      </c>
      <c r="AB1548" t="n">
        <v>5</v>
      </c>
      <c r="AC1548" t="n">
        <v>5</v>
      </c>
      <c r="AD1548" t="n">
        <v>15</v>
      </c>
      <c r="AE1548" t="n">
        <v>15</v>
      </c>
      <c r="AF1548" t="n">
        <v>6</v>
      </c>
      <c r="AG1548" t="n">
        <v>6</v>
      </c>
      <c r="AH1548" t="n">
        <v>4</v>
      </c>
      <c r="AI1548" t="n">
        <v>4</v>
      </c>
      <c r="AJ1548" t="n">
        <v>5</v>
      </c>
      <c r="AK1548" t="n">
        <v>5</v>
      </c>
      <c r="AL1548" t="n">
        <v>4</v>
      </c>
      <c r="AM1548" t="n">
        <v>4</v>
      </c>
      <c r="AN1548" t="n">
        <v>0</v>
      </c>
      <c r="AO1548" t="n">
        <v>0</v>
      </c>
      <c r="AP1548" t="inlineStr">
        <is>
          <t>No</t>
        </is>
      </c>
      <c r="AQ1548" t="inlineStr">
        <is>
          <t>Yes</t>
        </is>
      </c>
      <c r="AR1548">
        <f>HYPERLINK("http://catalog.hathitrust.org/Record/004035569","HathiTrust Record")</f>
        <v/>
      </c>
      <c r="AS1548">
        <f>HYPERLINK("https://creighton-primo.hosted.exlibrisgroup.com/primo-explore/search?tab=default_tab&amp;search_scope=EVERYTHING&amp;vid=01CRU&amp;lang=en_US&amp;offset=0&amp;query=any,contains,991003352449702656","Catalog Record")</f>
        <v/>
      </c>
      <c r="AT1548">
        <f>HYPERLINK("http://www.worldcat.org/oclc/39924900","WorldCat Record")</f>
        <v/>
      </c>
      <c r="AU1548" t="inlineStr">
        <is>
          <t>42080786:eng</t>
        </is>
      </c>
      <c r="AV1548" t="inlineStr">
        <is>
          <t>39924900</t>
        </is>
      </c>
      <c r="AW1548" t="inlineStr">
        <is>
          <t>991003352449702656</t>
        </is>
      </c>
      <c r="AX1548" t="inlineStr">
        <is>
          <t>991003352449702656</t>
        </is>
      </c>
      <c r="AY1548" t="inlineStr">
        <is>
          <t>2264573790002656</t>
        </is>
      </c>
      <c r="AZ1548" t="inlineStr">
        <is>
          <t>BOOK</t>
        </is>
      </c>
      <c r="BB1548" t="inlineStr">
        <is>
          <t>9780205286966</t>
        </is>
      </c>
      <c r="BC1548" t="inlineStr">
        <is>
          <t>32285004277769</t>
        </is>
      </c>
      <c r="BD1548" t="inlineStr">
        <is>
          <t>893809950</t>
        </is>
      </c>
    </row>
    <row r="1549">
      <c r="A1549" t="inlineStr">
        <is>
          <t>No</t>
        </is>
      </c>
      <c r="B1549" t="inlineStr">
        <is>
          <t>LC220.5 .F67 1997</t>
        </is>
      </c>
      <c r="C1549" t="inlineStr">
        <is>
          <t>0                      LC 0220500F  67          1997</t>
        </is>
      </c>
      <c r="D1549" t="inlineStr">
        <is>
          <t>Community &amp; service learning / by Imogene Forte and Sandra Schurr.</t>
        </is>
      </c>
      <c r="F1549" t="inlineStr">
        <is>
          <t>No</t>
        </is>
      </c>
      <c r="G1549" t="inlineStr">
        <is>
          <t>1</t>
        </is>
      </c>
      <c r="H1549" t="inlineStr">
        <is>
          <t>No</t>
        </is>
      </c>
      <c r="I1549" t="inlineStr">
        <is>
          <t>No</t>
        </is>
      </c>
      <c r="J1549" t="inlineStr">
        <is>
          <t>0</t>
        </is>
      </c>
      <c r="K1549" t="inlineStr">
        <is>
          <t>Forte, Imogene.</t>
        </is>
      </c>
      <c r="L1549" t="inlineStr">
        <is>
          <t>Nashville, Tenn. : Incentive Publications, c1997.</t>
        </is>
      </c>
      <c r="M1549" t="inlineStr">
        <is>
          <t>1997</t>
        </is>
      </c>
      <c r="O1549" t="inlineStr">
        <is>
          <t>eng</t>
        </is>
      </c>
      <c r="P1549" t="inlineStr">
        <is>
          <t>tnu</t>
        </is>
      </c>
      <c r="R1549" t="inlineStr">
        <is>
          <t xml:space="preserve">LC </t>
        </is>
      </c>
      <c r="S1549" t="n">
        <v>3</v>
      </c>
      <c r="T1549" t="n">
        <v>3</v>
      </c>
      <c r="U1549" t="inlineStr">
        <is>
          <t>2005-12-01</t>
        </is>
      </c>
      <c r="V1549" t="inlineStr">
        <is>
          <t>2005-12-01</t>
        </is>
      </c>
      <c r="W1549" t="inlineStr">
        <is>
          <t>2001-12-12</t>
        </is>
      </c>
      <c r="X1549" t="inlineStr">
        <is>
          <t>2001-12-12</t>
        </is>
      </c>
      <c r="Y1549" t="n">
        <v>22</v>
      </c>
      <c r="Z1549" t="n">
        <v>22</v>
      </c>
      <c r="AA1549" t="n">
        <v>22</v>
      </c>
      <c r="AB1549" t="n">
        <v>2</v>
      </c>
      <c r="AC1549" t="n">
        <v>2</v>
      </c>
      <c r="AD1549" t="n">
        <v>1</v>
      </c>
      <c r="AE1549" t="n">
        <v>1</v>
      </c>
      <c r="AF1549" t="n">
        <v>0</v>
      </c>
      <c r="AG1549" t="n">
        <v>0</v>
      </c>
      <c r="AH1549" t="n">
        <v>0</v>
      </c>
      <c r="AI1549" t="n">
        <v>0</v>
      </c>
      <c r="AJ1549" t="n">
        <v>0</v>
      </c>
      <c r="AK1549" t="n">
        <v>0</v>
      </c>
      <c r="AL1549" t="n">
        <v>1</v>
      </c>
      <c r="AM1549" t="n">
        <v>1</v>
      </c>
      <c r="AN1549" t="n">
        <v>0</v>
      </c>
      <c r="AO1549" t="n">
        <v>0</v>
      </c>
      <c r="AP1549" t="inlineStr">
        <is>
          <t>No</t>
        </is>
      </c>
      <c r="AQ1549" t="inlineStr">
        <is>
          <t>No</t>
        </is>
      </c>
      <c r="AS1549">
        <f>HYPERLINK("https://creighton-primo.hosted.exlibrisgroup.com/primo-explore/search?tab=default_tab&amp;search_scope=EVERYTHING&amp;vid=01CRU&amp;lang=en_US&amp;offset=0&amp;query=any,contains,991003679869702656","Catalog Record")</f>
        <v/>
      </c>
      <c r="AT1549">
        <f>HYPERLINK("http://www.worldcat.org/oclc/38841418","WorldCat Record")</f>
        <v/>
      </c>
      <c r="AU1549" t="inlineStr">
        <is>
          <t>42357555:eng</t>
        </is>
      </c>
      <c r="AV1549" t="inlineStr">
        <is>
          <t>38841418</t>
        </is>
      </c>
      <c r="AW1549" t="inlineStr">
        <is>
          <t>991003679869702656</t>
        </is>
      </c>
      <c r="AX1549" t="inlineStr">
        <is>
          <t>991003679869702656</t>
        </is>
      </c>
      <c r="AY1549" t="inlineStr">
        <is>
          <t>2256078720002656</t>
        </is>
      </c>
      <c r="AZ1549" t="inlineStr">
        <is>
          <t>BOOK</t>
        </is>
      </c>
      <c r="BB1549" t="inlineStr">
        <is>
          <t>9780865303799</t>
        </is>
      </c>
      <c r="BC1549" t="inlineStr">
        <is>
          <t>32285004428479</t>
        </is>
      </c>
      <c r="BD1549" t="inlineStr">
        <is>
          <t>893435295</t>
        </is>
      </c>
    </row>
    <row r="1550">
      <c r="A1550" t="inlineStr">
        <is>
          <t>No</t>
        </is>
      </c>
      <c r="B1550" t="inlineStr">
        <is>
          <t>LC220.5 .L44 1994</t>
        </is>
      </c>
      <c r="C1550" t="inlineStr">
        <is>
          <t>0                      LC 0220500L  44          1994</t>
        </is>
      </c>
      <c r="D1550" t="inlineStr">
        <is>
          <t>Learning to manage federal grants : the Campus Compact guide to administering National Service &amp; other federal grants / Campus Compact ; the Project for Public and Community Service.</t>
        </is>
      </c>
      <c r="F1550" t="inlineStr">
        <is>
          <t>No</t>
        </is>
      </c>
      <c r="G1550" t="inlineStr">
        <is>
          <t>1</t>
        </is>
      </c>
      <c r="H1550" t="inlineStr">
        <is>
          <t>No</t>
        </is>
      </c>
      <c r="I1550" t="inlineStr">
        <is>
          <t>No</t>
        </is>
      </c>
      <c r="J1550" t="inlineStr">
        <is>
          <t>0</t>
        </is>
      </c>
      <c r="L1550" t="inlineStr">
        <is>
          <t>Denver, CO : Education Commission of the States ; Providence, RI : Campus Compact [distributor], 1994.</t>
        </is>
      </c>
      <c r="M1550" t="inlineStr">
        <is>
          <t>1994</t>
        </is>
      </c>
      <c r="O1550" t="inlineStr">
        <is>
          <t>eng</t>
        </is>
      </c>
      <c r="P1550" t="inlineStr">
        <is>
          <t>cou</t>
        </is>
      </c>
      <c r="R1550" t="inlineStr">
        <is>
          <t xml:space="preserve">LC </t>
        </is>
      </c>
      <c r="S1550" t="n">
        <v>2</v>
      </c>
      <c r="T1550" t="n">
        <v>2</v>
      </c>
      <c r="U1550" t="inlineStr">
        <is>
          <t>2004-10-25</t>
        </is>
      </c>
      <c r="V1550" t="inlineStr">
        <is>
          <t>2004-10-25</t>
        </is>
      </c>
      <c r="W1550" t="inlineStr">
        <is>
          <t>2001-05-15</t>
        </is>
      </c>
      <c r="X1550" t="inlineStr">
        <is>
          <t>2001-05-15</t>
        </is>
      </c>
      <c r="Y1550" t="n">
        <v>10</v>
      </c>
      <c r="Z1550" t="n">
        <v>10</v>
      </c>
      <c r="AA1550" t="n">
        <v>10</v>
      </c>
      <c r="AB1550" t="n">
        <v>1</v>
      </c>
      <c r="AC1550" t="n">
        <v>1</v>
      </c>
      <c r="AD1550" t="n">
        <v>1</v>
      </c>
      <c r="AE1550" t="n">
        <v>1</v>
      </c>
      <c r="AF1550" t="n">
        <v>0</v>
      </c>
      <c r="AG1550" t="n">
        <v>0</v>
      </c>
      <c r="AH1550" t="n">
        <v>1</v>
      </c>
      <c r="AI1550" t="n">
        <v>1</v>
      </c>
      <c r="AJ1550" t="n">
        <v>1</v>
      </c>
      <c r="AK1550" t="n">
        <v>1</v>
      </c>
      <c r="AL1550" t="n">
        <v>0</v>
      </c>
      <c r="AM1550" t="n">
        <v>0</v>
      </c>
      <c r="AN1550" t="n">
        <v>0</v>
      </c>
      <c r="AO1550" t="n">
        <v>0</v>
      </c>
      <c r="AP1550" t="inlineStr">
        <is>
          <t>No</t>
        </is>
      </c>
      <c r="AQ1550" t="inlineStr">
        <is>
          <t>No</t>
        </is>
      </c>
      <c r="AS1550">
        <f>HYPERLINK("https://creighton-primo.hosted.exlibrisgroup.com/primo-explore/search?tab=default_tab&amp;search_scope=EVERYTHING&amp;vid=01CRU&amp;lang=en_US&amp;offset=0&amp;query=any,contains,991003352179702656","Catalog Record")</f>
        <v/>
      </c>
      <c r="AT1550">
        <f>HYPERLINK("http://www.worldcat.org/oclc/34542742","WorldCat Record")</f>
        <v/>
      </c>
      <c r="AU1550" t="inlineStr">
        <is>
          <t>40432283:eng</t>
        </is>
      </c>
      <c r="AV1550" t="inlineStr">
        <is>
          <t>34542742</t>
        </is>
      </c>
      <c r="AW1550" t="inlineStr">
        <is>
          <t>991003352179702656</t>
        </is>
      </c>
      <c r="AX1550" t="inlineStr">
        <is>
          <t>991003352179702656</t>
        </is>
      </c>
      <c r="AY1550" t="inlineStr">
        <is>
          <t>2260943060002656</t>
        </is>
      </c>
      <c r="AZ1550" t="inlineStr">
        <is>
          <t>BOOK</t>
        </is>
      </c>
      <c r="BC1550" t="inlineStr">
        <is>
          <t>32285004317714</t>
        </is>
      </c>
      <c r="BD1550" t="inlineStr">
        <is>
          <t>893610947</t>
        </is>
      </c>
    </row>
    <row r="1551">
      <c r="A1551" t="inlineStr">
        <is>
          <t>No</t>
        </is>
      </c>
      <c r="B1551" t="inlineStr">
        <is>
          <t>LC220.5 .P76 2000</t>
        </is>
      </c>
      <c r="C1551" t="inlineStr">
        <is>
          <t>0                      LC 0220500P  76          2000</t>
        </is>
      </c>
      <c r="D1551" t="inlineStr">
        <is>
          <t>Problem based service learning : a fieldguide for making a difference in higher education / edited by Rick Gordon ; sponsored by Campus Compact for New Hampshire.</t>
        </is>
      </c>
      <c r="F1551" t="inlineStr">
        <is>
          <t>No</t>
        </is>
      </c>
      <c r="G1551" t="inlineStr">
        <is>
          <t>1</t>
        </is>
      </c>
      <c r="H1551" t="inlineStr">
        <is>
          <t>No</t>
        </is>
      </c>
      <c r="I1551" t="inlineStr">
        <is>
          <t>No</t>
        </is>
      </c>
      <c r="J1551" t="inlineStr">
        <is>
          <t>0</t>
        </is>
      </c>
      <c r="L1551" t="inlineStr">
        <is>
          <t>[Keene, N.H.] : Education by Design, c2000.</t>
        </is>
      </c>
      <c r="M1551" t="inlineStr">
        <is>
          <t>2000</t>
        </is>
      </c>
      <c r="N1551" t="inlineStr">
        <is>
          <t>2nd ed.</t>
        </is>
      </c>
      <c r="O1551" t="inlineStr">
        <is>
          <t>eng</t>
        </is>
      </c>
      <c r="P1551" t="inlineStr">
        <is>
          <t>nhu</t>
        </is>
      </c>
      <c r="R1551" t="inlineStr">
        <is>
          <t xml:space="preserve">LC </t>
        </is>
      </c>
      <c r="S1551" t="n">
        <v>2</v>
      </c>
      <c r="T1551" t="n">
        <v>2</v>
      </c>
      <c r="U1551" t="inlineStr">
        <is>
          <t>2004-07-27</t>
        </is>
      </c>
      <c r="V1551" t="inlineStr">
        <is>
          <t>2004-07-27</t>
        </is>
      </c>
      <c r="W1551" t="inlineStr">
        <is>
          <t>2003-12-01</t>
        </is>
      </c>
      <c r="X1551" t="inlineStr">
        <is>
          <t>2003-12-01</t>
        </is>
      </c>
      <c r="Y1551" t="n">
        <v>42</v>
      </c>
      <c r="Z1551" t="n">
        <v>37</v>
      </c>
      <c r="AA1551" t="n">
        <v>43</v>
      </c>
      <c r="AB1551" t="n">
        <v>3</v>
      </c>
      <c r="AC1551" t="n">
        <v>3</v>
      </c>
      <c r="AD1551" t="n">
        <v>6</v>
      </c>
      <c r="AE1551" t="n">
        <v>6</v>
      </c>
      <c r="AF1551" t="n">
        <v>3</v>
      </c>
      <c r="AG1551" t="n">
        <v>3</v>
      </c>
      <c r="AH1551" t="n">
        <v>0</v>
      </c>
      <c r="AI1551" t="n">
        <v>0</v>
      </c>
      <c r="AJ1551" t="n">
        <v>2</v>
      </c>
      <c r="AK1551" t="n">
        <v>2</v>
      </c>
      <c r="AL1551" t="n">
        <v>2</v>
      </c>
      <c r="AM1551" t="n">
        <v>2</v>
      </c>
      <c r="AN1551" t="n">
        <v>0</v>
      </c>
      <c r="AO1551" t="n">
        <v>0</v>
      </c>
      <c r="AP1551" t="inlineStr">
        <is>
          <t>No</t>
        </is>
      </c>
      <c r="AQ1551" t="inlineStr">
        <is>
          <t>Yes</t>
        </is>
      </c>
      <c r="AR1551">
        <f>HYPERLINK("http://catalog.hathitrust.org/Record/009818803","HathiTrust Record")</f>
        <v/>
      </c>
      <c r="AS1551">
        <f>HYPERLINK("https://creighton-primo.hosted.exlibrisgroup.com/primo-explore/search?tab=default_tab&amp;search_scope=EVERYTHING&amp;vid=01CRU&amp;lang=en_US&amp;offset=0&amp;query=any,contains,991004194129702656","Catalog Record")</f>
        <v/>
      </c>
      <c r="AT1551">
        <f>HYPERLINK("http://www.worldcat.org/oclc/45429037","WorldCat Record")</f>
        <v/>
      </c>
      <c r="AU1551" t="inlineStr">
        <is>
          <t>463445368:eng</t>
        </is>
      </c>
      <c r="AV1551" t="inlineStr">
        <is>
          <t>45429037</t>
        </is>
      </c>
      <c r="AW1551" t="inlineStr">
        <is>
          <t>991004194129702656</t>
        </is>
      </c>
      <c r="AX1551" t="inlineStr">
        <is>
          <t>991004194129702656</t>
        </is>
      </c>
      <c r="AY1551" t="inlineStr">
        <is>
          <t>2272116160002656</t>
        </is>
      </c>
      <c r="AZ1551" t="inlineStr">
        <is>
          <t>BOOK</t>
        </is>
      </c>
      <c r="BC1551" t="inlineStr">
        <is>
          <t>32285004842430</t>
        </is>
      </c>
      <c r="BD1551" t="inlineStr">
        <is>
          <t>893259448</t>
        </is>
      </c>
    </row>
    <row r="1552">
      <c r="A1552" t="inlineStr">
        <is>
          <t>No</t>
        </is>
      </c>
      <c r="B1552" t="inlineStr">
        <is>
          <t>LC220.5 .R63 2002</t>
        </is>
      </c>
      <c r="C1552" t="inlineStr">
        <is>
          <t>0                      LC 0220500R  63          2002</t>
        </is>
      </c>
      <c r="D1552" t="inlineStr">
        <is>
          <t>Kids taking action : community service learning projects, K-8 / Pamela Roberts ; with contributions from Alice Yang.</t>
        </is>
      </c>
      <c r="F1552" t="inlineStr">
        <is>
          <t>No</t>
        </is>
      </c>
      <c r="G1552" t="inlineStr">
        <is>
          <t>1</t>
        </is>
      </c>
      <c r="H1552" t="inlineStr">
        <is>
          <t>No</t>
        </is>
      </c>
      <c r="I1552" t="inlineStr">
        <is>
          <t>No</t>
        </is>
      </c>
      <c r="J1552" t="inlineStr">
        <is>
          <t>0</t>
        </is>
      </c>
      <c r="K1552" t="inlineStr">
        <is>
          <t>Roberts, Pamela.</t>
        </is>
      </c>
      <c r="L1552" t="inlineStr">
        <is>
          <t>Greenfield, MA : Northeast Foundation for Children, c2002.</t>
        </is>
      </c>
      <c r="M1552" t="inlineStr">
        <is>
          <t>2002</t>
        </is>
      </c>
      <c r="O1552" t="inlineStr">
        <is>
          <t>eng</t>
        </is>
      </c>
      <c r="P1552" t="inlineStr">
        <is>
          <t>mau</t>
        </is>
      </c>
      <c r="R1552" t="inlineStr">
        <is>
          <t xml:space="preserve">LC </t>
        </is>
      </c>
      <c r="S1552" t="n">
        <v>2</v>
      </c>
      <c r="T1552" t="n">
        <v>2</v>
      </c>
      <c r="U1552" t="inlineStr">
        <is>
          <t>2007-05-15</t>
        </is>
      </c>
      <c r="V1552" t="inlineStr">
        <is>
          <t>2007-05-15</t>
        </is>
      </c>
      <c r="W1552" t="inlineStr">
        <is>
          <t>2003-12-04</t>
        </is>
      </c>
      <c r="X1552" t="inlineStr">
        <is>
          <t>2003-12-04</t>
        </is>
      </c>
      <c r="Y1552" t="n">
        <v>178</v>
      </c>
      <c r="Z1552" t="n">
        <v>168</v>
      </c>
      <c r="AA1552" t="n">
        <v>170</v>
      </c>
      <c r="AB1552" t="n">
        <v>3</v>
      </c>
      <c r="AC1552" t="n">
        <v>3</v>
      </c>
      <c r="AD1552" t="n">
        <v>9</v>
      </c>
      <c r="AE1552" t="n">
        <v>9</v>
      </c>
      <c r="AF1552" t="n">
        <v>2</v>
      </c>
      <c r="AG1552" t="n">
        <v>2</v>
      </c>
      <c r="AH1552" t="n">
        <v>2</v>
      </c>
      <c r="AI1552" t="n">
        <v>2</v>
      </c>
      <c r="AJ1552" t="n">
        <v>4</v>
      </c>
      <c r="AK1552" t="n">
        <v>4</v>
      </c>
      <c r="AL1552" t="n">
        <v>2</v>
      </c>
      <c r="AM1552" t="n">
        <v>2</v>
      </c>
      <c r="AN1552" t="n">
        <v>0</v>
      </c>
      <c r="AO1552" t="n">
        <v>0</v>
      </c>
      <c r="AP1552" t="inlineStr">
        <is>
          <t>No</t>
        </is>
      </c>
      <c r="AQ1552" t="inlineStr">
        <is>
          <t>Yes</t>
        </is>
      </c>
      <c r="AR1552">
        <f>HYPERLINK("http://catalog.hathitrust.org/Record/004347806","HathiTrust Record")</f>
        <v/>
      </c>
      <c r="AS1552">
        <f>HYPERLINK("https://creighton-primo.hosted.exlibrisgroup.com/primo-explore/search?tab=default_tab&amp;search_scope=EVERYTHING&amp;vid=01CRU&amp;lang=en_US&amp;offset=0&amp;query=any,contains,991004170849702656","Catalog Record")</f>
        <v/>
      </c>
      <c r="AT1552">
        <f>HYPERLINK("http://www.worldcat.org/oclc/50704827","WorldCat Record")</f>
        <v/>
      </c>
      <c r="AU1552" t="inlineStr">
        <is>
          <t>476189259:eng</t>
        </is>
      </c>
      <c r="AV1552" t="inlineStr">
        <is>
          <t>50704827</t>
        </is>
      </c>
      <c r="AW1552" t="inlineStr">
        <is>
          <t>991004170849702656</t>
        </is>
      </c>
      <c r="AX1552" t="inlineStr">
        <is>
          <t>991004170849702656</t>
        </is>
      </c>
      <c r="AY1552" t="inlineStr">
        <is>
          <t>2257378430002656</t>
        </is>
      </c>
      <c r="AZ1552" t="inlineStr">
        <is>
          <t>BOOK</t>
        </is>
      </c>
      <c r="BB1552" t="inlineStr">
        <is>
          <t>9781892989079</t>
        </is>
      </c>
      <c r="BC1552" t="inlineStr">
        <is>
          <t>32285004844386</t>
        </is>
      </c>
      <c r="BD1552" t="inlineStr">
        <is>
          <t>893519325</t>
        </is>
      </c>
    </row>
    <row r="1553">
      <c r="A1553" t="inlineStr">
        <is>
          <t>No</t>
        </is>
      </c>
      <c r="B1553" t="inlineStr">
        <is>
          <t>LC220.5 .W38 2005</t>
        </is>
      </c>
      <c r="C1553" t="inlineStr">
        <is>
          <t>0                      LC 0220500W  38          2005</t>
        </is>
      </c>
      <c r="D1553" t="inlineStr">
        <is>
          <t>Service-learning : from classroom to community to career / Marie Watkins, Linda Braun.</t>
        </is>
      </c>
      <c r="F1553" t="inlineStr">
        <is>
          <t>No</t>
        </is>
      </c>
      <c r="G1553" t="inlineStr">
        <is>
          <t>1</t>
        </is>
      </c>
      <c r="H1553" t="inlineStr">
        <is>
          <t>No</t>
        </is>
      </c>
      <c r="I1553" t="inlineStr">
        <is>
          <t>No</t>
        </is>
      </c>
      <c r="J1553" t="inlineStr">
        <is>
          <t>0</t>
        </is>
      </c>
      <c r="K1553" t="inlineStr">
        <is>
          <t>Watkins, Marie.</t>
        </is>
      </c>
      <c r="L1553" t="inlineStr">
        <is>
          <t>Indianapolis, Ind. : JIST Publishing , c2005.</t>
        </is>
      </c>
      <c r="M1553" t="inlineStr">
        <is>
          <t>2005</t>
        </is>
      </c>
      <c r="O1553" t="inlineStr">
        <is>
          <t>eng</t>
        </is>
      </c>
      <c r="P1553" t="inlineStr">
        <is>
          <t>inu</t>
        </is>
      </c>
      <c r="R1553" t="inlineStr">
        <is>
          <t xml:space="preserve">LC </t>
        </is>
      </c>
      <c r="S1553" t="n">
        <v>3</v>
      </c>
      <c r="T1553" t="n">
        <v>3</v>
      </c>
      <c r="U1553" t="inlineStr">
        <is>
          <t>2009-10-04</t>
        </is>
      </c>
      <c r="V1553" t="inlineStr">
        <is>
          <t>2009-10-04</t>
        </is>
      </c>
      <c r="W1553" t="inlineStr">
        <is>
          <t>2005-09-19</t>
        </is>
      </c>
      <c r="X1553" t="inlineStr">
        <is>
          <t>2005-09-19</t>
        </is>
      </c>
      <c r="Y1553" t="n">
        <v>87</v>
      </c>
      <c r="Z1553" t="n">
        <v>78</v>
      </c>
      <c r="AA1553" t="n">
        <v>107</v>
      </c>
      <c r="AB1553" t="n">
        <v>2</v>
      </c>
      <c r="AC1553" t="n">
        <v>2</v>
      </c>
      <c r="AD1553" t="n">
        <v>2</v>
      </c>
      <c r="AE1553" t="n">
        <v>2</v>
      </c>
      <c r="AF1553" t="n">
        <v>0</v>
      </c>
      <c r="AG1553" t="n">
        <v>0</v>
      </c>
      <c r="AH1553" t="n">
        <v>1</v>
      </c>
      <c r="AI1553" t="n">
        <v>1</v>
      </c>
      <c r="AJ1553" t="n">
        <v>0</v>
      </c>
      <c r="AK1553" t="n">
        <v>0</v>
      </c>
      <c r="AL1553" t="n">
        <v>1</v>
      </c>
      <c r="AM1553" t="n">
        <v>1</v>
      </c>
      <c r="AN1553" t="n">
        <v>0</v>
      </c>
      <c r="AO1553" t="n">
        <v>0</v>
      </c>
      <c r="AP1553" t="inlineStr">
        <is>
          <t>No</t>
        </is>
      </c>
      <c r="AQ1553" t="inlineStr">
        <is>
          <t>No</t>
        </is>
      </c>
      <c r="AS1553">
        <f>HYPERLINK("https://creighton-primo.hosted.exlibrisgroup.com/primo-explore/search?tab=default_tab&amp;search_scope=EVERYTHING&amp;vid=01CRU&amp;lang=en_US&amp;offset=0&amp;query=any,contains,991004655049702656","Catalog Record")</f>
        <v/>
      </c>
      <c r="AT1553">
        <f>HYPERLINK("http://www.worldcat.org/oclc/61434083","WorldCat Record")</f>
        <v/>
      </c>
      <c r="AU1553" t="inlineStr">
        <is>
          <t>41295565:eng</t>
        </is>
      </c>
      <c r="AV1553" t="inlineStr">
        <is>
          <t>61434083</t>
        </is>
      </c>
      <c r="AW1553" t="inlineStr">
        <is>
          <t>991004655049702656</t>
        </is>
      </c>
      <c r="AX1553" t="inlineStr">
        <is>
          <t>991004655049702656</t>
        </is>
      </c>
      <c r="AY1553" t="inlineStr">
        <is>
          <t>2260571190002656</t>
        </is>
      </c>
      <c r="AZ1553" t="inlineStr">
        <is>
          <t>BOOK</t>
        </is>
      </c>
      <c r="BB1553" t="inlineStr">
        <is>
          <t>9781558641501</t>
        </is>
      </c>
      <c r="BC1553" t="inlineStr">
        <is>
          <t>32285005081335</t>
        </is>
      </c>
      <c r="BD1553" t="inlineStr">
        <is>
          <t>893411801</t>
        </is>
      </c>
    </row>
    <row r="1554">
      <c r="A1554" t="inlineStr">
        <is>
          <t>No</t>
        </is>
      </c>
      <c r="B1554" t="inlineStr">
        <is>
          <t>LC221.3.P46 S79 1995</t>
        </is>
      </c>
      <c r="C1554" t="inlineStr">
        <is>
          <t>0                      LC 0221300P  46                 S  79          1995</t>
        </is>
      </c>
      <c r="D1554" t="inlineStr">
        <is>
          <t>Students trained in advocacy and community service : training manual / [editor Todd Waller].</t>
        </is>
      </c>
      <c r="F1554" t="inlineStr">
        <is>
          <t>No</t>
        </is>
      </c>
      <c r="G1554" t="inlineStr">
        <is>
          <t>1</t>
        </is>
      </c>
      <c r="H1554" t="inlineStr">
        <is>
          <t>No</t>
        </is>
      </c>
      <c r="I1554" t="inlineStr">
        <is>
          <t>No</t>
        </is>
      </c>
      <c r="J1554" t="inlineStr">
        <is>
          <t>0</t>
        </is>
      </c>
      <c r="L1554" t="inlineStr">
        <is>
          <t>Harrisburg, Pa. : Pennsylvania Campus Compact, c1995.</t>
        </is>
      </c>
      <c r="M1554" t="inlineStr">
        <is>
          <t>1995</t>
        </is>
      </c>
      <c r="O1554" t="inlineStr">
        <is>
          <t>eng</t>
        </is>
      </c>
      <c r="P1554" t="inlineStr">
        <is>
          <t>pau</t>
        </is>
      </c>
      <c r="R1554" t="inlineStr">
        <is>
          <t xml:space="preserve">LC </t>
        </is>
      </c>
      <c r="S1554" t="n">
        <v>2</v>
      </c>
      <c r="T1554" t="n">
        <v>2</v>
      </c>
      <c r="U1554" t="inlineStr">
        <is>
          <t>2002-03-25</t>
        </is>
      </c>
      <c r="V1554" t="inlineStr">
        <is>
          <t>2002-03-25</t>
        </is>
      </c>
      <c r="W1554" t="inlineStr">
        <is>
          <t>2002-03-06</t>
        </is>
      </c>
      <c r="X1554" t="inlineStr">
        <is>
          <t>2002-03-06</t>
        </is>
      </c>
      <c r="Y1554" t="n">
        <v>1</v>
      </c>
      <c r="Z1554" t="n">
        <v>1</v>
      </c>
      <c r="AA1554" t="n">
        <v>1</v>
      </c>
      <c r="AB1554" t="n">
        <v>1</v>
      </c>
      <c r="AC1554" t="n">
        <v>1</v>
      </c>
      <c r="AD1554" t="n">
        <v>0</v>
      </c>
      <c r="AE1554" t="n">
        <v>0</v>
      </c>
      <c r="AF1554" t="n">
        <v>0</v>
      </c>
      <c r="AG1554" t="n">
        <v>0</v>
      </c>
      <c r="AH1554" t="n">
        <v>0</v>
      </c>
      <c r="AI1554" t="n">
        <v>0</v>
      </c>
      <c r="AJ1554" t="n">
        <v>0</v>
      </c>
      <c r="AK1554" t="n">
        <v>0</v>
      </c>
      <c r="AL1554" t="n">
        <v>0</v>
      </c>
      <c r="AM1554" t="n">
        <v>0</v>
      </c>
      <c r="AN1554" t="n">
        <v>0</v>
      </c>
      <c r="AO1554" t="n">
        <v>0</v>
      </c>
      <c r="AP1554" t="inlineStr">
        <is>
          <t>No</t>
        </is>
      </c>
      <c r="AQ1554" t="inlineStr">
        <is>
          <t>No</t>
        </is>
      </c>
      <c r="AS1554">
        <f>HYPERLINK("https://creighton-primo.hosted.exlibrisgroup.com/primo-explore/search?tab=default_tab&amp;search_scope=EVERYTHING&amp;vid=01CRU&amp;lang=en_US&amp;offset=0&amp;query=any,contains,991003758179702656","Catalog Record")</f>
        <v/>
      </c>
      <c r="AT1554">
        <f>HYPERLINK("http://www.worldcat.org/oclc/49244559","WorldCat Record")</f>
        <v/>
      </c>
      <c r="AU1554" t="inlineStr">
        <is>
          <t>39097119:eng</t>
        </is>
      </c>
      <c r="AV1554" t="inlineStr">
        <is>
          <t>49244559</t>
        </is>
      </c>
      <c r="AW1554" t="inlineStr">
        <is>
          <t>991003758179702656</t>
        </is>
      </c>
      <c r="AX1554" t="inlineStr">
        <is>
          <t>991003758179702656</t>
        </is>
      </c>
      <c r="AY1554" t="inlineStr">
        <is>
          <t>2255766090002656</t>
        </is>
      </c>
      <c r="AZ1554" t="inlineStr">
        <is>
          <t>BOOK</t>
        </is>
      </c>
      <c r="BC1554" t="inlineStr">
        <is>
          <t>32285003568630</t>
        </is>
      </c>
      <c r="BD1554" t="inlineStr">
        <is>
          <t>893422910</t>
        </is>
      </c>
    </row>
    <row r="1555">
      <c r="A1555" t="inlineStr">
        <is>
          <t>No</t>
        </is>
      </c>
      <c r="B1555" t="inlineStr">
        <is>
          <t>LC225 .W69 1983</t>
        </is>
      </c>
      <c r="C1555" t="inlineStr">
        <is>
          <t>0                      LC 0225000W  69          1983</t>
        </is>
      </c>
      <c r="D1555" t="inlineStr">
        <is>
          <t>Parental participation in children's development and education / Sheila Wolfendale.</t>
        </is>
      </c>
      <c r="F1555" t="inlineStr">
        <is>
          <t>No</t>
        </is>
      </c>
      <c r="G1555" t="inlineStr">
        <is>
          <t>1</t>
        </is>
      </c>
      <c r="H1555" t="inlineStr">
        <is>
          <t>No</t>
        </is>
      </c>
      <c r="I1555" t="inlineStr">
        <is>
          <t>No</t>
        </is>
      </c>
      <c r="J1555" t="inlineStr">
        <is>
          <t>0</t>
        </is>
      </c>
      <c r="K1555" t="inlineStr">
        <is>
          <t>Wolfendale, Sheila, 1939-</t>
        </is>
      </c>
      <c r="L1555" t="inlineStr">
        <is>
          <t>New York : Gordon and Breach Science Publishers, c1983, 1985 printing.</t>
        </is>
      </c>
      <c r="M1555" t="inlineStr">
        <is>
          <t>1983</t>
        </is>
      </c>
      <c r="O1555" t="inlineStr">
        <is>
          <t>eng</t>
        </is>
      </c>
      <c r="P1555" t="inlineStr">
        <is>
          <t>nyu</t>
        </is>
      </c>
      <c r="Q1555" t="inlineStr">
        <is>
          <t>Special aspects of education, 0731-8413 ; v. 3</t>
        </is>
      </c>
      <c r="R1555" t="inlineStr">
        <is>
          <t xml:space="preserve">LC </t>
        </is>
      </c>
      <c r="S1555" t="n">
        <v>3</v>
      </c>
      <c r="T1555" t="n">
        <v>3</v>
      </c>
      <c r="U1555" t="inlineStr">
        <is>
          <t>2010-11-23</t>
        </is>
      </c>
      <c r="V1555" t="inlineStr">
        <is>
          <t>2010-11-23</t>
        </is>
      </c>
      <c r="W1555" t="inlineStr">
        <is>
          <t>1990-08-03</t>
        </is>
      </c>
      <c r="X1555" t="inlineStr">
        <is>
          <t>1990-08-03</t>
        </is>
      </c>
      <c r="Y1555" t="n">
        <v>384</v>
      </c>
      <c r="Z1555" t="n">
        <v>273</v>
      </c>
      <c r="AA1555" t="n">
        <v>284</v>
      </c>
      <c r="AB1555" t="n">
        <v>3</v>
      </c>
      <c r="AC1555" t="n">
        <v>3</v>
      </c>
      <c r="AD1555" t="n">
        <v>11</v>
      </c>
      <c r="AE1555" t="n">
        <v>11</v>
      </c>
      <c r="AF1555" t="n">
        <v>3</v>
      </c>
      <c r="AG1555" t="n">
        <v>3</v>
      </c>
      <c r="AH1555" t="n">
        <v>4</v>
      </c>
      <c r="AI1555" t="n">
        <v>4</v>
      </c>
      <c r="AJ1555" t="n">
        <v>4</v>
      </c>
      <c r="AK1555" t="n">
        <v>4</v>
      </c>
      <c r="AL1555" t="n">
        <v>2</v>
      </c>
      <c r="AM1555" t="n">
        <v>2</v>
      </c>
      <c r="AN1555" t="n">
        <v>0</v>
      </c>
      <c r="AO1555" t="n">
        <v>0</v>
      </c>
      <c r="AP1555" t="inlineStr">
        <is>
          <t>No</t>
        </is>
      </c>
      <c r="AQ1555" t="inlineStr">
        <is>
          <t>No</t>
        </is>
      </c>
      <c r="AS1555">
        <f>HYPERLINK("https://creighton-primo.hosted.exlibrisgroup.com/primo-explore/search?tab=default_tab&amp;search_scope=EVERYTHING&amp;vid=01CRU&amp;lang=en_US&amp;offset=0&amp;query=any,contains,991000034869702656","Catalog Record")</f>
        <v/>
      </c>
      <c r="AT1555">
        <f>HYPERLINK("http://www.worldcat.org/oclc/8627237","WorldCat Record")</f>
        <v/>
      </c>
      <c r="AU1555" t="inlineStr">
        <is>
          <t>2685955:eng</t>
        </is>
      </c>
      <c r="AV1555" t="inlineStr">
        <is>
          <t>8627237</t>
        </is>
      </c>
      <c r="AW1555" t="inlineStr">
        <is>
          <t>991000034869702656</t>
        </is>
      </c>
      <c r="AX1555" t="inlineStr">
        <is>
          <t>991000034869702656</t>
        </is>
      </c>
      <c r="AY1555" t="inlineStr">
        <is>
          <t>2261700620002656</t>
        </is>
      </c>
      <c r="AZ1555" t="inlineStr">
        <is>
          <t>BOOK</t>
        </is>
      </c>
      <c r="BB1555" t="inlineStr">
        <is>
          <t>9780677060606</t>
        </is>
      </c>
      <c r="BC1555" t="inlineStr">
        <is>
          <t>32285000263763</t>
        </is>
      </c>
      <c r="BD1555" t="inlineStr">
        <is>
          <t>893333151</t>
        </is>
      </c>
    </row>
    <row r="1556">
      <c r="A1556" t="inlineStr">
        <is>
          <t>No</t>
        </is>
      </c>
      <c r="B1556" t="inlineStr">
        <is>
          <t>LC225.3 .E83 2004</t>
        </is>
      </c>
      <c r="C1556" t="inlineStr">
        <is>
          <t>0                      LC 0225300E  83          2004</t>
        </is>
      </c>
      <c r="D1556" t="inlineStr">
        <is>
          <t>Family matters : how schools can cope with the crisis in childrearing / Robert Evans.</t>
        </is>
      </c>
      <c r="F1556" t="inlineStr">
        <is>
          <t>No</t>
        </is>
      </c>
      <c r="G1556" t="inlineStr">
        <is>
          <t>1</t>
        </is>
      </c>
      <c r="H1556" t="inlineStr">
        <is>
          <t>No</t>
        </is>
      </c>
      <c r="I1556" t="inlineStr">
        <is>
          <t>No</t>
        </is>
      </c>
      <c r="J1556" t="inlineStr">
        <is>
          <t>0</t>
        </is>
      </c>
      <c r="K1556" t="inlineStr">
        <is>
          <t>Evans, Robert, 1944-</t>
        </is>
      </c>
      <c r="L1556" t="inlineStr">
        <is>
          <t>San Francisco : Jossey-Bass, c2004.</t>
        </is>
      </c>
      <c r="M1556" t="inlineStr">
        <is>
          <t>2004</t>
        </is>
      </c>
      <c r="N1556" t="inlineStr">
        <is>
          <t>1st ed.</t>
        </is>
      </c>
      <c r="O1556" t="inlineStr">
        <is>
          <t>eng</t>
        </is>
      </c>
      <c r="P1556" t="inlineStr">
        <is>
          <t>cau</t>
        </is>
      </c>
      <c r="Q1556" t="inlineStr">
        <is>
          <t>The Jossey-Bass education series</t>
        </is>
      </c>
      <c r="R1556" t="inlineStr">
        <is>
          <t xml:space="preserve">LC </t>
        </is>
      </c>
      <c r="S1556" t="n">
        <v>2</v>
      </c>
      <c r="T1556" t="n">
        <v>2</v>
      </c>
      <c r="U1556" t="inlineStr">
        <is>
          <t>2004-06-23</t>
        </is>
      </c>
      <c r="V1556" t="inlineStr">
        <is>
          <t>2004-06-23</t>
        </is>
      </c>
      <c r="W1556" t="inlineStr">
        <is>
          <t>2004-06-23</t>
        </is>
      </c>
      <c r="X1556" t="inlineStr">
        <is>
          <t>2004-06-23</t>
        </is>
      </c>
      <c r="Y1556" t="n">
        <v>779</v>
      </c>
      <c r="Z1556" t="n">
        <v>717</v>
      </c>
      <c r="AA1556" t="n">
        <v>722</v>
      </c>
      <c r="AB1556" t="n">
        <v>6</v>
      </c>
      <c r="AC1556" t="n">
        <v>6</v>
      </c>
      <c r="AD1556" t="n">
        <v>29</v>
      </c>
      <c r="AE1556" t="n">
        <v>29</v>
      </c>
      <c r="AF1556" t="n">
        <v>15</v>
      </c>
      <c r="AG1556" t="n">
        <v>15</v>
      </c>
      <c r="AH1556" t="n">
        <v>6</v>
      </c>
      <c r="AI1556" t="n">
        <v>6</v>
      </c>
      <c r="AJ1556" t="n">
        <v>11</v>
      </c>
      <c r="AK1556" t="n">
        <v>11</v>
      </c>
      <c r="AL1556" t="n">
        <v>5</v>
      </c>
      <c r="AM1556" t="n">
        <v>5</v>
      </c>
      <c r="AN1556" t="n">
        <v>0</v>
      </c>
      <c r="AO1556" t="n">
        <v>0</v>
      </c>
      <c r="AP1556" t="inlineStr">
        <is>
          <t>No</t>
        </is>
      </c>
      <c r="AQ1556" t="inlineStr">
        <is>
          <t>Yes</t>
        </is>
      </c>
      <c r="AR1556">
        <f>HYPERLINK("http://catalog.hathitrust.org/Record/004373117","HathiTrust Record")</f>
        <v/>
      </c>
      <c r="AS1556">
        <f>HYPERLINK("https://creighton-primo.hosted.exlibrisgroup.com/primo-explore/search?tab=default_tab&amp;search_scope=EVERYTHING&amp;vid=01CRU&amp;lang=en_US&amp;offset=0&amp;query=any,contains,991004290129702656","Catalog Record")</f>
        <v/>
      </c>
      <c r="AT1556">
        <f>HYPERLINK("http://www.worldcat.org/oclc/54029579","WorldCat Record")</f>
        <v/>
      </c>
      <c r="AU1556" t="inlineStr">
        <is>
          <t>796417518:eng</t>
        </is>
      </c>
      <c r="AV1556" t="inlineStr">
        <is>
          <t>54029579</t>
        </is>
      </c>
      <c r="AW1556" t="inlineStr">
        <is>
          <t>991004290129702656</t>
        </is>
      </c>
      <c r="AX1556" t="inlineStr">
        <is>
          <t>991004290129702656</t>
        </is>
      </c>
      <c r="AY1556" t="inlineStr">
        <is>
          <t>2271390080002656</t>
        </is>
      </c>
      <c r="AZ1556" t="inlineStr">
        <is>
          <t>BOOK</t>
        </is>
      </c>
      <c r="BB1556" t="inlineStr">
        <is>
          <t>9780787966560</t>
        </is>
      </c>
      <c r="BC1556" t="inlineStr">
        <is>
          <t>32285004920764</t>
        </is>
      </c>
      <c r="BD1556" t="inlineStr">
        <is>
          <t>893593512</t>
        </is>
      </c>
    </row>
    <row r="1557">
      <c r="A1557" t="inlineStr">
        <is>
          <t>No</t>
        </is>
      </c>
      <c r="B1557" t="inlineStr">
        <is>
          <t>LC225.3 .G47 1987</t>
        </is>
      </c>
      <c r="C1557" t="inlineStr">
        <is>
          <t>0                      LC 0225300G  47          1987</t>
        </is>
      </c>
      <c r="D1557" t="inlineStr">
        <is>
          <t>Home, school, and community relations : a guide to working with parents / Carol Gestwicki.</t>
        </is>
      </c>
      <c r="F1557" t="inlineStr">
        <is>
          <t>No</t>
        </is>
      </c>
      <c r="G1557" t="inlineStr">
        <is>
          <t>1</t>
        </is>
      </c>
      <c r="H1557" t="inlineStr">
        <is>
          <t>No</t>
        </is>
      </c>
      <c r="I1557" t="inlineStr">
        <is>
          <t>No</t>
        </is>
      </c>
      <c r="J1557" t="inlineStr">
        <is>
          <t>0</t>
        </is>
      </c>
      <c r="K1557" t="inlineStr">
        <is>
          <t>Gestwicki, Carol, 1940-</t>
        </is>
      </c>
      <c r="L1557" t="inlineStr">
        <is>
          <t>Albany, N.Y. : Delmar Publishers, c1987.</t>
        </is>
      </c>
      <c r="M1557" t="inlineStr">
        <is>
          <t>1987</t>
        </is>
      </c>
      <c r="O1557" t="inlineStr">
        <is>
          <t>eng</t>
        </is>
      </c>
      <c r="P1557" t="inlineStr">
        <is>
          <t>nyu</t>
        </is>
      </c>
      <c r="R1557" t="inlineStr">
        <is>
          <t xml:space="preserve">LC </t>
        </is>
      </c>
      <c r="S1557" t="n">
        <v>6</v>
      </c>
      <c r="T1557" t="n">
        <v>6</v>
      </c>
      <c r="U1557" t="inlineStr">
        <is>
          <t>2007-12-03</t>
        </is>
      </c>
      <c r="V1557" t="inlineStr">
        <is>
          <t>2007-12-03</t>
        </is>
      </c>
      <c r="W1557" t="inlineStr">
        <is>
          <t>1992-07-14</t>
        </is>
      </c>
      <c r="X1557" t="inlineStr">
        <is>
          <t>1992-07-14</t>
        </is>
      </c>
      <c r="Y1557" t="n">
        <v>191</v>
      </c>
      <c r="Z1557" t="n">
        <v>162</v>
      </c>
      <c r="AA1557" t="n">
        <v>314</v>
      </c>
      <c r="AB1557" t="n">
        <v>1</v>
      </c>
      <c r="AC1557" t="n">
        <v>4</v>
      </c>
      <c r="AD1557" t="n">
        <v>4</v>
      </c>
      <c r="AE1557" t="n">
        <v>10</v>
      </c>
      <c r="AF1557" t="n">
        <v>1</v>
      </c>
      <c r="AG1557" t="n">
        <v>3</v>
      </c>
      <c r="AH1557" t="n">
        <v>1</v>
      </c>
      <c r="AI1557" t="n">
        <v>2</v>
      </c>
      <c r="AJ1557" t="n">
        <v>3</v>
      </c>
      <c r="AK1557" t="n">
        <v>5</v>
      </c>
      <c r="AL1557" t="n">
        <v>0</v>
      </c>
      <c r="AM1557" t="n">
        <v>3</v>
      </c>
      <c r="AN1557" t="n">
        <v>0</v>
      </c>
      <c r="AO1557" t="n">
        <v>0</v>
      </c>
      <c r="AP1557" t="inlineStr">
        <is>
          <t>No</t>
        </is>
      </c>
      <c r="AQ1557" t="inlineStr">
        <is>
          <t>No</t>
        </is>
      </c>
      <c r="AS1557">
        <f>HYPERLINK("https://creighton-primo.hosted.exlibrisgroup.com/primo-explore/search?tab=default_tab&amp;search_scope=EVERYTHING&amp;vid=01CRU&amp;lang=en_US&amp;offset=0&amp;query=any,contains,991000963719702656","Catalog Record")</f>
        <v/>
      </c>
      <c r="AT1557">
        <f>HYPERLINK("http://www.worldcat.org/oclc/14904081","WorldCat Record")</f>
        <v/>
      </c>
      <c r="AU1557" t="inlineStr">
        <is>
          <t>5608944247:eng</t>
        </is>
      </c>
      <c r="AV1557" t="inlineStr">
        <is>
          <t>14904081</t>
        </is>
      </c>
      <c r="AW1557" t="inlineStr">
        <is>
          <t>991000963719702656</t>
        </is>
      </c>
      <c r="AX1557" t="inlineStr">
        <is>
          <t>991000963719702656</t>
        </is>
      </c>
      <c r="AY1557" t="inlineStr">
        <is>
          <t>2266742460002656</t>
        </is>
      </c>
      <c r="AZ1557" t="inlineStr">
        <is>
          <t>BOOK</t>
        </is>
      </c>
      <c r="BB1557" t="inlineStr">
        <is>
          <t>9780827326460</t>
        </is>
      </c>
      <c r="BC1557" t="inlineStr">
        <is>
          <t>32285001151934</t>
        </is>
      </c>
      <c r="BD1557" t="inlineStr">
        <is>
          <t>893891184</t>
        </is>
      </c>
    </row>
    <row r="1558">
      <c r="A1558" t="inlineStr">
        <is>
          <t>No</t>
        </is>
      </c>
      <c r="B1558" t="inlineStr">
        <is>
          <t>LC225.3 .S7 1997</t>
        </is>
      </c>
      <c r="C1558" t="inlineStr">
        <is>
          <t>0                      LC 0225300S  7           1997</t>
        </is>
      </c>
      <c r="D1558" t="inlineStr">
        <is>
          <t>Families in schools : a chorus of voices in restructuring / Edward P. St. John, Alison I. Griffith, Leetta Allen-Haynes.</t>
        </is>
      </c>
      <c r="F1558" t="inlineStr">
        <is>
          <t>No</t>
        </is>
      </c>
      <c r="G1558" t="inlineStr">
        <is>
          <t>1</t>
        </is>
      </c>
      <c r="H1558" t="inlineStr">
        <is>
          <t>No</t>
        </is>
      </c>
      <c r="I1558" t="inlineStr">
        <is>
          <t>No</t>
        </is>
      </c>
      <c r="J1558" t="inlineStr">
        <is>
          <t>0</t>
        </is>
      </c>
      <c r="K1558" t="inlineStr">
        <is>
          <t>St. John, Edward P.</t>
        </is>
      </c>
      <c r="L1558" t="inlineStr">
        <is>
          <t>Portsmouth, NH : Heinemann, c1997.</t>
        </is>
      </c>
      <c r="M1558" t="inlineStr">
        <is>
          <t>1997</t>
        </is>
      </c>
      <c r="O1558" t="inlineStr">
        <is>
          <t>eng</t>
        </is>
      </c>
      <c r="P1558" t="inlineStr">
        <is>
          <t>nhu</t>
        </is>
      </c>
      <c r="R1558" t="inlineStr">
        <is>
          <t xml:space="preserve">LC </t>
        </is>
      </c>
      <c r="S1558" t="n">
        <v>1</v>
      </c>
      <c r="T1558" t="n">
        <v>1</v>
      </c>
      <c r="U1558" t="inlineStr">
        <is>
          <t>2005-12-07</t>
        </is>
      </c>
      <c r="V1558" t="inlineStr">
        <is>
          <t>2005-12-07</t>
        </is>
      </c>
      <c r="W1558" t="inlineStr">
        <is>
          <t>1998-08-04</t>
        </is>
      </c>
      <c r="X1558" t="inlineStr">
        <is>
          <t>1998-08-04</t>
        </is>
      </c>
      <c r="Y1558" t="n">
        <v>235</v>
      </c>
      <c r="Z1558" t="n">
        <v>217</v>
      </c>
      <c r="AA1558" t="n">
        <v>220</v>
      </c>
      <c r="AB1558" t="n">
        <v>3</v>
      </c>
      <c r="AC1558" t="n">
        <v>3</v>
      </c>
      <c r="AD1558" t="n">
        <v>11</v>
      </c>
      <c r="AE1558" t="n">
        <v>11</v>
      </c>
      <c r="AF1558" t="n">
        <v>2</v>
      </c>
      <c r="AG1558" t="n">
        <v>2</v>
      </c>
      <c r="AH1558" t="n">
        <v>2</v>
      </c>
      <c r="AI1558" t="n">
        <v>2</v>
      </c>
      <c r="AJ1558" t="n">
        <v>7</v>
      </c>
      <c r="AK1558" t="n">
        <v>7</v>
      </c>
      <c r="AL1558" t="n">
        <v>2</v>
      </c>
      <c r="AM1558" t="n">
        <v>2</v>
      </c>
      <c r="AN1558" t="n">
        <v>0</v>
      </c>
      <c r="AO1558" t="n">
        <v>0</v>
      </c>
      <c r="AP1558" t="inlineStr">
        <is>
          <t>No</t>
        </is>
      </c>
      <c r="AQ1558" t="inlineStr">
        <is>
          <t>Yes</t>
        </is>
      </c>
      <c r="AR1558">
        <f>HYPERLINK("http://catalog.hathitrust.org/Record/003954614","HathiTrust Record")</f>
        <v/>
      </c>
      <c r="AS1558">
        <f>HYPERLINK("https://creighton-primo.hosted.exlibrisgroup.com/primo-explore/search?tab=default_tab&amp;search_scope=EVERYTHING&amp;vid=01CRU&amp;lang=en_US&amp;offset=0&amp;query=any,contains,991002852339702656","Catalog Record")</f>
        <v/>
      </c>
      <c r="AT1558">
        <f>HYPERLINK("http://www.worldcat.org/oclc/37579959","WorldCat Record")</f>
        <v/>
      </c>
      <c r="AU1558" t="inlineStr">
        <is>
          <t>544416:eng</t>
        </is>
      </c>
      <c r="AV1558" t="inlineStr">
        <is>
          <t>37579959</t>
        </is>
      </c>
      <c r="AW1558" t="inlineStr">
        <is>
          <t>991002852339702656</t>
        </is>
      </c>
      <c r="AX1558" t="inlineStr">
        <is>
          <t>991002852339702656</t>
        </is>
      </c>
      <c r="AY1558" t="inlineStr">
        <is>
          <t>2271954830002656</t>
        </is>
      </c>
      <c r="AZ1558" t="inlineStr">
        <is>
          <t>BOOK</t>
        </is>
      </c>
      <c r="BB1558" t="inlineStr">
        <is>
          <t>9780435088972</t>
        </is>
      </c>
      <c r="BC1558" t="inlineStr">
        <is>
          <t>32285003448635</t>
        </is>
      </c>
      <c r="BD1558" t="inlineStr">
        <is>
          <t>893341941</t>
        </is>
      </c>
    </row>
    <row r="1559">
      <c r="A1559" t="inlineStr">
        <is>
          <t>No</t>
        </is>
      </c>
      <c r="B1559" t="inlineStr">
        <is>
          <t>LC243.A1 B424 1999</t>
        </is>
      </c>
      <c r="C1559" t="inlineStr">
        <is>
          <t>0                      LC 0243000A  1                  B  424         1999</t>
        </is>
      </c>
      <c r="D1559" t="inlineStr">
        <is>
          <t>Building an endowment : what, why and how / by Steven Beaird and William E. Hayes.</t>
        </is>
      </c>
      <c r="F1559" t="inlineStr">
        <is>
          <t>No</t>
        </is>
      </c>
      <c r="G1559" t="inlineStr">
        <is>
          <t>1</t>
        </is>
      </c>
      <c r="H1559" t="inlineStr">
        <is>
          <t>No</t>
        </is>
      </c>
      <c r="I1559" t="inlineStr">
        <is>
          <t>No</t>
        </is>
      </c>
      <c r="J1559" t="inlineStr">
        <is>
          <t>0</t>
        </is>
      </c>
      <c r="K1559" t="inlineStr">
        <is>
          <t>Beaird, Steven.</t>
        </is>
      </c>
      <c r="L1559" t="inlineStr">
        <is>
          <t>Washington, DC : National Catholic Educational Association, c1999.</t>
        </is>
      </c>
      <c r="M1559" t="inlineStr">
        <is>
          <t>1999</t>
        </is>
      </c>
      <c r="O1559" t="inlineStr">
        <is>
          <t>eng</t>
        </is>
      </c>
      <c r="P1559" t="inlineStr">
        <is>
          <t>dcu</t>
        </is>
      </c>
      <c r="R1559" t="inlineStr">
        <is>
          <t xml:space="preserve">LC </t>
        </is>
      </c>
      <c r="S1559" t="n">
        <v>2</v>
      </c>
      <c r="T1559" t="n">
        <v>2</v>
      </c>
      <c r="U1559" t="inlineStr">
        <is>
          <t>2005-02-28</t>
        </is>
      </c>
      <c r="V1559" t="inlineStr">
        <is>
          <t>2005-02-28</t>
        </is>
      </c>
      <c r="W1559" t="inlineStr">
        <is>
          <t>1999-07-28</t>
        </is>
      </c>
      <c r="X1559" t="inlineStr">
        <is>
          <t>1999-07-28</t>
        </is>
      </c>
      <c r="Y1559" t="n">
        <v>28</v>
      </c>
      <c r="Z1559" t="n">
        <v>28</v>
      </c>
      <c r="AA1559" t="n">
        <v>30</v>
      </c>
      <c r="AB1559" t="n">
        <v>1</v>
      </c>
      <c r="AC1559" t="n">
        <v>1</v>
      </c>
      <c r="AD1559" t="n">
        <v>5</v>
      </c>
      <c r="AE1559" t="n">
        <v>5</v>
      </c>
      <c r="AF1559" t="n">
        <v>2</v>
      </c>
      <c r="AG1559" t="n">
        <v>2</v>
      </c>
      <c r="AH1559" t="n">
        <v>0</v>
      </c>
      <c r="AI1559" t="n">
        <v>0</v>
      </c>
      <c r="AJ1559" t="n">
        <v>4</v>
      </c>
      <c r="AK1559" t="n">
        <v>4</v>
      </c>
      <c r="AL1559" t="n">
        <v>0</v>
      </c>
      <c r="AM1559" t="n">
        <v>0</v>
      </c>
      <c r="AN1559" t="n">
        <v>0</v>
      </c>
      <c r="AO1559" t="n">
        <v>0</v>
      </c>
      <c r="AP1559" t="inlineStr">
        <is>
          <t>No</t>
        </is>
      </c>
      <c r="AQ1559" t="inlineStr">
        <is>
          <t>No</t>
        </is>
      </c>
      <c r="AS1559">
        <f>HYPERLINK("https://creighton-primo.hosted.exlibrisgroup.com/primo-explore/search?tab=default_tab&amp;search_scope=EVERYTHING&amp;vid=01CRU&amp;lang=en_US&amp;offset=0&amp;query=any,contains,991003037559702656","Catalog Record")</f>
        <v/>
      </c>
      <c r="AT1559">
        <f>HYPERLINK("http://www.worldcat.org/oclc/41915956","WorldCat Record")</f>
        <v/>
      </c>
      <c r="AU1559" t="inlineStr">
        <is>
          <t>4013405930:eng</t>
        </is>
      </c>
      <c r="AV1559" t="inlineStr">
        <is>
          <t>41915956</t>
        </is>
      </c>
      <c r="AW1559" t="inlineStr">
        <is>
          <t>991003037559702656</t>
        </is>
      </c>
      <c r="AX1559" t="inlineStr">
        <is>
          <t>991003037559702656</t>
        </is>
      </c>
      <c r="AY1559" t="inlineStr">
        <is>
          <t>2257586490002656</t>
        </is>
      </c>
      <c r="AZ1559" t="inlineStr">
        <is>
          <t>BOOK</t>
        </is>
      </c>
      <c r="BB1559" t="inlineStr">
        <is>
          <t>9781558332225</t>
        </is>
      </c>
      <c r="BC1559" t="inlineStr">
        <is>
          <t>32285003579751</t>
        </is>
      </c>
      <c r="BD1559" t="inlineStr">
        <is>
          <t>893329887</t>
        </is>
      </c>
    </row>
    <row r="1560">
      <c r="A1560" t="inlineStr">
        <is>
          <t>No</t>
        </is>
      </c>
      <c r="B1560" t="inlineStr">
        <is>
          <t>LC2575 .T45 1998</t>
        </is>
      </c>
      <c r="C1560" t="inlineStr">
        <is>
          <t>0                      LC 2575000T  45          1998</t>
        </is>
      </c>
      <c r="D1560" t="inlineStr">
        <is>
          <t>Telling tales out of school : gays, lesbians, and bisexuals revisit their school days / edited by Kevin Jennings.</t>
        </is>
      </c>
      <c r="F1560" t="inlineStr">
        <is>
          <t>No</t>
        </is>
      </c>
      <c r="G1560" t="inlineStr">
        <is>
          <t>1</t>
        </is>
      </c>
      <c r="H1560" t="inlineStr">
        <is>
          <t>No</t>
        </is>
      </c>
      <c r="I1560" t="inlineStr">
        <is>
          <t>No</t>
        </is>
      </c>
      <c r="J1560" t="inlineStr">
        <is>
          <t>0</t>
        </is>
      </c>
      <c r="L1560" t="inlineStr">
        <is>
          <t>Los Angeles : Alyson Books, 1998.</t>
        </is>
      </c>
      <c r="M1560" t="inlineStr">
        <is>
          <t>1998</t>
        </is>
      </c>
      <c r="N1560" t="inlineStr">
        <is>
          <t>1st ed.</t>
        </is>
      </c>
      <c r="O1560" t="inlineStr">
        <is>
          <t>eng</t>
        </is>
      </c>
      <c r="P1560" t="inlineStr">
        <is>
          <t>cau</t>
        </is>
      </c>
      <c r="R1560" t="inlineStr">
        <is>
          <t xml:space="preserve">LC </t>
        </is>
      </c>
      <c r="S1560" t="n">
        <v>9</v>
      </c>
      <c r="T1560" t="n">
        <v>9</v>
      </c>
      <c r="U1560" t="inlineStr">
        <is>
          <t>2007-04-04</t>
        </is>
      </c>
      <c r="V1560" t="inlineStr">
        <is>
          <t>2007-04-04</t>
        </is>
      </c>
      <c r="W1560" t="inlineStr">
        <is>
          <t>1999-12-20</t>
        </is>
      </c>
      <c r="X1560" t="inlineStr">
        <is>
          <t>1999-12-20</t>
        </is>
      </c>
      <c r="Y1560" t="n">
        <v>269</v>
      </c>
      <c r="Z1560" t="n">
        <v>253</v>
      </c>
      <c r="AA1560" t="n">
        <v>262</v>
      </c>
      <c r="AB1560" t="n">
        <v>4</v>
      </c>
      <c r="AC1560" t="n">
        <v>4</v>
      </c>
      <c r="AD1560" t="n">
        <v>9</v>
      </c>
      <c r="AE1560" t="n">
        <v>9</v>
      </c>
      <c r="AF1560" t="n">
        <v>1</v>
      </c>
      <c r="AG1560" t="n">
        <v>1</v>
      </c>
      <c r="AH1560" t="n">
        <v>1</v>
      </c>
      <c r="AI1560" t="n">
        <v>1</v>
      </c>
      <c r="AJ1560" t="n">
        <v>5</v>
      </c>
      <c r="AK1560" t="n">
        <v>5</v>
      </c>
      <c r="AL1560" t="n">
        <v>3</v>
      </c>
      <c r="AM1560" t="n">
        <v>3</v>
      </c>
      <c r="AN1560" t="n">
        <v>0</v>
      </c>
      <c r="AO1560" t="n">
        <v>0</v>
      </c>
      <c r="AP1560" t="inlineStr">
        <is>
          <t>No</t>
        </is>
      </c>
      <c r="AQ1560" t="inlineStr">
        <is>
          <t>Yes</t>
        </is>
      </c>
      <c r="AR1560">
        <f>HYPERLINK("http://catalog.hathitrust.org/Record/004041829","HathiTrust Record")</f>
        <v/>
      </c>
      <c r="AS1560">
        <f>HYPERLINK("https://creighton-primo.hosted.exlibrisgroup.com/primo-explore/search?tab=default_tab&amp;search_scope=EVERYTHING&amp;vid=01CRU&amp;lang=en_US&amp;offset=0&amp;query=any,contains,991002942679702656","Catalog Record")</f>
        <v/>
      </c>
      <c r="AT1560">
        <f>HYPERLINK("http://www.worldcat.org/oclc/39181974","WorldCat Record")</f>
        <v/>
      </c>
      <c r="AU1560" t="inlineStr">
        <is>
          <t>665987:eng</t>
        </is>
      </c>
      <c r="AV1560" t="inlineStr">
        <is>
          <t>39181974</t>
        </is>
      </c>
      <c r="AW1560" t="inlineStr">
        <is>
          <t>991002942679702656</t>
        </is>
      </c>
      <c r="AX1560" t="inlineStr">
        <is>
          <t>991002942679702656</t>
        </is>
      </c>
      <c r="AY1560" t="inlineStr">
        <is>
          <t>2272332580002656</t>
        </is>
      </c>
      <c r="AZ1560" t="inlineStr">
        <is>
          <t>BOOK</t>
        </is>
      </c>
      <c r="BB1560" t="inlineStr">
        <is>
          <t>9781555834180</t>
        </is>
      </c>
      <c r="BC1560" t="inlineStr">
        <is>
          <t>32285003634994</t>
        </is>
      </c>
      <c r="BD1560" t="inlineStr">
        <is>
          <t>893233632</t>
        </is>
      </c>
    </row>
    <row r="1561">
      <c r="A1561" t="inlineStr">
        <is>
          <t>No</t>
        </is>
      </c>
      <c r="B1561" t="inlineStr">
        <is>
          <t>LC2607 .C65 1985</t>
        </is>
      </c>
      <c r="C1561" t="inlineStr">
        <is>
          <t>0                      LC 2607000C  65          1985</t>
        </is>
      </c>
      <c r="D1561" t="inlineStr">
        <is>
          <t>Combatting poverty through adult education : national development strategies / edited by Chris Duke.</t>
        </is>
      </c>
      <c r="F1561" t="inlineStr">
        <is>
          <t>No</t>
        </is>
      </c>
      <c r="G1561" t="inlineStr">
        <is>
          <t>1</t>
        </is>
      </c>
      <c r="H1561" t="inlineStr">
        <is>
          <t>No</t>
        </is>
      </c>
      <c r="I1561" t="inlineStr">
        <is>
          <t>No</t>
        </is>
      </c>
      <c r="J1561" t="inlineStr">
        <is>
          <t>0</t>
        </is>
      </c>
      <c r="L1561" t="inlineStr">
        <is>
          <t>London ; Dover, N.H. : Croom Helm, c1985.</t>
        </is>
      </c>
      <c r="M1561" t="inlineStr">
        <is>
          <t>1985</t>
        </is>
      </c>
      <c r="O1561" t="inlineStr">
        <is>
          <t>eng</t>
        </is>
      </c>
      <c r="P1561" t="inlineStr">
        <is>
          <t>enk</t>
        </is>
      </c>
      <c r="R1561" t="inlineStr">
        <is>
          <t xml:space="preserve">LC </t>
        </is>
      </c>
      <c r="S1561" t="n">
        <v>5</v>
      </c>
      <c r="T1561" t="n">
        <v>5</v>
      </c>
      <c r="U1561" t="inlineStr">
        <is>
          <t>2005-07-18</t>
        </is>
      </c>
      <c r="V1561" t="inlineStr">
        <is>
          <t>2005-07-18</t>
        </is>
      </c>
      <c r="W1561" t="inlineStr">
        <is>
          <t>1992-08-27</t>
        </is>
      </c>
      <c r="X1561" t="inlineStr">
        <is>
          <t>1992-08-27</t>
        </is>
      </c>
      <c r="Y1561" t="n">
        <v>233</v>
      </c>
      <c r="Z1561" t="n">
        <v>153</v>
      </c>
      <c r="AA1561" t="n">
        <v>170</v>
      </c>
      <c r="AB1561" t="n">
        <v>1</v>
      </c>
      <c r="AC1561" t="n">
        <v>1</v>
      </c>
      <c r="AD1561" t="n">
        <v>2</v>
      </c>
      <c r="AE1561" t="n">
        <v>2</v>
      </c>
      <c r="AF1561" t="n">
        <v>0</v>
      </c>
      <c r="AG1561" t="n">
        <v>0</v>
      </c>
      <c r="AH1561" t="n">
        <v>2</v>
      </c>
      <c r="AI1561" t="n">
        <v>2</v>
      </c>
      <c r="AJ1561" t="n">
        <v>1</v>
      </c>
      <c r="AK1561" t="n">
        <v>1</v>
      </c>
      <c r="AL1561" t="n">
        <v>0</v>
      </c>
      <c r="AM1561" t="n">
        <v>0</v>
      </c>
      <c r="AN1561" t="n">
        <v>0</v>
      </c>
      <c r="AO1561" t="n">
        <v>0</v>
      </c>
      <c r="AP1561" t="inlineStr">
        <is>
          <t>No</t>
        </is>
      </c>
      <c r="AQ1561" t="inlineStr">
        <is>
          <t>No</t>
        </is>
      </c>
      <c r="AS1561">
        <f>HYPERLINK("https://creighton-primo.hosted.exlibrisgroup.com/primo-explore/search?tab=default_tab&amp;search_scope=EVERYTHING&amp;vid=01CRU&amp;lang=en_US&amp;offset=0&amp;query=any,contains,991005404599702656","Catalog Record")</f>
        <v/>
      </c>
      <c r="AT1561">
        <f>HYPERLINK("http://www.worldcat.org/oclc/11290245","WorldCat Record")</f>
        <v/>
      </c>
      <c r="AU1561" t="inlineStr">
        <is>
          <t>910584661:eng</t>
        </is>
      </c>
      <c r="AV1561" t="inlineStr">
        <is>
          <t>11290245</t>
        </is>
      </c>
      <c r="AW1561" t="inlineStr">
        <is>
          <t>991005404599702656</t>
        </is>
      </c>
      <c r="AX1561" t="inlineStr">
        <is>
          <t>991005404599702656</t>
        </is>
      </c>
      <c r="AY1561" t="inlineStr">
        <is>
          <t>2264060440002656</t>
        </is>
      </c>
      <c r="AZ1561" t="inlineStr">
        <is>
          <t>BOOK</t>
        </is>
      </c>
      <c r="BB1561" t="inlineStr">
        <is>
          <t>9780709908616</t>
        </is>
      </c>
      <c r="BC1561" t="inlineStr">
        <is>
          <t>32285001283265</t>
        </is>
      </c>
      <c r="BD1561" t="inlineStr">
        <is>
          <t>893501972</t>
        </is>
      </c>
    </row>
    <row r="1562">
      <c r="A1562" t="inlineStr">
        <is>
          <t>No</t>
        </is>
      </c>
      <c r="B1562" t="inlineStr">
        <is>
          <t>LC2607 .E385 1982</t>
        </is>
      </c>
      <c r="C1562" t="inlineStr">
        <is>
          <t>0                      LC 2607000E  385         1982</t>
        </is>
      </c>
      <c r="D1562" t="inlineStr">
        <is>
          <t>Education in the Third World / edited by Keith Watson.</t>
        </is>
      </c>
      <c r="F1562" t="inlineStr">
        <is>
          <t>No</t>
        </is>
      </c>
      <c r="G1562" t="inlineStr">
        <is>
          <t>1</t>
        </is>
      </c>
      <c r="H1562" t="inlineStr">
        <is>
          <t>No</t>
        </is>
      </c>
      <c r="I1562" t="inlineStr">
        <is>
          <t>No</t>
        </is>
      </c>
      <c r="J1562" t="inlineStr">
        <is>
          <t>0</t>
        </is>
      </c>
      <c r="L1562" t="inlineStr">
        <is>
          <t>London : Croom Helm, c1982, 1984 printing.</t>
        </is>
      </c>
      <c r="M1562" t="inlineStr">
        <is>
          <t>1982</t>
        </is>
      </c>
      <c r="O1562" t="inlineStr">
        <is>
          <t>eng</t>
        </is>
      </c>
      <c r="P1562" t="inlineStr">
        <is>
          <t>enk</t>
        </is>
      </c>
      <c r="R1562" t="inlineStr">
        <is>
          <t xml:space="preserve">LC </t>
        </is>
      </c>
      <c r="S1562" t="n">
        <v>3</v>
      </c>
      <c r="T1562" t="n">
        <v>3</v>
      </c>
      <c r="U1562" t="inlineStr">
        <is>
          <t>2005-05-09</t>
        </is>
      </c>
      <c r="V1562" t="inlineStr">
        <is>
          <t>2005-05-09</t>
        </is>
      </c>
      <c r="W1562" t="inlineStr">
        <is>
          <t>1991-12-10</t>
        </is>
      </c>
      <c r="X1562" t="inlineStr">
        <is>
          <t>1991-12-10</t>
        </is>
      </c>
      <c r="Y1562" t="n">
        <v>375</v>
      </c>
      <c r="Z1562" t="n">
        <v>222</v>
      </c>
      <c r="AA1562" t="n">
        <v>245</v>
      </c>
      <c r="AB1562" t="n">
        <v>2</v>
      </c>
      <c r="AC1562" t="n">
        <v>2</v>
      </c>
      <c r="AD1562" t="n">
        <v>7</v>
      </c>
      <c r="AE1562" t="n">
        <v>7</v>
      </c>
      <c r="AF1562" t="n">
        <v>0</v>
      </c>
      <c r="AG1562" t="n">
        <v>0</v>
      </c>
      <c r="AH1562" t="n">
        <v>2</v>
      </c>
      <c r="AI1562" t="n">
        <v>2</v>
      </c>
      <c r="AJ1562" t="n">
        <v>4</v>
      </c>
      <c r="AK1562" t="n">
        <v>4</v>
      </c>
      <c r="AL1562" t="n">
        <v>1</v>
      </c>
      <c r="AM1562" t="n">
        <v>1</v>
      </c>
      <c r="AN1562" t="n">
        <v>0</v>
      </c>
      <c r="AO1562" t="n">
        <v>0</v>
      </c>
      <c r="AP1562" t="inlineStr">
        <is>
          <t>No</t>
        </is>
      </c>
      <c r="AQ1562" t="inlineStr">
        <is>
          <t>No</t>
        </is>
      </c>
      <c r="AS1562">
        <f>HYPERLINK("https://creighton-primo.hosted.exlibrisgroup.com/primo-explore/search?tab=default_tab&amp;search_scope=EVERYTHING&amp;vid=01CRU&amp;lang=en_US&amp;offset=0&amp;query=any,contains,991000153149702656","Catalog Record")</f>
        <v/>
      </c>
      <c r="AT1562">
        <f>HYPERLINK("http://www.worldcat.org/oclc/9218488","WorldCat Record")</f>
        <v/>
      </c>
      <c r="AU1562" t="inlineStr">
        <is>
          <t>355710273:eng</t>
        </is>
      </c>
      <c r="AV1562" t="inlineStr">
        <is>
          <t>9218488</t>
        </is>
      </c>
      <c r="AW1562" t="inlineStr">
        <is>
          <t>991000153149702656</t>
        </is>
      </c>
      <c r="AX1562" t="inlineStr">
        <is>
          <t>991000153149702656</t>
        </is>
      </c>
      <c r="AY1562" t="inlineStr">
        <is>
          <t>2268185560002656</t>
        </is>
      </c>
      <c r="AZ1562" t="inlineStr">
        <is>
          <t>BOOK</t>
        </is>
      </c>
      <c r="BB1562" t="inlineStr">
        <is>
          <t>9780709927495</t>
        </is>
      </c>
      <c r="BC1562" t="inlineStr">
        <is>
          <t>32285000886530</t>
        </is>
      </c>
      <c r="BD1562" t="inlineStr">
        <is>
          <t>893521447</t>
        </is>
      </c>
    </row>
    <row r="1563">
      <c r="A1563" t="inlineStr">
        <is>
          <t>No</t>
        </is>
      </c>
      <c r="B1563" t="inlineStr">
        <is>
          <t>LC268 .A78 1980</t>
        </is>
      </c>
      <c r="C1563" t="inlineStr">
        <is>
          <t>0                      LC 0268000A  78          1980</t>
        </is>
      </c>
      <c r="D1563" t="inlineStr">
        <is>
          <t>Evaluating moral development and evaluating educational programs that have a value dimension / edited by Lisa Kuhmerker, Marcia Mentkowski and V. Lois Erickson.</t>
        </is>
      </c>
      <c r="F1563" t="inlineStr">
        <is>
          <t>No</t>
        </is>
      </c>
      <c r="G1563" t="inlineStr">
        <is>
          <t>1</t>
        </is>
      </c>
      <c r="H1563" t="inlineStr">
        <is>
          <t>No</t>
        </is>
      </c>
      <c r="I1563" t="inlineStr">
        <is>
          <t>No</t>
        </is>
      </c>
      <c r="J1563" t="inlineStr">
        <is>
          <t>0</t>
        </is>
      </c>
      <c r="K1563" t="inlineStr">
        <is>
          <t>Association for Moral Education (U.S.)</t>
        </is>
      </c>
      <c r="L1563" t="inlineStr">
        <is>
          <t>Schenectady, N.Y. : Character Research Press, c1980.</t>
        </is>
      </c>
      <c r="M1563" t="inlineStr">
        <is>
          <t>1980</t>
        </is>
      </c>
      <c r="O1563" t="inlineStr">
        <is>
          <t>eng</t>
        </is>
      </c>
      <c r="P1563" t="inlineStr">
        <is>
          <t>nyu</t>
        </is>
      </c>
      <c r="R1563" t="inlineStr">
        <is>
          <t xml:space="preserve">LC </t>
        </is>
      </c>
      <c r="S1563" t="n">
        <v>3</v>
      </c>
      <c r="T1563" t="n">
        <v>3</v>
      </c>
      <c r="U1563" t="inlineStr">
        <is>
          <t>2002-04-30</t>
        </is>
      </c>
      <c r="V1563" t="inlineStr">
        <is>
          <t>2002-04-30</t>
        </is>
      </c>
      <c r="W1563" t="inlineStr">
        <is>
          <t>1992-08-25</t>
        </is>
      </c>
      <c r="X1563" t="inlineStr">
        <is>
          <t>1992-08-25</t>
        </is>
      </c>
      <c r="Y1563" t="n">
        <v>182</v>
      </c>
      <c r="Z1563" t="n">
        <v>132</v>
      </c>
      <c r="AA1563" t="n">
        <v>133</v>
      </c>
      <c r="AB1563" t="n">
        <v>3</v>
      </c>
      <c r="AC1563" t="n">
        <v>3</v>
      </c>
      <c r="AD1563" t="n">
        <v>8</v>
      </c>
      <c r="AE1563" t="n">
        <v>8</v>
      </c>
      <c r="AF1563" t="n">
        <v>2</v>
      </c>
      <c r="AG1563" t="n">
        <v>2</v>
      </c>
      <c r="AH1563" t="n">
        <v>1</v>
      </c>
      <c r="AI1563" t="n">
        <v>1</v>
      </c>
      <c r="AJ1563" t="n">
        <v>5</v>
      </c>
      <c r="AK1563" t="n">
        <v>5</v>
      </c>
      <c r="AL1563" t="n">
        <v>2</v>
      </c>
      <c r="AM1563" t="n">
        <v>2</v>
      </c>
      <c r="AN1563" t="n">
        <v>0</v>
      </c>
      <c r="AO1563" t="n">
        <v>0</v>
      </c>
      <c r="AP1563" t="inlineStr">
        <is>
          <t>No</t>
        </is>
      </c>
      <c r="AQ1563" t="inlineStr">
        <is>
          <t>No</t>
        </is>
      </c>
      <c r="AS1563">
        <f>HYPERLINK("https://creighton-primo.hosted.exlibrisgroup.com/primo-explore/search?tab=default_tab&amp;search_scope=EVERYTHING&amp;vid=01CRU&amp;lang=en_US&amp;offset=0&amp;query=any,contains,991005070259702656","Catalog Record")</f>
        <v/>
      </c>
      <c r="AT1563">
        <f>HYPERLINK("http://www.worldcat.org/oclc/7007650","WorldCat Record")</f>
        <v/>
      </c>
      <c r="AU1563" t="inlineStr">
        <is>
          <t>905361773:eng</t>
        </is>
      </c>
      <c r="AV1563" t="inlineStr">
        <is>
          <t>7007650</t>
        </is>
      </c>
      <c r="AW1563" t="inlineStr">
        <is>
          <t>991005070259702656</t>
        </is>
      </c>
      <c r="AX1563" t="inlineStr">
        <is>
          <t>991005070259702656</t>
        </is>
      </c>
      <c r="AY1563" t="inlineStr">
        <is>
          <t>2266384740002656</t>
        </is>
      </c>
      <c r="AZ1563" t="inlineStr">
        <is>
          <t>BOOK</t>
        </is>
      </c>
      <c r="BB1563" t="inlineStr">
        <is>
          <t>9780915744213</t>
        </is>
      </c>
      <c r="BC1563" t="inlineStr">
        <is>
          <t>32285001281111</t>
        </is>
      </c>
      <c r="BD1563" t="inlineStr">
        <is>
          <t>893700983</t>
        </is>
      </c>
    </row>
    <row r="1564">
      <c r="A1564" t="inlineStr">
        <is>
          <t>No</t>
        </is>
      </c>
      <c r="B1564" t="inlineStr">
        <is>
          <t>LC268 .C62</t>
        </is>
      </c>
      <c r="C1564" t="inlineStr">
        <is>
          <t>0                      LC 0268000C  62</t>
        </is>
      </c>
      <c r="D1564" t="inlineStr">
        <is>
          <t>The domain of moral education / edited by Donald B. Cochrane, Cornel M. Hamm, Anastasios C. Kazepides.</t>
        </is>
      </c>
      <c r="F1564" t="inlineStr">
        <is>
          <t>No</t>
        </is>
      </c>
      <c r="G1564" t="inlineStr">
        <is>
          <t>1</t>
        </is>
      </c>
      <c r="H1564" t="inlineStr">
        <is>
          <t>No</t>
        </is>
      </c>
      <c r="I1564" t="inlineStr">
        <is>
          <t>No</t>
        </is>
      </c>
      <c r="J1564" t="inlineStr">
        <is>
          <t>0</t>
        </is>
      </c>
      <c r="K1564" t="inlineStr">
        <is>
          <t>Cochrane, Donald B.</t>
        </is>
      </c>
      <c r="L1564" t="inlineStr">
        <is>
          <t>New York : Paulist Press ; Toronto : Ontario Institute for Studies in Education, 1979.</t>
        </is>
      </c>
      <c r="M1564" t="inlineStr">
        <is>
          <t>1979</t>
        </is>
      </c>
      <c r="O1564" t="inlineStr">
        <is>
          <t>eng</t>
        </is>
      </c>
      <c r="P1564" t="inlineStr">
        <is>
          <t>nyu</t>
        </is>
      </c>
      <c r="R1564" t="inlineStr">
        <is>
          <t xml:space="preserve">LC </t>
        </is>
      </c>
      <c r="S1564" t="n">
        <v>3</v>
      </c>
      <c r="T1564" t="n">
        <v>3</v>
      </c>
      <c r="U1564" t="inlineStr">
        <is>
          <t>1999-12-05</t>
        </is>
      </c>
      <c r="V1564" t="inlineStr">
        <is>
          <t>1999-12-05</t>
        </is>
      </c>
      <c r="W1564" t="inlineStr">
        <is>
          <t>1992-08-25</t>
        </is>
      </c>
      <c r="X1564" t="inlineStr">
        <is>
          <t>1992-08-25</t>
        </is>
      </c>
      <c r="Y1564" t="n">
        <v>283</v>
      </c>
      <c r="Z1564" t="n">
        <v>200</v>
      </c>
      <c r="AA1564" t="n">
        <v>207</v>
      </c>
      <c r="AB1564" t="n">
        <v>3</v>
      </c>
      <c r="AC1564" t="n">
        <v>3</v>
      </c>
      <c r="AD1564" t="n">
        <v>15</v>
      </c>
      <c r="AE1564" t="n">
        <v>15</v>
      </c>
      <c r="AF1564" t="n">
        <v>3</v>
      </c>
      <c r="AG1564" t="n">
        <v>3</v>
      </c>
      <c r="AH1564" t="n">
        <v>4</v>
      </c>
      <c r="AI1564" t="n">
        <v>4</v>
      </c>
      <c r="AJ1564" t="n">
        <v>12</v>
      </c>
      <c r="AK1564" t="n">
        <v>12</v>
      </c>
      <c r="AL1564" t="n">
        <v>2</v>
      </c>
      <c r="AM1564" t="n">
        <v>2</v>
      </c>
      <c r="AN1564" t="n">
        <v>0</v>
      </c>
      <c r="AO1564" t="n">
        <v>0</v>
      </c>
      <c r="AP1564" t="inlineStr">
        <is>
          <t>No</t>
        </is>
      </c>
      <c r="AQ1564" t="inlineStr">
        <is>
          <t>No</t>
        </is>
      </c>
      <c r="AS1564">
        <f>HYPERLINK("https://creighton-primo.hosted.exlibrisgroup.com/primo-explore/search?tab=default_tab&amp;search_scope=EVERYTHING&amp;vid=01CRU&amp;lang=en_US&amp;offset=0&amp;query=any,contains,991004879479702656","Catalog Record")</f>
        <v/>
      </c>
      <c r="AT1564">
        <f>HYPERLINK("http://www.worldcat.org/oclc/5943137","WorldCat Record")</f>
        <v/>
      </c>
      <c r="AU1564" t="inlineStr">
        <is>
          <t>20995519:eng</t>
        </is>
      </c>
      <c r="AV1564" t="inlineStr">
        <is>
          <t>5943137</t>
        </is>
      </c>
      <c r="AW1564" t="inlineStr">
        <is>
          <t>991004879479702656</t>
        </is>
      </c>
      <c r="AX1564" t="inlineStr">
        <is>
          <t>991004879479702656</t>
        </is>
      </c>
      <c r="AY1564" t="inlineStr">
        <is>
          <t>2259053480002656</t>
        </is>
      </c>
      <c r="AZ1564" t="inlineStr">
        <is>
          <t>BOOK</t>
        </is>
      </c>
      <c r="BB1564" t="inlineStr">
        <is>
          <t>9780809122745</t>
        </is>
      </c>
      <c r="BC1564" t="inlineStr">
        <is>
          <t>32285001281145</t>
        </is>
      </c>
      <c r="BD1564" t="inlineStr">
        <is>
          <t>893706947</t>
        </is>
      </c>
    </row>
    <row r="1565">
      <c r="A1565" t="inlineStr">
        <is>
          <t>No</t>
        </is>
      </c>
      <c r="B1565" t="inlineStr">
        <is>
          <t>LC268 .D37 2008</t>
        </is>
      </c>
      <c r="C1565" t="inlineStr">
        <is>
          <t>0                      LC 0268000D  37          2008</t>
        </is>
      </c>
      <c r="D1565" t="inlineStr">
        <is>
          <t>Character-building activities : teaching responsibility, interaction, and group dynamics / Judy Demers.</t>
        </is>
      </c>
      <c r="F1565" t="inlineStr">
        <is>
          <t>No</t>
        </is>
      </c>
      <c r="G1565" t="inlineStr">
        <is>
          <t>1</t>
        </is>
      </c>
      <c r="H1565" t="inlineStr">
        <is>
          <t>No</t>
        </is>
      </c>
      <c r="I1565" t="inlineStr">
        <is>
          <t>No</t>
        </is>
      </c>
      <c r="J1565" t="inlineStr">
        <is>
          <t>0</t>
        </is>
      </c>
      <c r="K1565" t="inlineStr">
        <is>
          <t>Demers, Judy, 1953-</t>
        </is>
      </c>
      <c r="L1565" t="inlineStr">
        <is>
          <t>Champaign, IL : Human Kinetics, c2008.</t>
        </is>
      </c>
      <c r="M1565" t="inlineStr">
        <is>
          <t>2008</t>
        </is>
      </c>
      <c r="O1565" t="inlineStr">
        <is>
          <t>eng</t>
        </is>
      </c>
      <c r="P1565" t="inlineStr">
        <is>
          <t>ilu</t>
        </is>
      </c>
      <c r="R1565" t="inlineStr">
        <is>
          <t xml:space="preserve">LC </t>
        </is>
      </c>
      <c r="S1565" t="n">
        <v>1</v>
      </c>
      <c r="T1565" t="n">
        <v>1</v>
      </c>
      <c r="U1565" t="inlineStr">
        <is>
          <t>2008-07-21</t>
        </is>
      </c>
      <c r="V1565" t="inlineStr">
        <is>
          <t>2008-07-21</t>
        </is>
      </c>
      <c r="W1565" t="inlineStr">
        <is>
          <t>2008-07-21</t>
        </is>
      </c>
      <c r="X1565" t="inlineStr">
        <is>
          <t>2008-07-21</t>
        </is>
      </c>
      <c r="Y1565" t="n">
        <v>199</v>
      </c>
      <c r="Z1565" t="n">
        <v>130</v>
      </c>
      <c r="AA1565" t="n">
        <v>135</v>
      </c>
      <c r="AB1565" t="n">
        <v>2</v>
      </c>
      <c r="AC1565" t="n">
        <v>2</v>
      </c>
      <c r="AD1565" t="n">
        <v>7</v>
      </c>
      <c r="AE1565" t="n">
        <v>7</v>
      </c>
      <c r="AF1565" t="n">
        <v>2</v>
      </c>
      <c r="AG1565" t="n">
        <v>2</v>
      </c>
      <c r="AH1565" t="n">
        <v>2</v>
      </c>
      <c r="AI1565" t="n">
        <v>2</v>
      </c>
      <c r="AJ1565" t="n">
        <v>5</v>
      </c>
      <c r="AK1565" t="n">
        <v>5</v>
      </c>
      <c r="AL1565" t="n">
        <v>1</v>
      </c>
      <c r="AM1565" t="n">
        <v>1</v>
      </c>
      <c r="AN1565" t="n">
        <v>0</v>
      </c>
      <c r="AO1565" t="n">
        <v>0</v>
      </c>
      <c r="AP1565" t="inlineStr">
        <is>
          <t>No</t>
        </is>
      </c>
      <c r="AQ1565" t="inlineStr">
        <is>
          <t>No</t>
        </is>
      </c>
      <c r="AS1565">
        <f>HYPERLINK("https://creighton-primo.hosted.exlibrisgroup.com/primo-explore/search?tab=default_tab&amp;search_scope=EVERYTHING&amp;vid=01CRU&amp;lang=en_US&amp;offset=0&amp;query=any,contains,991005250499702656","Catalog Record")</f>
        <v/>
      </c>
      <c r="AT1565">
        <f>HYPERLINK("http://www.worldcat.org/oclc/183179455","WorldCat Record")</f>
        <v/>
      </c>
      <c r="AU1565" t="inlineStr">
        <is>
          <t>321042006:eng</t>
        </is>
      </c>
      <c r="AV1565" t="inlineStr">
        <is>
          <t>183179455</t>
        </is>
      </c>
      <c r="AW1565" t="inlineStr">
        <is>
          <t>991005250499702656</t>
        </is>
      </c>
      <c r="AX1565" t="inlineStr">
        <is>
          <t>991005250499702656</t>
        </is>
      </c>
      <c r="AY1565" t="inlineStr">
        <is>
          <t>2269743770002656</t>
        </is>
      </c>
      <c r="AZ1565" t="inlineStr">
        <is>
          <t>BOOK</t>
        </is>
      </c>
      <c r="BB1565" t="inlineStr">
        <is>
          <t>9780736072069</t>
        </is>
      </c>
      <c r="BC1565" t="inlineStr">
        <is>
          <t>32285005448591</t>
        </is>
      </c>
      <c r="BD1565" t="inlineStr">
        <is>
          <t>893701263</t>
        </is>
      </c>
    </row>
    <row r="1566">
      <c r="A1566" t="inlineStr">
        <is>
          <t>No</t>
        </is>
      </c>
      <c r="B1566" t="inlineStr">
        <is>
          <t>LC268 .G59 2001</t>
        </is>
      </c>
      <c r="C1566" t="inlineStr">
        <is>
          <t>0                      LC 0268000G  59          2001</t>
        </is>
      </c>
      <c r="D1566" t="inlineStr">
        <is>
          <t>The moral stake in education : contested premises and practices / Joan F. Goodman, Howard Lesnick.</t>
        </is>
      </c>
      <c r="F1566" t="inlineStr">
        <is>
          <t>No</t>
        </is>
      </c>
      <c r="G1566" t="inlineStr">
        <is>
          <t>1</t>
        </is>
      </c>
      <c r="H1566" t="inlineStr">
        <is>
          <t>No</t>
        </is>
      </c>
      <c r="I1566" t="inlineStr">
        <is>
          <t>No</t>
        </is>
      </c>
      <c r="J1566" t="inlineStr">
        <is>
          <t>0</t>
        </is>
      </c>
      <c r="K1566" t="inlineStr">
        <is>
          <t>Goodman, Joan F.</t>
        </is>
      </c>
      <c r="L1566" t="inlineStr">
        <is>
          <t>New York : Longman, c2001.</t>
        </is>
      </c>
      <c r="M1566" t="inlineStr">
        <is>
          <t>2001</t>
        </is>
      </c>
      <c r="O1566" t="inlineStr">
        <is>
          <t>eng</t>
        </is>
      </c>
      <c r="P1566" t="inlineStr">
        <is>
          <t>nyu</t>
        </is>
      </c>
      <c r="R1566" t="inlineStr">
        <is>
          <t xml:space="preserve">LC </t>
        </is>
      </c>
      <c r="S1566" t="n">
        <v>6</v>
      </c>
      <c r="T1566" t="n">
        <v>6</v>
      </c>
      <c r="U1566" t="inlineStr">
        <is>
          <t>2008-11-24</t>
        </is>
      </c>
      <c r="V1566" t="inlineStr">
        <is>
          <t>2008-11-24</t>
        </is>
      </c>
      <c r="W1566" t="inlineStr">
        <is>
          <t>2001-04-02</t>
        </is>
      </c>
      <c r="X1566" t="inlineStr">
        <is>
          <t>2001-04-02</t>
        </is>
      </c>
      <c r="Y1566" t="n">
        <v>289</v>
      </c>
      <c r="Z1566" t="n">
        <v>256</v>
      </c>
      <c r="AA1566" t="n">
        <v>264</v>
      </c>
      <c r="AB1566" t="n">
        <v>2</v>
      </c>
      <c r="AC1566" t="n">
        <v>2</v>
      </c>
      <c r="AD1566" t="n">
        <v>14</v>
      </c>
      <c r="AE1566" t="n">
        <v>14</v>
      </c>
      <c r="AF1566" t="n">
        <v>8</v>
      </c>
      <c r="AG1566" t="n">
        <v>8</v>
      </c>
      <c r="AH1566" t="n">
        <v>3</v>
      </c>
      <c r="AI1566" t="n">
        <v>3</v>
      </c>
      <c r="AJ1566" t="n">
        <v>8</v>
      </c>
      <c r="AK1566" t="n">
        <v>8</v>
      </c>
      <c r="AL1566" t="n">
        <v>1</v>
      </c>
      <c r="AM1566" t="n">
        <v>1</v>
      </c>
      <c r="AN1566" t="n">
        <v>0</v>
      </c>
      <c r="AO1566" t="n">
        <v>0</v>
      </c>
      <c r="AP1566" t="inlineStr">
        <is>
          <t>No</t>
        </is>
      </c>
      <c r="AQ1566" t="inlineStr">
        <is>
          <t>Yes</t>
        </is>
      </c>
      <c r="AR1566">
        <f>HYPERLINK("http://catalog.hathitrust.org/Record/004140187","HathiTrust Record")</f>
        <v/>
      </c>
      <c r="AS1566">
        <f>HYPERLINK("https://creighton-primo.hosted.exlibrisgroup.com/primo-explore/search?tab=default_tab&amp;search_scope=EVERYTHING&amp;vid=01CRU&amp;lang=en_US&amp;offset=0&amp;query=any,contains,991003523629702656","Catalog Record")</f>
        <v/>
      </c>
      <c r="AT1566">
        <f>HYPERLINK("http://www.worldcat.org/oclc/44516763","WorldCat Record")</f>
        <v/>
      </c>
      <c r="AU1566" t="inlineStr">
        <is>
          <t>34104404:eng</t>
        </is>
      </c>
      <c r="AV1566" t="inlineStr">
        <is>
          <t>44516763</t>
        </is>
      </c>
      <c r="AW1566" t="inlineStr">
        <is>
          <t>991003523629702656</t>
        </is>
      </c>
      <c r="AX1566" t="inlineStr">
        <is>
          <t>991003523629702656</t>
        </is>
      </c>
      <c r="AY1566" t="inlineStr">
        <is>
          <t>2260604860002656</t>
        </is>
      </c>
      <c r="AZ1566" t="inlineStr">
        <is>
          <t>BOOK</t>
        </is>
      </c>
      <c r="BB1566" t="inlineStr">
        <is>
          <t>9780321023407</t>
        </is>
      </c>
      <c r="BC1566" t="inlineStr">
        <is>
          <t>32285004308978</t>
        </is>
      </c>
      <c r="BD1566" t="inlineStr">
        <is>
          <t>893512043</t>
        </is>
      </c>
    </row>
    <row r="1567">
      <c r="A1567" t="inlineStr">
        <is>
          <t>No</t>
        </is>
      </c>
      <c r="B1567" t="inlineStr">
        <is>
          <t>LC268 .M687 1985</t>
        </is>
      </c>
      <c r="C1567" t="inlineStr">
        <is>
          <t>0                      LC 0268000M  687         1985</t>
        </is>
      </c>
      <c r="D1567" t="inlineStr">
        <is>
          <t>Moral education : theory and application / edited by Marvin W. Berkowitz, Fritz Oser.</t>
        </is>
      </c>
      <c r="F1567" t="inlineStr">
        <is>
          <t>No</t>
        </is>
      </c>
      <c r="G1567" t="inlineStr">
        <is>
          <t>1</t>
        </is>
      </c>
      <c r="H1567" t="inlineStr">
        <is>
          <t>No</t>
        </is>
      </c>
      <c r="I1567" t="inlineStr">
        <is>
          <t>No</t>
        </is>
      </c>
      <c r="J1567" t="inlineStr">
        <is>
          <t>0</t>
        </is>
      </c>
      <c r="L1567" t="inlineStr">
        <is>
          <t>Hillsdale, N.J. : L. Erlbaum Associates, 1985.</t>
        </is>
      </c>
      <c r="M1567" t="inlineStr">
        <is>
          <t>1985</t>
        </is>
      </c>
      <c r="O1567" t="inlineStr">
        <is>
          <t>eng</t>
        </is>
      </c>
      <c r="P1567" t="inlineStr">
        <is>
          <t>nju</t>
        </is>
      </c>
      <c r="R1567" t="inlineStr">
        <is>
          <t xml:space="preserve">LC </t>
        </is>
      </c>
      <c r="S1567" t="n">
        <v>7</v>
      </c>
      <c r="T1567" t="n">
        <v>7</v>
      </c>
      <c r="U1567" t="inlineStr">
        <is>
          <t>2000-07-13</t>
        </is>
      </c>
      <c r="V1567" t="inlineStr">
        <is>
          <t>2000-07-13</t>
        </is>
      </c>
      <c r="W1567" t="inlineStr">
        <is>
          <t>1992-08-26</t>
        </is>
      </c>
      <c r="X1567" t="inlineStr">
        <is>
          <t>1992-08-26</t>
        </is>
      </c>
      <c r="Y1567" t="n">
        <v>371</v>
      </c>
      <c r="Z1567" t="n">
        <v>299</v>
      </c>
      <c r="AA1567" t="n">
        <v>326</v>
      </c>
      <c r="AB1567" t="n">
        <v>4</v>
      </c>
      <c r="AC1567" t="n">
        <v>4</v>
      </c>
      <c r="AD1567" t="n">
        <v>15</v>
      </c>
      <c r="AE1567" t="n">
        <v>15</v>
      </c>
      <c r="AF1567" t="n">
        <v>4</v>
      </c>
      <c r="AG1567" t="n">
        <v>4</v>
      </c>
      <c r="AH1567" t="n">
        <v>4</v>
      </c>
      <c r="AI1567" t="n">
        <v>4</v>
      </c>
      <c r="AJ1567" t="n">
        <v>8</v>
      </c>
      <c r="AK1567" t="n">
        <v>8</v>
      </c>
      <c r="AL1567" t="n">
        <v>3</v>
      </c>
      <c r="AM1567" t="n">
        <v>3</v>
      </c>
      <c r="AN1567" t="n">
        <v>0</v>
      </c>
      <c r="AO1567" t="n">
        <v>0</v>
      </c>
      <c r="AP1567" t="inlineStr">
        <is>
          <t>No</t>
        </is>
      </c>
      <c r="AQ1567" t="inlineStr">
        <is>
          <t>Yes</t>
        </is>
      </c>
      <c r="AR1567">
        <f>HYPERLINK("http://catalog.hathitrust.org/Record/000569708","HathiTrust Record")</f>
        <v/>
      </c>
      <c r="AS1567">
        <f>HYPERLINK("https://creighton-primo.hosted.exlibrisgroup.com/primo-explore/search?tab=default_tab&amp;search_scope=EVERYTHING&amp;vid=01CRU&amp;lang=en_US&amp;offset=0&amp;query=any,contains,991000618519702656","Catalog Record")</f>
        <v/>
      </c>
      <c r="AT1567">
        <f>HYPERLINK("http://www.worldcat.org/oclc/11970122","WorldCat Record")</f>
        <v/>
      </c>
      <c r="AU1567" t="inlineStr">
        <is>
          <t>889670970:eng</t>
        </is>
      </c>
      <c r="AV1567" t="inlineStr">
        <is>
          <t>11970122</t>
        </is>
      </c>
      <c r="AW1567" t="inlineStr">
        <is>
          <t>991000618519702656</t>
        </is>
      </c>
      <c r="AX1567" t="inlineStr">
        <is>
          <t>991000618519702656</t>
        </is>
      </c>
      <c r="AY1567" t="inlineStr">
        <is>
          <t>2256417810002656</t>
        </is>
      </c>
      <c r="AZ1567" t="inlineStr">
        <is>
          <t>BOOK</t>
        </is>
      </c>
      <c r="BB1567" t="inlineStr">
        <is>
          <t>9780898595574</t>
        </is>
      </c>
      <c r="BC1567" t="inlineStr">
        <is>
          <t>32285001281285</t>
        </is>
      </c>
      <c r="BD1567" t="inlineStr">
        <is>
          <t>893243423</t>
        </is>
      </c>
    </row>
    <row r="1568">
      <c r="A1568" t="inlineStr">
        <is>
          <t>No</t>
        </is>
      </c>
      <c r="B1568" t="inlineStr">
        <is>
          <t>LC268 .M74 1980</t>
        </is>
      </c>
      <c r="C1568" t="inlineStr">
        <is>
          <t>0                      LC 0268000M  74          1980</t>
        </is>
      </c>
      <c r="D1568" t="inlineStr">
        <is>
          <t>Teaching values in college / Richard L. Morrill ; foreword by Edward D. Eddy.</t>
        </is>
      </c>
      <c r="F1568" t="inlineStr">
        <is>
          <t>No</t>
        </is>
      </c>
      <c r="G1568" t="inlineStr">
        <is>
          <t>1</t>
        </is>
      </c>
      <c r="H1568" t="inlineStr">
        <is>
          <t>No</t>
        </is>
      </c>
      <c r="I1568" t="inlineStr">
        <is>
          <t>No</t>
        </is>
      </c>
      <c r="J1568" t="inlineStr">
        <is>
          <t>0</t>
        </is>
      </c>
      <c r="K1568" t="inlineStr">
        <is>
          <t>Morrill, Richard L., 1939-</t>
        </is>
      </c>
      <c r="L1568" t="inlineStr">
        <is>
          <t>San Francisco : Jossey-Bass Publishers, 1980.</t>
        </is>
      </c>
      <c r="M1568" t="inlineStr">
        <is>
          <t>1980</t>
        </is>
      </c>
      <c r="N1568" t="inlineStr">
        <is>
          <t>1st ed.</t>
        </is>
      </c>
      <c r="O1568" t="inlineStr">
        <is>
          <t>eng</t>
        </is>
      </c>
      <c r="P1568" t="inlineStr">
        <is>
          <t>cau</t>
        </is>
      </c>
      <c r="Q1568" t="inlineStr">
        <is>
          <t>The Jossey-Bass series in higher education</t>
        </is>
      </c>
      <c r="R1568" t="inlineStr">
        <is>
          <t xml:space="preserve">LC </t>
        </is>
      </c>
      <c r="S1568" t="n">
        <v>2</v>
      </c>
      <c r="T1568" t="n">
        <v>2</v>
      </c>
      <c r="U1568" t="inlineStr">
        <is>
          <t>2005-08-25</t>
        </is>
      </c>
      <c r="V1568" t="inlineStr">
        <is>
          <t>2005-08-25</t>
        </is>
      </c>
      <c r="W1568" t="inlineStr">
        <is>
          <t>1992-08-26</t>
        </is>
      </c>
      <c r="X1568" t="inlineStr">
        <is>
          <t>1992-08-26</t>
        </is>
      </c>
      <c r="Y1568" t="n">
        <v>707</v>
      </c>
      <c r="Z1568" t="n">
        <v>646</v>
      </c>
      <c r="AA1568" t="n">
        <v>662</v>
      </c>
      <c r="AB1568" t="n">
        <v>3</v>
      </c>
      <c r="AC1568" t="n">
        <v>3</v>
      </c>
      <c r="AD1568" t="n">
        <v>28</v>
      </c>
      <c r="AE1568" t="n">
        <v>29</v>
      </c>
      <c r="AF1568" t="n">
        <v>9</v>
      </c>
      <c r="AG1568" t="n">
        <v>9</v>
      </c>
      <c r="AH1568" t="n">
        <v>7</v>
      </c>
      <c r="AI1568" t="n">
        <v>8</v>
      </c>
      <c r="AJ1568" t="n">
        <v>17</v>
      </c>
      <c r="AK1568" t="n">
        <v>18</v>
      </c>
      <c r="AL1568" t="n">
        <v>2</v>
      </c>
      <c r="AM1568" t="n">
        <v>2</v>
      </c>
      <c r="AN1568" t="n">
        <v>0</v>
      </c>
      <c r="AO1568" t="n">
        <v>0</v>
      </c>
      <c r="AP1568" t="inlineStr">
        <is>
          <t>No</t>
        </is>
      </c>
      <c r="AQ1568" t="inlineStr">
        <is>
          <t>Yes</t>
        </is>
      </c>
      <c r="AR1568">
        <f>HYPERLINK("http://catalog.hathitrust.org/Record/000731777","HathiTrust Record")</f>
        <v/>
      </c>
      <c r="AS1568">
        <f>HYPERLINK("https://creighton-primo.hosted.exlibrisgroup.com/primo-explore/search?tab=default_tab&amp;search_scope=EVERYTHING&amp;vid=01CRU&amp;lang=en_US&amp;offset=0&amp;query=any,contains,991005011349702656","Catalog Record")</f>
        <v/>
      </c>
      <c r="AT1568">
        <f>HYPERLINK("http://www.worldcat.org/oclc/6602973","WorldCat Record")</f>
        <v/>
      </c>
      <c r="AU1568" t="inlineStr">
        <is>
          <t>374535878:eng</t>
        </is>
      </c>
      <c r="AV1568" t="inlineStr">
        <is>
          <t>6602973</t>
        </is>
      </c>
      <c r="AW1568" t="inlineStr">
        <is>
          <t>991005011349702656</t>
        </is>
      </c>
      <c r="AX1568" t="inlineStr">
        <is>
          <t>991005011349702656</t>
        </is>
      </c>
      <c r="AY1568" t="inlineStr">
        <is>
          <t>2255698950002656</t>
        </is>
      </c>
      <c r="AZ1568" t="inlineStr">
        <is>
          <t>BOOK</t>
        </is>
      </c>
      <c r="BB1568" t="inlineStr">
        <is>
          <t>9780875894751</t>
        </is>
      </c>
      <c r="BC1568" t="inlineStr">
        <is>
          <t>32285001281293</t>
        </is>
      </c>
      <c r="BD1568" t="inlineStr">
        <is>
          <t>893254321</t>
        </is>
      </c>
    </row>
    <row r="1569">
      <c r="A1569" t="inlineStr">
        <is>
          <t>No</t>
        </is>
      </c>
      <c r="B1569" t="inlineStr">
        <is>
          <t>LC268 .N84 2009</t>
        </is>
      </c>
      <c r="C1569" t="inlineStr">
        <is>
          <t>0                      LC 0268000N  84          2009</t>
        </is>
      </c>
      <c r="D1569" t="inlineStr">
        <is>
          <t>Nice is not enough : facilitating moral development / Larry Nucci.</t>
        </is>
      </c>
      <c r="F1569" t="inlineStr">
        <is>
          <t>No</t>
        </is>
      </c>
      <c r="G1569" t="inlineStr">
        <is>
          <t>1</t>
        </is>
      </c>
      <c r="H1569" t="inlineStr">
        <is>
          <t>No</t>
        </is>
      </c>
      <c r="I1569" t="inlineStr">
        <is>
          <t>No</t>
        </is>
      </c>
      <c r="J1569" t="inlineStr">
        <is>
          <t>0</t>
        </is>
      </c>
      <c r="K1569" t="inlineStr">
        <is>
          <t>Nucci, Larry P.</t>
        </is>
      </c>
      <c r="L1569" t="inlineStr">
        <is>
          <t>Upper Saddle River, N.J. : Merrill/Prentice Hall, c2009.</t>
        </is>
      </c>
      <c r="M1569" t="inlineStr">
        <is>
          <t>2009</t>
        </is>
      </c>
      <c r="O1569" t="inlineStr">
        <is>
          <t>eng</t>
        </is>
      </c>
      <c r="P1569" t="inlineStr">
        <is>
          <t>nju</t>
        </is>
      </c>
      <c r="R1569" t="inlineStr">
        <is>
          <t xml:space="preserve">LC </t>
        </is>
      </c>
      <c r="S1569" t="n">
        <v>2</v>
      </c>
      <c r="T1569" t="n">
        <v>2</v>
      </c>
      <c r="U1569" t="inlineStr">
        <is>
          <t>2010-08-31</t>
        </is>
      </c>
      <c r="V1569" t="inlineStr">
        <is>
          <t>2010-08-31</t>
        </is>
      </c>
      <c r="W1569" t="inlineStr">
        <is>
          <t>2010-08-31</t>
        </is>
      </c>
      <c r="X1569" t="inlineStr">
        <is>
          <t>2010-08-31</t>
        </is>
      </c>
      <c r="Y1569" t="n">
        <v>114</v>
      </c>
      <c r="Z1569" t="n">
        <v>79</v>
      </c>
      <c r="AA1569" t="n">
        <v>85</v>
      </c>
      <c r="AB1569" t="n">
        <v>1</v>
      </c>
      <c r="AC1569" t="n">
        <v>1</v>
      </c>
      <c r="AD1569" t="n">
        <v>3</v>
      </c>
      <c r="AE1569" t="n">
        <v>4</v>
      </c>
      <c r="AF1569" t="n">
        <v>1</v>
      </c>
      <c r="AG1569" t="n">
        <v>1</v>
      </c>
      <c r="AH1569" t="n">
        <v>1</v>
      </c>
      <c r="AI1569" t="n">
        <v>2</v>
      </c>
      <c r="AJ1569" t="n">
        <v>3</v>
      </c>
      <c r="AK1569" t="n">
        <v>4</v>
      </c>
      <c r="AL1569" t="n">
        <v>0</v>
      </c>
      <c r="AM1569" t="n">
        <v>0</v>
      </c>
      <c r="AN1569" t="n">
        <v>0</v>
      </c>
      <c r="AO1569" t="n">
        <v>0</v>
      </c>
      <c r="AP1569" t="inlineStr">
        <is>
          <t>No</t>
        </is>
      </c>
      <c r="AQ1569" t="inlineStr">
        <is>
          <t>No</t>
        </is>
      </c>
      <c r="AS1569">
        <f>HYPERLINK("https://creighton-primo.hosted.exlibrisgroup.com/primo-explore/search?tab=default_tab&amp;search_scope=EVERYTHING&amp;vid=01CRU&amp;lang=en_US&amp;offset=0&amp;query=any,contains,991000056859702656","Catalog Record")</f>
        <v/>
      </c>
      <c r="AT1569">
        <f>HYPERLINK("http://www.worldcat.org/oclc/233029971","WorldCat Record")</f>
        <v/>
      </c>
      <c r="AU1569" t="inlineStr">
        <is>
          <t>255484966:eng</t>
        </is>
      </c>
      <c r="AV1569" t="inlineStr">
        <is>
          <t>233029971</t>
        </is>
      </c>
      <c r="AW1569" t="inlineStr">
        <is>
          <t>991000056859702656</t>
        </is>
      </c>
      <c r="AX1569" t="inlineStr">
        <is>
          <t>991000056859702656</t>
        </is>
      </c>
      <c r="AY1569" t="inlineStr">
        <is>
          <t>2267152280002656</t>
        </is>
      </c>
      <c r="AZ1569" t="inlineStr">
        <is>
          <t>BOOK</t>
        </is>
      </c>
      <c r="BB1569" t="inlineStr">
        <is>
          <t>9780131886513</t>
        </is>
      </c>
      <c r="BC1569" t="inlineStr">
        <is>
          <t>32285005593834</t>
        </is>
      </c>
      <c r="BD1569" t="inlineStr">
        <is>
          <t>893413035</t>
        </is>
      </c>
    </row>
    <row r="1570">
      <c r="A1570" t="inlineStr">
        <is>
          <t>No</t>
        </is>
      </c>
      <c r="B1570" t="inlineStr">
        <is>
          <t>LC268 .P35 2007</t>
        </is>
      </c>
      <c r="C1570" t="inlineStr">
        <is>
          <t>0                      LC 0268000P  35          2007</t>
        </is>
      </c>
      <c r="D1570" t="inlineStr">
        <is>
          <t>Virtues, values, and the very best you / Susanna Palomares, Dianne Schilling.</t>
        </is>
      </c>
      <c r="F1570" t="inlineStr">
        <is>
          <t>No</t>
        </is>
      </c>
      <c r="G1570" t="inlineStr">
        <is>
          <t>1</t>
        </is>
      </c>
      <c r="H1570" t="inlineStr">
        <is>
          <t>No</t>
        </is>
      </c>
      <c r="I1570" t="inlineStr">
        <is>
          <t>No</t>
        </is>
      </c>
      <c r="J1570" t="inlineStr">
        <is>
          <t>0</t>
        </is>
      </c>
      <c r="K1570" t="inlineStr">
        <is>
          <t>Palomares, Susanna.</t>
        </is>
      </c>
      <c r="L1570" t="inlineStr">
        <is>
          <t>Austin, TX : Pro-Ed, c2007.</t>
        </is>
      </c>
      <c r="M1570" t="inlineStr">
        <is>
          <t>2007</t>
        </is>
      </c>
      <c r="O1570" t="inlineStr">
        <is>
          <t>eng</t>
        </is>
      </c>
      <c r="P1570" t="inlineStr">
        <is>
          <t>txu</t>
        </is>
      </c>
      <c r="R1570" t="inlineStr">
        <is>
          <t xml:space="preserve">LC </t>
        </is>
      </c>
      <c r="S1570" t="n">
        <v>1</v>
      </c>
      <c r="T1570" t="n">
        <v>1</v>
      </c>
      <c r="U1570" t="inlineStr">
        <is>
          <t>2008-04-01</t>
        </is>
      </c>
      <c r="V1570" t="inlineStr">
        <is>
          <t>2008-04-01</t>
        </is>
      </c>
      <c r="W1570" t="inlineStr">
        <is>
          <t>2007-06-20</t>
        </is>
      </c>
      <c r="X1570" t="inlineStr">
        <is>
          <t>2007-06-20</t>
        </is>
      </c>
      <c r="Y1570" t="n">
        <v>37</v>
      </c>
      <c r="Z1570" t="n">
        <v>31</v>
      </c>
      <c r="AA1570" t="n">
        <v>32</v>
      </c>
      <c r="AB1570" t="n">
        <v>1</v>
      </c>
      <c r="AC1570" t="n">
        <v>1</v>
      </c>
      <c r="AD1570" t="n">
        <v>2</v>
      </c>
      <c r="AE1570" t="n">
        <v>2</v>
      </c>
      <c r="AF1570" t="n">
        <v>1</v>
      </c>
      <c r="AG1570" t="n">
        <v>1</v>
      </c>
      <c r="AH1570" t="n">
        <v>0</v>
      </c>
      <c r="AI1570" t="n">
        <v>0</v>
      </c>
      <c r="AJ1570" t="n">
        <v>2</v>
      </c>
      <c r="AK1570" t="n">
        <v>2</v>
      </c>
      <c r="AL1570" t="n">
        <v>0</v>
      </c>
      <c r="AM1570" t="n">
        <v>0</v>
      </c>
      <c r="AN1570" t="n">
        <v>0</v>
      </c>
      <c r="AO1570" t="n">
        <v>0</v>
      </c>
      <c r="AP1570" t="inlineStr">
        <is>
          <t>No</t>
        </is>
      </c>
      <c r="AQ1570" t="inlineStr">
        <is>
          <t>Yes</t>
        </is>
      </c>
      <c r="AR1570">
        <f>HYPERLINK("http://catalog.hathitrust.org/Record/102051024","HathiTrust Record")</f>
        <v/>
      </c>
      <c r="AS1570">
        <f>HYPERLINK("https://creighton-primo.hosted.exlibrisgroup.com/primo-explore/search?tab=default_tab&amp;search_scope=EVERYTHING&amp;vid=01CRU&amp;lang=en_US&amp;offset=0&amp;query=any,contains,991005065469702656","Catalog Record")</f>
        <v/>
      </c>
      <c r="AT1570">
        <f>HYPERLINK("http://www.worldcat.org/oclc/137225473","WorldCat Record")</f>
        <v/>
      </c>
      <c r="AU1570" t="inlineStr">
        <is>
          <t>102987587:eng</t>
        </is>
      </c>
      <c r="AV1570" t="inlineStr">
        <is>
          <t>137225473</t>
        </is>
      </c>
      <c r="AW1570" t="inlineStr">
        <is>
          <t>991005065469702656</t>
        </is>
      </c>
      <c r="AX1570" t="inlineStr">
        <is>
          <t>991005065469702656</t>
        </is>
      </c>
      <c r="AY1570" t="inlineStr">
        <is>
          <t>2267762240002656</t>
        </is>
      </c>
      <c r="AZ1570" t="inlineStr">
        <is>
          <t>BOOK</t>
        </is>
      </c>
      <c r="BB1570" t="inlineStr">
        <is>
          <t>9781416402398</t>
        </is>
      </c>
      <c r="BC1570" t="inlineStr">
        <is>
          <t>32285005284574</t>
        </is>
      </c>
      <c r="BD1570" t="inlineStr">
        <is>
          <t>893412261</t>
        </is>
      </c>
    </row>
    <row r="1571">
      <c r="A1571" t="inlineStr">
        <is>
          <t>No</t>
        </is>
      </c>
      <c r="B1571" t="inlineStr">
        <is>
          <t>LC268 .P76 2007</t>
        </is>
      </c>
      <c r="C1571" t="inlineStr">
        <is>
          <t>0                      LC 0268000P  76          2007</t>
        </is>
      </c>
      <c r="D1571" t="inlineStr">
        <is>
          <t>Profiles in character : twenty-six stories that will instruct and inspire teenagers / edited by Max Malikow.</t>
        </is>
      </c>
      <c r="F1571" t="inlineStr">
        <is>
          <t>No</t>
        </is>
      </c>
      <c r="G1571" t="inlineStr">
        <is>
          <t>1</t>
        </is>
      </c>
      <c r="H1571" t="inlineStr">
        <is>
          <t>No</t>
        </is>
      </c>
      <c r="I1571" t="inlineStr">
        <is>
          <t>No</t>
        </is>
      </c>
      <c r="J1571" t="inlineStr">
        <is>
          <t>0</t>
        </is>
      </c>
      <c r="L1571" t="inlineStr">
        <is>
          <t>Lanham, Md. : University Press of America, c2007.</t>
        </is>
      </c>
      <c r="M1571" t="inlineStr">
        <is>
          <t>2007</t>
        </is>
      </c>
      <c r="O1571" t="inlineStr">
        <is>
          <t>eng</t>
        </is>
      </c>
      <c r="P1571" t="inlineStr">
        <is>
          <t xml:space="preserve">xx </t>
        </is>
      </c>
      <c r="R1571" t="inlineStr">
        <is>
          <t xml:space="preserve">LC </t>
        </is>
      </c>
      <c r="S1571" t="n">
        <v>2</v>
      </c>
      <c r="T1571" t="n">
        <v>2</v>
      </c>
      <c r="U1571" t="inlineStr">
        <is>
          <t>2009-11-23</t>
        </is>
      </c>
      <c r="V1571" t="inlineStr">
        <is>
          <t>2009-11-23</t>
        </is>
      </c>
      <c r="W1571" t="inlineStr">
        <is>
          <t>2007-10-25</t>
        </is>
      </c>
      <c r="X1571" t="inlineStr">
        <is>
          <t>2007-10-25</t>
        </is>
      </c>
      <c r="Y1571" t="n">
        <v>66</v>
      </c>
      <c r="Z1571" t="n">
        <v>57</v>
      </c>
      <c r="AA1571" t="n">
        <v>58</v>
      </c>
      <c r="AB1571" t="n">
        <v>1</v>
      </c>
      <c r="AC1571" t="n">
        <v>1</v>
      </c>
      <c r="AD1571" t="n">
        <v>3</v>
      </c>
      <c r="AE1571" t="n">
        <v>3</v>
      </c>
      <c r="AF1571" t="n">
        <v>1</v>
      </c>
      <c r="AG1571" t="n">
        <v>1</v>
      </c>
      <c r="AH1571" t="n">
        <v>1</v>
      </c>
      <c r="AI1571" t="n">
        <v>1</v>
      </c>
      <c r="AJ1571" t="n">
        <v>2</v>
      </c>
      <c r="AK1571" t="n">
        <v>2</v>
      </c>
      <c r="AL1571" t="n">
        <v>0</v>
      </c>
      <c r="AM1571" t="n">
        <v>0</v>
      </c>
      <c r="AN1571" t="n">
        <v>0</v>
      </c>
      <c r="AO1571" t="n">
        <v>0</v>
      </c>
      <c r="AP1571" t="inlineStr">
        <is>
          <t>No</t>
        </is>
      </c>
      <c r="AQ1571" t="inlineStr">
        <is>
          <t>Yes</t>
        </is>
      </c>
      <c r="AR1571">
        <f>HYPERLINK("http://catalog.hathitrust.org/Record/102055793","HathiTrust Record")</f>
        <v/>
      </c>
      <c r="AS1571">
        <f>HYPERLINK("https://creighton-primo.hosted.exlibrisgroup.com/primo-explore/search?tab=default_tab&amp;search_scope=EVERYTHING&amp;vid=01CRU&amp;lang=en_US&amp;offset=0&amp;query=any,contains,991005135539702656","Catalog Record")</f>
        <v/>
      </c>
      <c r="AT1571">
        <f>HYPERLINK("http://www.worldcat.org/oclc/148769729","WorldCat Record")</f>
        <v/>
      </c>
      <c r="AU1571" t="inlineStr">
        <is>
          <t>1044401653:eng</t>
        </is>
      </c>
      <c r="AV1571" t="inlineStr">
        <is>
          <t>148769729</t>
        </is>
      </c>
      <c r="AW1571" t="inlineStr">
        <is>
          <t>991005135539702656</t>
        </is>
      </c>
      <c r="AX1571" t="inlineStr">
        <is>
          <t>991005135539702656</t>
        </is>
      </c>
      <c r="AY1571" t="inlineStr">
        <is>
          <t>2254801810002656</t>
        </is>
      </c>
      <c r="AZ1571" t="inlineStr">
        <is>
          <t>BOOK</t>
        </is>
      </c>
      <c r="BB1571" t="inlineStr">
        <is>
          <t>9780761836865</t>
        </is>
      </c>
      <c r="BC1571" t="inlineStr">
        <is>
          <t>32285005360325</t>
        </is>
      </c>
      <c r="BD1571" t="inlineStr">
        <is>
          <t>893795668</t>
        </is>
      </c>
    </row>
    <row r="1572">
      <c r="A1572" t="inlineStr">
        <is>
          <t>No</t>
        </is>
      </c>
      <c r="B1572" t="inlineStr">
        <is>
          <t>LC268 .S74 2004</t>
        </is>
      </c>
      <c r="C1572" t="inlineStr">
        <is>
          <t>0                      LC 0268000S  74          2004</t>
        </is>
      </c>
      <c r="D1572" t="inlineStr">
        <is>
          <t>Picture this : using picture story books for character education in the classroom / Claire Gatrell Stephens.</t>
        </is>
      </c>
      <c r="F1572" t="inlineStr">
        <is>
          <t>No</t>
        </is>
      </c>
      <c r="G1572" t="inlineStr">
        <is>
          <t>1</t>
        </is>
      </c>
      <c r="H1572" t="inlineStr">
        <is>
          <t>No</t>
        </is>
      </c>
      <c r="I1572" t="inlineStr">
        <is>
          <t>No</t>
        </is>
      </c>
      <c r="J1572" t="inlineStr">
        <is>
          <t>0</t>
        </is>
      </c>
      <c r="K1572" t="inlineStr">
        <is>
          <t>Stephens, Claire Gatrell.</t>
        </is>
      </c>
      <c r="L1572" t="inlineStr">
        <is>
          <t>Westport, CT : Libraries Unlimited, 2004 ; London : England, [2003.]</t>
        </is>
      </c>
      <c r="M1572" t="inlineStr">
        <is>
          <t>2004</t>
        </is>
      </c>
      <c r="O1572" t="inlineStr">
        <is>
          <t>eng</t>
        </is>
      </c>
      <c r="P1572" t="inlineStr">
        <is>
          <t>ctu</t>
        </is>
      </c>
      <c r="R1572" t="inlineStr">
        <is>
          <t xml:space="preserve">LC </t>
        </is>
      </c>
      <c r="S1572" t="n">
        <v>1</v>
      </c>
      <c r="T1572" t="n">
        <v>1</v>
      </c>
      <c r="U1572" t="inlineStr">
        <is>
          <t>2004-04-26</t>
        </is>
      </c>
      <c r="V1572" t="inlineStr">
        <is>
          <t>2004-04-26</t>
        </is>
      </c>
      <c r="W1572" t="inlineStr">
        <is>
          <t>2004-04-26</t>
        </is>
      </c>
      <c r="X1572" t="inlineStr">
        <is>
          <t>2004-04-26</t>
        </is>
      </c>
      <c r="Y1572" t="n">
        <v>185</v>
      </c>
      <c r="Z1572" t="n">
        <v>167</v>
      </c>
      <c r="AA1572" t="n">
        <v>268</v>
      </c>
      <c r="AB1572" t="n">
        <v>5</v>
      </c>
      <c r="AC1572" t="n">
        <v>6</v>
      </c>
      <c r="AD1572" t="n">
        <v>8</v>
      </c>
      <c r="AE1572" t="n">
        <v>12</v>
      </c>
      <c r="AF1572" t="n">
        <v>1</v>
      </c>
      <c r="AG1572" t="n">
        <v>1</v>
      </c>
      <c r="AH1572" t="n">
        <v>2</v>
      </c>
      <c r="AI1572" t="n">
        <v>2</v>
      </c>
      <c r="AJ1572" t="n">
        <v>4</v>
      </c>
      <c r="AK1572" t="n">
        <v>7</v>
      </c>
      <c r="AL1572" t="n">
        <v>3</v>
      </c>
      <c r="AM1572" t="n">
        <v>4</v>
      </c>
      <c r="AN1572" t="n">
        <v>0</v>
      </c>
      <c r="AO1572" t="n">
        <v>0</v>
      </c>
      <c r="AP1572" t="inlineStr">
        <is>
          <t>No</t>
        </is>
      </c>
      <c r="AQ1572" t="inlineStr">
        <is>
          <t>No</t>
        </is>
      </c>
      <c r="AS1572">
        <f>HYPERLINK("https://creighton-primo.hosted.exlibrisgroup.com/primo-explore/search?tab=default_tab&amp;search_scope=EVERYTHING&amp;vid=01CRU&amp;lang=en_US&amp;offset=0&amp;query=any,contains,991004263409702656","Catalog Record")</f>
        <v/>
      </c>
      <c r="AT1572">
        <f>HYPERLINK("http://www.worldcat.org/oclc/54981876","WorldCat Record")</f>
        <v/>
      </c>
      <c r="AU1572" t="inlineStr">
        <is>
          <t>2287950166:eng</t>
        </is>
      </c>
      <c r="AV1572" t="inlineStr">
        <is>
          <t>54981876</t>
        </is>
      </c>
      <c r="AW1572" t="inlineStr">
        <is>
          <t>991004263409702656</t>
        </is>
      </c>
      <c r="AX1572" t="inlineStr">
        <is>
          <t>991004263409702656</t>
        </is>
      </c>
      <c r="AY1572" t="inlineStr">
        <is>
          <t>2266935090002656</t>
        </is>
      </c>
      <c r="AZ1572" t="inlineStr">
        <is>
          <t>BOOK</t>
        </is>
      </c>
      <c r="BB1572" t="inlineStr">
        <is>
          <t>9781591580010</t>
        </is>
      </c>
      <c r="BC1572" t="inlineStr">
        <is>
          <t>32285004902432</t>
        </is>
      </c>
      <c r="BD1572" t="inlineStr">
        <is>
          <t>893718698</t>
        </is>
      </c>
    </row>
    <row r="1573">
      <c r="A1573" t="inlineStr">
        <is>
          <t>No</t>
        </is>
      </c>
      <c r="B1573" t="inlineStr">
        <is>
          <t>LC2683 .C47 1991</t>
        </is>
      </c>
      <c r="C1573" t="inlineStr">
        <is>
          <t>0                      LC 2683000C  47          1991</t>
        </is>
      </c>
      <c r="D1573" t="inlineStr">
        <is>
          <t>Chicano school failure and success : research and policy agendas for the 1990s / edited by Richard R. Valencia.</t>
        </is>
      </c>
      <c r="F1573" t="inlineStr">
        <is>
          <t>No</t>
        </is>
      </c>
      <c r="G1573" t="inlineStr">
        <is>
          <t>1</t>
        </is>
      </c>
      <c r="H1573" t="inlineStr">
        <is>
          <t>No</t>
        </is>
      </c>
      <c r="I1573" t="inlineStr">
        <is>
          <t>No</t>
        </is>
      </c>
      <c r="J1573" t="inlineStr">
        <is>
          <t>0</t>
        </is>
      </c>
      <c r="L1573" t="inlineStr">
        <is>
          <t>London ; New York : Falmer Press, 1991.</t>
        </is>
      </c>
      <c r="M1573" t="inlineStr">
        <is>
          <t>1991</t>
        </is>
      </c>
      <c r="O1573" t="inlineStr">
        <is>
          <t>eng</t>
        </is>
      </c>
      <c r="P1573" t="inlineStr">
        <is>
          <t>enk</t>
        </is>
      </c>
      <c r="R1573" t="inlineStr">
        <is>
          <t xml:space="preserve">LC </t>
        </is>
      </c>
      <c r="S1573" t="n">
        <v>6</v>
      </c>
      <c r="T1573" t="n">
        <v>6</v>
      </c>
      <c r="U1573" t="inlineStr">
        <is>
          <t>1995-05-26</t>
        </is>
      </c>
      <c r="V1573" t="inlineStr">
        <is>
          <t>1995-05-26</t>
        </is>
      </c>
      <c r="W1573" t="inlineStr">
        <is>
          <t>1992-06-01</t>
        </is>
      </c>
      <c r="X1573" t="inlineStr">
        <is>
          <t>1992-06-01</t>
        </is>
      </c>
      <c r="Y1573" t="n">
        <v>490</v>
      </c>
      <c r="Z1573" t="n">
        <v>444</v>
      </c>
      <c r="AA1573" t="n">
        <v>452</v>
      </c>
      <c r="AB1573" t="n">
        <v>2</v>
      </c>
      <c r="AC1573" t="n">
        <v>2</v>
      </c>
      <c r="AD1573" t="n">
        <v>21</v>
      </c>
      <c r="AE1573" t="n">
        <v>21</v>
      </c>
      <c r="AF1573" t="n">
        <v>8</v>
      </c>
      <c r="AG1573" t="n">
        <v>8</v>
      </c>
      <c r="AH1573" t="n">
        <v>5</v>
      </c>
      <c r="AI1573" t="n">
        <v>5</v>
      </c>
      <c r="AJ1573" t="n">
        <v>13</v>
      </c>
      <c r="AK1573" t="n">
        <v>13</v>
      </c>
      <c r="AL1573" t="n">
        <v>1</v>
      </c>
      <c r="AM1573" t="n">
        <v>1</v>
      </c>
      <c r="AN1573" t="n">
        <v>0</v>
      </c>
      <c r="AO1573" t="n">
        <v>0</v>
      </c>
      <c r="AP1573" t="inlineStr">
        <is>
          <t>No</t>
        </is>
      </c>
      <c r="AQ1573" t="inlineStr">
        <is>
          <t>No</t>
        </is>
      </c>
      <c r="AS1573">
        <f>HYPERLINK("https://creighton-primo.hosted.exlibrisgroup.com/primo-explore/search?tab=default_tab&amp;search_scope=EVERYTHING&amp;vid=01CRU&amp;lang=en_US&amp;offset=0&amp;query=any,contains,991001766509702656","Catalog Record")</f>
        <v/>
      </c>
      <c r="AT1573">
        <f>HYPERLINK("http://www.worldcat.org/oclc/22309664","WorldCat Record")</f>
        <v/>
      </c>
      <c r="AU1573" t="inlineStr">
        <is>
          <t>3856533037:eng</t>
        </is>
      </c>
      <c r="AV1573" t="inlineStr">
        <is>
          <t>22309664</t>
        </is>
      </c>
      <c r="AW1573" t="inlineStr">
        <is>
          <t>991001766509702656</t>
        </is>
      </c>
      <c r="AX1573" t="inlineStr">
        <is>
          <t>991001766509702656</t>
        </is>
      </c>
      <c r="AY1573" t="inlineStr">
        <is>
          <t>2256448010002656</t>
        </is>
      </c>
      <c r="AZ1573" t="inlineStr">
        <is>
          <t>BOOK</t>
        </is>
      </c>
      <c r="BB1573" t="inlineStr">
        <is>
          <t>9781850008637</t>
        </is>
      </c>
      <c r="BC1573" t="inlineStr">
        <is>
          <t>32285001120004</t>
        </is>
      </c>
      <c r="BD1573" t="inlineStr">
        <is>
          <t>893590619</t>
        </is>
      </c>
    </row>
    <row r="1574">
      <c r="A1574" t="inlineStr">
        <is>
          <t>No</t>
        </is>
      </c>
      <c r="B1574" t="inlineStr">
        <is>
          <t>LC2687.T4 V35 1996</t>
        </is>
      </c>
      <c r="C1574" t="inlineStr">
        <is>
          <t>0                      LC 2687000T  4                  V  35          1996</t>
        </is>
      </c>
      <c r="D1574" t="inlineStr">
        <is>
          <t>Con respeto : bridging the distances between culturally diverse families and schools : an ethnographic portrait / Guadalupe Valdés.</t>
        </is>
      </c>
      <c r="F1574" t="inlineStr">
        <is>
          <t>No</t>
        </is>
      </c>
      <c r="G1574" t="inlineStr">
        <is>
          <t>1</t>
        </is>
      </c>
      <c r="H1574" t="inlineStr">
        <is>
          <t>No</t>
        </is>
      </c>
      <c r="I1574" t="inlineStr">
        <is>
          <t>No</t>
        </is>
      </c>
      <c r="J1574" t="inlineStr">
        <is>
          <t>0</t>
        </is>
      </c>
      <c r="K1574" t="inlineStr">
        <is>
          <t>Valdés, Guadalupe.</t>
        </is>
      </c>
      <c r="L1574" t="inlineStr">
        <is>
          <t>New York : Teachers College Press, c1996.</t>
        </is>
      </c>
      <c r="M1574" t="inlineStr">
        <is>
          <t>1996</t>
        </is>
      </c>
      <c r="O1574" t="inlineStr">
        <is>
          <t>eng</t>
        </is>
      </c>
      <c r="P1574" t="inlineStr">
        <is>
          <t>nyu</t>
        </is>
      </c>
      <c r="R1574" t="inlineStr">
        <is>
          <t xml:space="preserve">LC </t>
        </is>
      </c>
      <c r="S1574" t="n">
        <v>2</v>
      </c>
      <c r="T1574" t="n">
        <v>2</v>
      </c>
      <c r="U1574" t="inlineStr">
        <is>
          <t>2010-04-29</t>
        </is>
      </c>
      <c r="V1574" t="inlineStr">
        <is>
          <t>2010-04-29</t>
        </is>
      </c>
      <c r="W1574" t="inlineStr">
        <is>
          <t>1996-12-18</t>
        </is>
      </c>
      <c r="X1574" t="inlineStr">
        <is>
          <t>1996-12-18</t>
        </is>
      </c>
      <c r="Y1574" t="n">
        <v>607</v>
      </c>
      <c r="Z1574" t="n">
        <v>570</v>
      </c>
      <c r="AA1574" t="n">
        <v>575</v>
      </c>
      <c r="AB1574" t="n">
        <v>4</v>
      </c>
      <c r="AC1574" t="n">
        <v>4</v>
      </c>
      <c r="AD1574" t="n">
        <v>33</v>
      </c>
      <c r="AE1574" t="n">
        <v>34</v>
      </c>
      <c r="AF1574" t="n">
        <v>18</v>
      </c>
      <c r="AG1574" t="n">
        <v>19</v>
      </c>
      <c r="AH1574" t="n">
        <v>4</v>
      </c>
      <c r="AI1574" t="n">
        <v>5</v>
      </c>
      <c r="AJ1574" t="n">
        <v>17</v>
      </c>
      <c r="AK1574" t="n">
        <v>17</v>
      </c>
      <c r="AL1574" t="n">
        <v>3</v>
      </c>
      <c r="AM1574" t="n">
        <v>3</v>
      </c>
      <c r="AN1574" t="n">
        <v>0</v>
      </c>
      <c r="AO1574" t="n">
        <v>0</v>
      </c>
      <c r="AP1574" t="inlineStr">
        <is>
          <t>No</t>
        </is>
      </c>
      <c r="AQ1574" t="inlineStr">
        <is>
          <t>No</t>
        </is>
      </c>
      <c r="AS1574">
        <f>HYPERLINK("https://creighton-primo.hosted.exlibrisgroup.com/primo-explore/search?tab=default_tab&amp;search_scope=EVERYTHING&amp;vid=01CRU&amp;lang=en_US&amp;offset=0&amp;query=any,contains,991002590449702656","Catalog Record")</f>
        <v/>
      </c>
      <c r="AT1574">
        <f>HYPERLINK("http://www.worldcat.org/oclc/33948027","WorldCat Record")</f>
        <v/>
      </c>
      <c r="AU1574" t="inlineStr">
        <is>
          <t>837033848:eng</t>
        </is>
      </c>
      <c r="AV1574" t="inlineStr">
        <is>
          <t>33948027</t>
        </is>
      </c>
      <c r="AW1574" t="inlineStr">
        <is>
          <t>991002590449702656</t>
        </is>
      </c>
      <c r="AX1574" t="inlineStr">
        <is>
          <t>991002590449702656</t>
        </is>
      </c>
      <c r="AY1574" t="inlineStr">
        <is>
          <t>2260846680002656</t>
        </is>
      </c>
      <c r="AZ1574" t="inlineStr">
        <is>
          <t>BOOK</t>
        </is>
      </c>
      <c r="BB1574" t="inlineStr">
        <is>
          <t>9780807735268</t>
        </is>
      </c>
      <c r="BC1574" t="inlineStr">
        <is>
          <t>32285002400066</t>
        </is>
      </c>
      <c r="BD1574" t="inlineStr">
        <is>
          <t>893804782</t>
        </is>
      </c>
    </row>
    <row r="1575">
      <c r="A1575" t="inlineStr">
        <is>
          <t>No</t>
        </is>
      </c>
      <c r="B1575" t="inlineStr">
        <is>
          <t>LC2801 .C56 1983</t>
        </is>
      </c>
      <c r="C1575" t="inlineStr">
        <is>
          <t>0                      LC 2801000C  56          1983</t>
        </is>
      </c>
      <c r="D1575" t="inlineStr">
        <is>
          <t>Family life and school achievement : why poor black children succeed or fail / Reginald Clark.</t>
        </is>
      </c>
      <c r="F1575" t="inlineStr">
        <is>
          <t>No</t>
        </is>
      </c>
      <c r="G1575" t="inlineStr">
        <is>
          <t>1</t>
        </is>
      </c>
      <c r="H1575" t="inlineStr">
        <is>
          <t>No</t>
        </is>
      </c>
      <c r="I1575" t="inlineStr">
        <is>
          <t>No</t>
        </is>
      </c>
      <c r="J1575" t="inlineStr">
        <is>
          <t>0</t>
        </is>
      </c>
      <c r="K1575" t="inlineStr">
        <is>
          <t>Clark, Reginald.</t>
        </is>
      </c>
      <c r="L1575" t="inlineStr">
        <is>
          <t>Chicago : University of Chicago Press, 1983.</t>
        </is>
      </c>
      <c r="M1575" t="inlineStr">
        <is>
          <t>1983</t>
        </is>
      </c>
      <c r="O1575" t="inlineStr">
        <is>
          <t>eng</t>
        </is>
      </c>
      <c r="P1575" t="inlineStr">
        <is>
          <t>ilu</t>
        </is>
      </c>
      <c r="R1575" t="inlineStr">
        <is>
          <t xml:space="preserve">LC </t>
        </is>
      </c>
      <c r="S1575" t="n">
        <v>4</v>
      </c>
      <c r="T1575" t="n">
        <v>4</v>
      </c>
      <c r="U1575" t="inlineStr">
        <is>
          <t>1994-11-28</t>
        </is>
      </c>
      <c r="V1575" t="inlineStr">
        <is>
          <t>1994-11-28</t>
        </is>
      </c>
      <c r="W1575" t="inlineStr">
        <is>
          <t>1992-05-07</t>
        </is>
      </c>
      <c r="X1575" t="inlineStr">
        <is>
          <t>1992-05-07</t>
        </is>
      </c>
      <c r="Y1575" t="n">
        <v>948</v>
      </c>
      <c r="Z1575" t="n">
        <v>850</v>
      </c>
      <c r="AA1575" t="n">
        <v>939</v>
      </c>
      <c r="AB1575" t="n">
        <v>7</v>
      </c>
      <c r="AC1575" t="n">
        <v>8</v>
      </c>
      <c r="AD1575" t="n">
        <v>38</v>
      </c>
      <c r="AE1575" t="n">
        <v>39</v>
      </c>
      <c r="AF1575" t="n">
        <v>16</v>
      </c>
      <c r="AG1575" t="n">
        <v>17</v>
      </c>
      <c r="AH1575" t="n">
        <v>7</v>
      </c>
      <c r="AI1575" t="n">
        <v>7</v>
      </c>
      <c r="AJ1575" t="n">
        <v>16</v>
      </c>
      <c r="AK1575" t="n">
        <v>17</v>
      </c>
      <c r="AL1575" t="n">
        <v>6</v>
      </c>
      <c r="AM1575" t="n">
        <v>6</v>
      </c>
      <c r="AN1575" t="n">
        <v>0</v>
      </c>
      <c r="AO1575" t="n">
        <v>0</v>
      </c>
      <c r="AP1575" t="inlineStr">
        <is>
          <t>No</t>
        </is>
      </c>
      <c r="AQ1575" t="inlineStr">
        <is>
          <t>No</t>
        </is>
      </c>
      <c r="AS1575">
        <f>HYPERLINK("https://creighton-primo.hosted.exlibrisgroup.com/primo-explore/search?tab=default_tab&amp;search_scope=EVERYTHING&amp;vid=01CRU&amp;lang=en_US&amp;offset=0&amp;query=any,contains,991000170969702656","Catalog Record")</f>
        <v/>
      </c>
      <c r="AT1575">
        <f>HYPERLINK("http://www.worldcat.org/oclc/9324175","WorldCat Record")</f>
        <v/>
      </c>
      <c r="AU1575" t="inlineStr">
        <is>
          <t>19121724:eng</t>
        </is>
      </c>
      <c r="AV1575" t="inlineStr">
        <is>
          <t>9324175</t>
        </is>
      </c>
      <c r="AW1575" t="inlineStr">
        <is>
          <t>991000170969702656</t>
        </is>
      </c>
      <c r="AX1575" t="inlineStr">
        <is>
          <t>991000170969702656</t>
        </is>
      </c>
      <c r="AY1575" t="inlineStr">
        <is>
          <t>2259467350002656</t>
        </is>
      </c>
      <c r="AZ1575" t="inlineStr">
        <is>
          <t>BOOK</t>
        </is>
      </c>
      <c r="BB1575" t="inlineStr">
        <is>
          <t>9780226107691</t>
        </is>
      </c>
      <c r="BC1575" t="inlineStr">
        <is>
          <t>32285001105856</t>
        </is>
      </c>
      <c r="BD1575" t="inlineStr">
        <is>
          <t>893896677</t>
        </is>
      </c>
    </row>
    <row r="1576">
      <c r="A1576" t="inlineStr">
        <is>
          <t>No</t>
        </is>
      </c>
      <c r="B1576" t="inlineStr">
        <is>
          <t>LC2801 .H8</t>
        </is>
      </c>
      <c r="C1576" t="inlineStr">
        <is>
          <t>0                      LC 2801000H  8</t>
        </is>
      </c>
      <c r="D1576" t="inlineStr">
        <is>
          <t>Passport to freedom : education, humanism, &amp; Malcolm X / by Charles G. Hurst, Jr.</t>
        </is>
      </c>
      <c r="F1576" t="inlineStr">
        <is>
          <t>No</t>
        </is>
      </c>
      <c r="G1576" t="inlineStr">
        <is>
          <t>1</t>
        </is>
      </c>
      <c r="H1576" t="inlineStr">
        <is>
          <t>No</t>
        </is>
      </c>
      <c r="I1576" t="inlineStr">
        <is>
          <t>No</t>
        </is>
      </c>
      <c r="J1576" t="inlineStr">
        <is>
          <t>0</t>
        </is>
      </c>
      <c r="K1576" t="inlineStr">
        <is>
          <t>Hurst, Charles G.</t>
        </is>
      </c>
      <c r="L1576" t="inlineStr">
        <is>
          <t>Hamden, Conn. : Linnet Books, 1972.</t>
        </is>
      </c>
      <c r="M1576" t="inlineStr">
        <is>
          <t>1972</t>
        </is>
      </c>
      <c r="O1576" t="inlineStr">
        <is>
          <t>eng</t>
        </is>
      </c>
      <c r="P1576" t="inlineStr">
        <is>
          <t>ctu</t>
        </is>
      </c>
      <c r="R1576" t="inlineStr">
        <is>
          <t xml:space="preserve">LC </t>
        </is>
      </c>
      <c r="S1576" t="n">
        <v>1</v>
      </c>
      <c r="T1576" t="n">
        <v>1</v>
      </c>
      <c r="U1576" t="inlineStr">
        <is>
          <t>2007-03-22</t>
        </is>
      </c>
      <c r="V1576" t="inlineStr">
        <is>
          <t>2007-03-22</t>
        </is>
      </c>
      <c r="W1576" t="inlineStr">
        <is>
          <t>1995-04-24</t>
        </is>
      </c>
      <c r="X1576" t="inlineStr">
        <is>
          <t>1995-04-24</t>
        </is>
      </c>
      <c r="Y1576" t="n">
        <v>319</v>
      </c>
      <c r="Z1576" t="n">
        <v>294</v>
      </c>
      <c r="AA1576" t="n">
        <v>296</v>
      </c>
      <c r="AB1576" t="n">
        <v>1</v>
      </c>
      <c r="AC1576" t="n">
        <v>1</v>
      </c>
      <c r="AD1576" t="n">
        <v>6</v>
      </c>
      <c r="AE1576" t="n">
        <v>6</v>
      </c>
      <c r="AF1576" t="n">
        <v>2</v>
      </c>
      <c r="AG1576" t="n">
        <v>2</v>
      </c>
      <c r="AH1576" t="n">
        <v>2</v>
      </c>
      <c r="AI1576" t="n">
        <v>2</v>
      </c>
      <c r="AJ1576" t="n">
        <v>3</v>
      </c>
      <c r="AK1576" t="n">
        <v>3</v>
      </c>
      <c r="AL1576" t="n">
        <v>0</v>
      </c>
      <c r="AM1576" t="n">
        <v>0</v>
      </c>
      <c r="AN1576" t="n">
        <v>0</v>
      </c>
      <c r="AO1576" t="n">
        <v>0</v>
      </c>
      <c r="AP1576" t="inlineStr">
        <is>
          <t>No</t>
        </is>
      </c>
      <c r="AQ1576" t="inlineStr">
        <is>
          <t>Yes</t>
        </is>
      </c>
      <c r="AR1576">
        <f>HYPERLINK("http://catalog.hathitrust.org/Record/001450534","HathiTrust Record")</f>
        <v/>
      </c>
      <c r="AS1576">
        <f>HYPERLINK("https://creighton-primo.hosted.exlibrisgroup.com/primo-explore/search?tab=default_tab&amp;search_scope=EVERYTHING&amp;vid=01CRU&amp;lang=en_US&amp;offset=0&amp;query=any,contains,991001273759702656","Catalog Record")</f>
        <v/>
      </c>
      <c r="AT1576">
        <f>HYPERLINK("http://www.worldcat.org/oclc/213306","WorldCat Record")</f>
        <v/>
      </c>
      <c r="AU1576" t="inlineStr">
        <is>
          <t>1294534:eng</t>
        </is>
      </c>
      <c r="AV1576" t="inlineStr">
        <is>
          <t>213306</t>
        </is>
      </c>
      <c r="AW1576" t="inlineStr">
        <is>
          <t>991001273759702656</t>
        </is>
      </c>
      <c r="AX1576" t="inlineStr">
        <is>
          <t>991001273759702656</t>
        </is>
      </c>
      <c r="AY1576" t="inlineStr">
        <is>
          <t>2255305430002656</t>
        </is>
      </c>
      <c r="AZ1576" t="inlineStr">
        <is>
          <t>BOOK</t>
        </is>
      </c>
      <c r="BB1576" t="inlineStr">
        <is>
          <t>9780208012005</t>
        </is>
      </c>
      <c r="BC1576" t="inlineStr">
        <is>
          <t>32285002028750</t>
        </is>
      </c>
      <c r="BD1576" t="inlineStr">
        <is>
          <t>893237995</t>
        </is>
      </c>
    </row>
    <row r="1577">
      <c r="A1577" t="inlineStr">
        <is>
          <t>No</t>
        </is>
      </c>
      <c r="B1577" t="inlineStr">
        <is>
          <t>LC2803.H3 K6 1967</t>
        </is>
      </c>
      <c r="C1577" t="inlineStr">
        <is>
          <t>0                      LC 2803000H  3                  K  6           1967</t>
        </is>
      </c>
      <c r="D1577" t="inlineStr">
        <is>
          <t>36 children [by] Herbert Kohl. Illus. by Robert George Jackson, III.</t>
        </is>
      </c>
      <c r="F1577" t="inlineStr">
        <is>
          <t>No</t>
        </is>
      </c>
      <c r="G1577" t="inlineStr">
        <is>
          <t>1</t>
        </is>
      </c>
      <c r="H1577" t="inlineStr">
        <is>
          <t>No</t>
        </is>
      </c>
      <c r="I1577" t="inlineStr">
        <is>
          <t>No</t>
        </is>
      </c>
      <c r="J1577" t="inlineStr">
        <is>
          <t>0</t>
        </is>
      </c>
      <c r="K1577" t="inlineStr">
        <is>
          <t>Kohl, Herbert R.</t>
        </is>
      </c>
      <c r="L1577" t="inlineStr">
        <is>
          <t>[New York] New American Library [1967]</t>
        </is>
      </c>
      <c r="M1577" t="inlineStr">
        <is>
          <t>1967</t>
        </is>
      </c>
      <c r="O1577" t="inlineStr">
        <is>
          <t>eng</t>
        </is>
      </c>
      <c r="P1577" t="inlineStr">
        <is>
          <t>nyu</t>
        </is>
      </c>
      <c r="R1577" t="inlineStr">
        <is>
          <t xml:space="preserve">LC </t>
        </is>
      </c>
      <c r="S1577" t="n">
        <v>1</v>
      </c>
      <c r="T1577" t="n">
        <v>1</v>
      </c>
      <c r="U1577" t="inlineStr">
        <is>
          <t>2009-10-16</t>
        </is>
      </c>
      <c r="V1577" t="inlineStr">
        <is>
          <t>2009-10-16</t>
        </is>
      </c>
      <c r="W1577" t="inlineStr">
        <is>
          <t>1997-06-10</t>
        </is>
      </c>
      <c r="X1577" t="inlineStr">
        <is>
          <t>1997-06-10</t>
        </is>
      </c>
      <c r="Y1577" t="n">
        <v>1254</v>
      </c>
      <c r="Z1577" t="n">
        <v>1185</v>
      </c>
      <c r="AA1577" t="n">
        <v>1435</v>
      </c>
      <c r="AB1577" t="n">
        <v>10</v>
      </c>
      <c r="AC1577" t="n">
        <v>11</v>
      </c>
      <c r="AD1577" t="n">
        <v>41</v>
      </c>
      <c r="AE1577" t="n">
        <v>47</v>
      </c>
      <c r="AF1577" t="n">
        <v>19</v>
      </c>
      <c r="AG1577" t="n">
        <v>21</v>
      </c>
      <c r="AH1577" t="n">
        <v>7</v>
      </c>
      <c r="AI1577" t="n">
        <v>8</v>
      </c>
      <c r="AJ1577" t="n">
        <v>21</v>
      </c>
      <c r="AK1577" t="n">
        <v>23</v>
      </c>
      <c r="AL1577" t="n">
        <v>6</v>
      </c>
      <c r="AM1577" t="n">
        <v>7</v>
      </c>
      <c r="AN1577" t="n">
        <v>0</v>
      </c>
      <c r="AO1577" t="n">
        <v>0</v>
      </c>
      <c r="AP1577" t="inlineStr">
        <is>
          <t>No</t>
        </is>
      </c>
      <c r="AQ1577" t="inlineStr">
        <is>
          <t>No</t>
        </is>
      </c>
      <c r="AS1577">
        <f>HYPERLINK("https://creighton-primo.hosted.exlibrisgroup.com/primo-explore/search?tab=default_tab&amp;search_scope=EVERYTHING&amp;vid=01CRU&amp;lang=en_US&amp;offset=0&amp;query=any,contains,991001179329702656","Catalog Record")</f>
        <v/>
      </c>
      <c r="AT1577">
        <f>HYPERLINK("http://www.worldcat.org/oclc/189642","WorldCat Record")</f>
        <v/>
      </c>
      <c r="AU1577" t="inlineStr">
        <is>
          <t>177803:eng</t>
        </is>
      </c>
      <c r="AV1577" t="inlineStr">
        <is>
          <t>189642</t>
        </is>
      </c>
      <c r="AW1577" t="inlineStr">
        <is>
          <t>991001179329702656</t>
        </is>
      </c>
      <c r="AX1577" t="inlineStr">
        <is>
          <t>991001179329702656</t>
        </is>
      </c>
      <c r="AY1577" t="inlineStr">
        <is>
          <t>2268114380002656</t>
        </is>
      </c>
      <c r="AZ1577" t="inlineStr">
        <is>
          <t>BOOK</t>
        </is>
      </c>
      <c r="BC1577" t="inlineStr">
        <is>
          <t>32285002803210</t>
        </is>
      </c>
      <c r="BD1577" t="inlineStr">
        <is>
          <t>893690406</t>
        </is>
      </c>
    </row>
    <row r="1578">
      <c r="A1578" t="inlineStr">
        <is>
          <t>No</t>
        </is>
      </c>
      <c r="B1578" t="inlineStr">
        <is>
          <t>LC283 .R38</t>
        </is>
      </c>
      <c r="C1578" t="inlineStr">
        <is>
          <t>0                      LC 0283000R  38</t>
        </is>
      </c>
      <c r="D1578" t="inlineStr">
        <is>
          <t>Readings in moral education / [with V. Lois Erickson, et al.] ; edited by Peter Scharf ; [with an introd. by Lawrence Kohlberg]. --</t>
        </is>
      </c>
      <c r="F1578" t="inlineStr">
        <is>
          <t>No</t>
        </is>
      </c>
      <c r="G1578" t="inlineStr">
        <is>
          <t>1</t>
        </is>
      </c>
      <c r="H1578" t="inlineStr">
        <is>
          <t>No</t>
        </is>
      </c>
      <c r="I1578" t="inlineStr">
        <is>
          <t>No</t>
        </is>
      </c>
      <c r="J1578" t="inlineStr">
        <is>
          <t>0</t>
        </is>
      </c>
      <c r="L1578" t="inlineStr">
        <is>
          <t>Minneapolis : Winston Press, c1978.</t>
        </is>
      </c>
      <c r="M1578" t="inlineStr">
        <is>
          <t>1978</t>
        </is>
      </c>
      <c r="O1578" t="inlineStr">
        <is>
          <t>eng</t>
        </is>
      </c>
      <c r="P1578" t="inlineStr">
        <is>
          <t>mnu</t>
        </is>
      </c>
      <c r="R1578" t="inlineStr">
        <is>
          <t xml:space="preserve">LC </t>
        </is>
      </c>
      <c r="S1578" t="n">
        <v>1</v>
      </c>
      <c r="T1578" t="n">
        <v>1</v>
      </c>
      <c r="U1578" t="inlineStr">
        <is>
          <t>2000-06-12</t>
        </is>
      </c>
      <c r="V1578" t="inlineStr">
        <is>
          <t>2000-06-12</t>
        </is>
      </c>
      <c r="W1578" t="inlineStr">
        <is>
          <t>1992-08-26</t>
        </is>
      </c>
      <c r="X1578" t="inlineStr">
        <is>
          <t>1992-08-26</t>
        </is>
      </c>
      <c r="Y1578" t="n">
        <v>380</v>
      </c>
      <c r="Z1578" t="n">
        <v>295</v>
      </c>
      <c r="AA1578" t="n">
        <v>297</v>
      </c>
      <c r="AB1578" t="n">
        <v>4</v>
      </c>
      <c r="AC1578" t="n">
        <v>4</v>
      </c>
      <c r="AD1578" t="n">
        <v>21</v>
      </c>
      <c r="AE1578" t="n">
        <v>21</v>
      </c>
      <c r="AF1578" t="n">
        <v>5</v>
      </c>
      <c r="AG1578" t="n">
        <v>5</v>
      </c>
      <c r="AH1578" t="n">
        <v>3</v>
      </c>
      <c r="AI1578" t="n">
        <v>3</v>
      </c>
      <c r="AJ1578" t="n">
        <v>16</v>
      </c>
      <c r="AK1578" t="n">
        <v>16</v>
      </c>
      <c r="AL1578" t="n">
        <v>3</v>
      </c>
      <c r="AM1578" t="n">
        <v>3</v>
      </c>
      <c r="AN1578" t="n">
        <v>0</v>
      </c>
      <c r="AO1578" t="n">
        <v>0</v>
      </c>
      <c r="AP1578" t="inlineStr">
        <is>
          <t>No</t>
        </is>
      </c>
      <c r="AQ1578" t="inlineStr">
        <is>
          <t>Yes</t>
        </is>
      </c>
      <c r="AR1578">
        <f>HYPERLINK("http://catalog.hathitrust.org/Record/006227882","HathiTrust Record")</f>
        <v/>
      </c>
      <c r="AS1578">
        <f>HYPERLINK("https://creighton-primo.hosted.exlibrisgroup.com/primo-explore/search?tab=default_tab&amp;search_scope=EVERYTHING&amp;vid=01CRU&amp;lang=en_US&amp;offset=0&amp;query=any,contains,991004484779702656","Catalog Record")</f>
        <v/>
      </c>
      <c r="AT1578">
        <f>HYPERLINK("http://www.worldcat.org/oclc/3635177","WorldCat Record")</f>
        <v/>
      </c>
      <c r="AU1578" t="inlineStr">
        <is>
          <t>11873379:eng</t>
        </is>
      </c>
      <c r="AV1578" t="inlineStr">
        <is>
          <t>3635177</t>
        </is>
      </c>
      <c r="AW1578" t="inlineStr">
        <is>
          <t>991004484779702656</t>
        </is>
      </c>
      <c r="AX1578" t="inlineStr">
        <is>
          <t>991004484779702656</t>
        </is>
      </c>
      <c r="AY1578" t="inlineStr">
        <is>
          <t>2255349190002656</t>
        </is>
      </c>
      <c r="AZ1578" t="inlineStr">
        <is>
          <t>BOOK</t>
        </is>
      </c>
      <c r="BB1578" t="inlineStr">
        <is>
          <t>9780030213465</t>
        </is>
      </c>
      <c r="BC1578" t="inlineStr">
        <is>
          <t>32285001281384</t>
        </is>
      </c>
      <c r="BD1578" t="inlineStr">
        <is>
          <t>893331658</t>
        </is>
      </c>
    </row>
    <row r="1579">
      <c r="A1579" t="inlineStr">
        <is>
          <t>No</t>
        </is>
      </c>
      <c r="B1579" t="inlineStr">
        <is>
          <t>LC283 .V28</t>
        </is>
      </c>
      <c r="C1579" t="inlineStr">
        <is>
          <t>0                      LC 0283000V  28</t>
        </is>
      </c>
      <c r="D1579" t="inlineStr">
        <is>
          <t>Value/moral education : the schools and the teachers / edited by Thomas C. Hennessy ; papers by James J. DiGiacomo ... [et al.] ; an interview with Lawrence Kohlberg.</t>
        </is>
      </c>
      <c r="F1579" t="inlineStr">
        <is>
          <t>No</t>
        </is>
      </c>
      <c r="G1579" t="inlineStr">
        <is>
          <t>1</t>
        </is>
      </c>
      <c r="H1579" t="inlineStr">
        <is>
          <t>No</t>
        </is>
      </c>
      <c r="I1579" t="inlineStr">
        <is>
          <t>No</t>
        </is>
      </c>
      <c r="J1579" t="inlineStr">
        <is>
          <t>0</t>
        </is>
      </c>
      <c r="L1579" t="inlineStr">
        <is>
          <t>New York : Paulist Press, c1979.</t>
        </is>
      </c>
      <c r="M1579" t="inlineStr">
        <is>
          <t>1979</t>
        </is>
      </c>
      <c r="O1579" t="inlineStr">
        <is>
          <t>eng</t>
        </is>
      </c>
      <c r="P1579" t="inlineStr">
        <is>
          <t>nyu</t>
        </is>
      </c>
      <c r="R1579" t="inlineStr">
        <is>
          <t xml:space="preserve">LC </t>
        </is>
      </c>
      <c r="S1579" t="n">
        <v>3</v>
      </c>
      <c r="T1579" t="n">
        <v>3</v>
      </c>
      <c r="U1579" t="inlineStr">
        <is>
          <t>2006-12-03</t>
        </is>
      </c>
      <c r="V1579" t="inlineStr">
        <is>
          <t>2006-12-03</t>
        </is>
      </c>
      <c r="W1579" t="inlineStr">
        <is>
          <t>1992-08-26</t>
        </is>
      </c>
      <c r="X1579" t="inlineStr">
        <is>
          <t>1992-08-26</t>
        </is>
      </c>
      <c r="Y1579" t="n">
        <v>237</v>
      </c>
      <c r="Z1579" t="n">
        <v>205</v>
      </c>
      <c r="AA1579" t="n">
        <v>206</v>
      </c>
      <c r="AB1579" t="n">
        <v>1</v>
      </c>
      <c r="AC1579" t="n">
        <v>1</v>
      </c>
      <c r="AD1579" t="n">
        <v>14</v>
      </c>
      <c r="AE1579" t="n">
        <v>14</v>
      </c>
      <c r="AF1579" t="n">
        <v>2</v>
      </c>
      <c r="AG1579" t="n">
        <v>2</v>
      </c>
      <c r="AH1579" t="n">
        <v>4</v>
      </c>
      <c r="AI1579" t="n">
        <v>4</v>
      </c>
      <c r="AJ1579" t="n">
        <v>12</v>
      </c>
      <c r="AK1579" t="n">
        <v>12</v>
      </c>
      <c r="AL1579" t="n">
        <v>0</v>
      </c>
      <c r="AM1579" t="n">
        <v>0</v>
      </c>
      <c r="AN1579" t="n">
        <v>0</v>
      </c>
      <c r="AO1579" t="n">
        <v>0</v>
      </c>
      <c r="AP1579" t="inlineStr">
        <is>
          <t>No</t>
        </is>
      </c>
      <c r="AQ1579" t="inlineStr">
        <is>
          <t>No</t>
        </is>
      </c>
      <c r="AS1579">
        <f>HYPERLINK("https://creighton-primo.hosted.exlibrisgroup.com/primo-explore/search?tab=default_tab&amp;search_scope=EVERYTHING&amp;vid=01CRU&amp;lang=en_US&amp;offset=0&amp;query=any,contains,991004727809702656","Catalog Record")</f>
        <v/>
      </c>
      <c r="AT1579">
        <f>HYPERLINK("http://www.worldcat.org/oclc/4827193","WorldCat Record")</f>
        <v/>
      </c>
      <c r="AU1579" t="inlineStr">
        <is>
          <t>180547782:eng</t>
        </is>
      </c>
      <c r="AV1579" t="inlineStr">
        <is>
          <t>4827193</t>
        </is>
      </c>
      <c r="AW1579" t="inlineStr">
        <is>
          <t>991004727809702656</t>
        </is>
      </c>
      <c r="AX1579" t="inlineStr">
        <is>
          <t>991004727809702656</t>
        </is>
      </c>
      <c r="AY1579" t="inlineStr">
        <is>
          <t>2262434600002656</t>
        </is>
      </c>
      <c r="AZ1579" t="inlineStr">
        <is>
          <t>BOOK</t>
        </is>
      </c>
      <c r="BB1579" t="inlineStr">
        <is>
          <t>9780809121502</t>
        </is>
      </c>
      <c r="BC1579" t="inlineStr">
        <is>
          <t>32285001281392</t>
        </is>
      </c>
      <c r="BD1579" t="inlineStr">
        <is>
          <t>893254031</t>
        </is>
      </c>
    </row>
    <row r="1580">
      <c r="A1580" t="inlineStr">
        <is>
          <t>No</t>
        </is>
      </c>
      <c r="B1580" t="inlineStr">
        <is>
          <t>LC283 .V32</t>
        </is>
      </c>
      <c r="C1580" t="inlineStr">
        <is>
          <t>0                      LC 0283000V  32</t>
        </is>
      </c>
      <c r="D1580" t="inlineStr">
        <is>
          <t>Values and moral development / edited by Thomas C. Hennessy ; papers by Clive Beck ... [et al.] ; reactions by James R. Barclay ... [et al.].</t>
        </is>
      </c>
      <c r="F1580" t="inlineStr">
        <is>
          <t>No</t>
        </is>
      </c>
      <c r="G1580" t="inlineStr">
        <is>
          <t>1</t>
        </is>
      </c>
      <c r="H1580" t="inlineStr">
        <is>
          <t>No</t>
        </is>
      </c>
      <c r="I1580" t="inlineStr">
        <is>
          <t>No</t>
        </is>
      </c>
      <c r="J1580" t="inlineStr">
        <is>
          <t>0</t>
        </is>
      </c>
      <c r="L1580" t="inlineStr">
        <is>
          <t>New York : Paulist Press, c1976.</t>
        </is>
      </c>
      <c r="M1580" t="inlineStr">
        <is>
          <t>1976</t>
        </is>
      </c>
      <c r="O1580" t="inlineStr">
        <is>
          <t>eng</t>
        </is>
      </c>
      <c r="P1580" t="inlineStr">
        <is>
          <t>nyu</t>
        </is>
      </c>
      <c r="R1580" t="inlineStr">
        <is>
          <t xml:space="preserve">LC </t>
        </is>
      </c>
      <c r="S1580" t="n">
        <v>1</v>
      </c>
      <c r="T1580" t="n">
        <v>1</v>
      </c>
      <c r="U1580" t="inlineStr">
        <is>
          <t>2005-08-25</t>
        </is>
      </c>
      <c r="V1580" t="inlineStr">
        <is>
          <t>2005-08-25</t>
        </is>
      </c>
      <c r="W1580" t="inlineStr">
        <is>
          <t>1997-06-05</t>
        </is>
      </c>
      <c r="X1580" t="inlineStr">
        <is>
          <t>1997-06-05</t>
        </is>
      </c>
      <c r="Y1580" t="n">
        <v>370</v>
      </c>
      <c r="Z1580" t="n">
        <v>315</v>
      </c>
      <c r="AA1580" t="n">
        <v>322</v>
      </c>
      <c r="AB1580" t="n">
        <v>2</v>
      </c>
      <c r="AC1580" t="n">
        <v>2</v>
      </c>
      <c r="AD1580" t="n">
        <v>25</v>
      </c>
      <c r="AE1580" t="n">
        <v>25</v>
      </c>
      <c r="AF1580" t="n">
        <v>11</v>
      </c>
      <c r="AG1580" t="n">
        <v>11</v>
      </c>
      <c r="AH1580" t="n">
        <v>3</v>
      </c>
      <c r="AI1580" t="n">
        <v>3</v>
      </c>
      <c r="AJ1580" t="n">
        <v>17</v>
      </c>
      <c r="AK1580" t="n">
        <v>17</v>
      </c>
      <c r="AL1580" t="n">
        <v>1</v>
      </c>
      <c r="AM1580" t="n">
        <v>1</v>
      </c>
      <c r="AN1580" t="n">
        <v>0</v>
      </c>
      <c r="AO1580" t="n">
        <v>0</v>
      </c>
      <c r="AP1580" t="inlineStr">
        <is>
          <t>No</t>
        </is>
      </c>
      <c r="AQ1580" t="inlineStr">
        <is>
          <t>Yes</t>
        </is>
      </c>
      <c r="AR1580">
        <f>HYPERLINK("http://catalog.hathitrust.org/Record/003594007","HathiTrust Record")</f>
        <v/>
      </c>
      <c r="AS1580">
        <f>HYPERLINK("https://creighton-primo.hosted.exlibrisgroup.com/primo-explore/search?tab=default_tab&amp;search_scope=EVERYTHING&amp;vid=01CRU&amp;lang=en_US&amp;offset=0&amp;query=any,contains,991004175619702656","Catalog Record")</f>
        <v/>
      </c>
      <c r="AT1580">
        <f>HYPERLINK("http://www.worldcat.org/oclc/2596912","WorldCat Record")</f>
        <v/>
      </c>
      <c r="AU1580" t="inlineStr">
        <is>
          <t>5713746:eng</t>
        </is>
      </c>
      <c r="AV1580" t="inlineStr">
        <is>
          <t>2596912</t>
        </is>
      </c>
      <c r="AW1580" t="inlineStr">
        <is>
          <t>991004175619702656</t>
        </is>
      </c>
      <c r="AX1580" t="inlineStr">
        <is>
          <t>991004175619702656</t>
        </is>
      </c>
      <c r="AY1580" t="inlineStr">
        <is>
          <t>2268250250002656</t>
        </is>
      </c>
      <c r="AZ1580" t="inlineStr">
        <is>
          <t>BOOK</t>
        </is>
      </c>
      <c r="BB1580" t="inlineStr">
        <is>
          <t>9780809119721</t>
        </is>
      </c>
      <c r="BC1580" t="inlineStr">
        <is>
          <t>32285002801305</t>
        </is>
      </c>
      <c r="BD1580" t="inlineStr">
        <is>
          <t>893325026</t>
        </is>
      </c>
    </row>
    <row r="1581">
      <c r="A1581" t="inlineStr">
        <is>
          <t>No</t>
        </is>
      </c>
      <c r="B1581" t="inlineStr">
        <is>
          <t>LC283 .V33 1982</t>
        </is>
      </c>
      <c r="C1581" t="inlineStr">
        <is>
          <t>0                      LC 0283000V  33          1982</t>
        </is>
      </c>
      <c r="D1581" t="inlineStr">
        <is>
          <t>Values concepts and techniques / Alfred S. Alschuler, editor.</t>
        </is>
      </c>
      <c r="F1581" t="inlineStr">
        <is>
          <t>No</t>
        </is>
      </c>
      <c r="G1581" t="inlineStr">
        <is>
          <t>1</t>
        </is>
      </c>
      <c r="H1581" t="inlineStr">
        <is>
          <t>No</t>
        </is>
      </c>
      <c r="I1581" t="inlineStr">
        <is>
          <t>No</t>
        </is>
      </c>
      <c r="J1581" t="inlineStr">
        <is>
          <t>0</t>
        </is>
      </c>
      <c r="L1581" t="inlineStr">
        <is>
          <t>Washington, D.C. : National Education Association, c1982.</t>
        </is>
      </c>
      <c r="M1581" t="inlineStr">
        <is>
          <t>1982</t>
        </is>
      </c>
      <c r="N1581" t="inlineStr">
        <is>
          <t>Rev. ed.</t>
        </is>
      </c>
      <c r="O1581" t="inlineStr">
        <is>
          <t>eng</t>
        </is>
      </c>
      <c r="P1581" t="inlineStr">
        <is>
          <t>dcu</t>
        </is>
      </c>
      <c r="Q1581" t="inlineStr">
        <is>
          <t>NEA aspects of learning</t>
        </is>
      </c>
      <c r="R1581" t="inlineStr">
        <is>
          <t xml:space="preserve">LC </t>
        </is>
      </c>
      <c r="S1581" t="n">
        <v>2</v>
      </c>
      <c r="T1581" t="n">
        <v>2</v>
      </c>
      <c r="U1581" t="inlineStr">
        <is>
          <t>2000-10-31</t>
        </is>
      </c>
      <c r="V1581" t="inlineStr">
        <is>
          <t>2000-10-31</t>
        </is>
      </c>
      <c r="W1581" t="inlineStr">
        <is>
          <t>1990-03-29</t>
        </is>
      </c>
      <c r="X1581" t="inlineStr">
        <is>
          <t>1990-03-29</t>
        </is>
      </c>
      <c r="Y1581" t="n">
        <v>237</v>
      </c>
      <c r="Z1581" t="n">
        <v>225</v>
      </c>
      <c r="AA1581" t="n">
        <v>399</v>
      </c>
      <c r="AB1581" t="n">
        <v>4</v>
      </c>
      <c r="AC1581" t="n">
        <v>5</v>
      </c>
      <c r="AD1581" t="n">
        <v>9</v>
      </c>
      <c r="AE1581" t="n">
        <v>17</v>
      </c>
      <c r="AF1581" t="n">
        <v>4</v>
      </c>
      <c r="AG1581" t="n">
        <v>6</v>
      </c>
      <c r="AH1581" t="n">
        <v>2</v>
      </c>
      <c r="AI1581" t="n">
        <v>4</v>
      </c>
      <c r="AJ1581" t="n">
        <v>4</v>
      </c>
      <c r="AK1581" t="n">
        <v>9</v>
      </c>
      <c r="AL1581" t="n">
        <v>3</v>
      </c>
      <c r="AM1581" t="n">
        <v>4</v>
      </c>
      <c r="AN1581" t="n">
        <v>0</v>
      </c>
      <c r="AO1581" t="n">
        <v>0</v>
      </c>
      <c r="AP1581" t="inlineStr">
        <is>
          <t>No</t>
        </is>
      </c>
      <c r="AQ1581" t="inlineStr">
        <is>
          <t>Yes</t>
        </is>
      </c>
      <c r="AR1581">
        <f>HYPERLINK("http://catalog.hathitrust.org/Record/000191757","HathiTrust Record")</f>
        <v/>
      </c>
      <c r="AS1581">
        <f>HYPERLINK("https://creighton-primo.hosted.exlibrisgroup.com/primo-explore/search?tab=default_tab&amp;search_scope=EVERYTHING&amp;vid=01CRU&amp;lang=en_US&amp;offset=0&amp;query=any,contains,991005230009702656","Catalog Record")</f>
        <v/>
      </c>
      <c r="AT1581">
        <f>HYPERLINK("http://www.worldcat.org/oclc/8306825","WorldCat Record")</f>
        <v/>
      </c>
      <c r="AU1581" t="inlineStr">
        <is>
          <t>1075749:eng</t>
        </is>
      </c>
      <c r="AV1581" t="inlineStr">
        <is>
          <t>8306825</t>
        </is>
      </c>
      <c r="AW1581" t="inlineStr">
        <is>
          <t>991005230009702656</t>
        </is>
      </c>
      <c r="AX1581" t="inlineStr">
        <is>
          <t>991005230009702656</t>
        </is>
      </c>
      <c r="AY1581" t="inlineStr">
        <is>
          <t>2269243870002656</t>
        </is>
      </c>
      <c r="AZ1581" t="inlineStr">
        <is>
          <t>BOOK</t>
        </is>
      </c>
      <c r="BB1581" t="inlineStr">
        <is>
          <t>9780810614871</t>
        </is>
      </c>
      <c r="BC1581" t="inlineStr">
        <is>
          <t>32285000107309</t>
        </is>
      </c>
      <c r="BD1581" t="inlineStr">
        <is>
          <t>893613342</t>
        </is>
      </c>
    </row>
    <row r="1582">
      <c r="A1582" t="inlineStr">
        <is>
          <t>No</t>
        </is>
      </c>
      <c r="B1582" t="inlineStr">
        <is>
          <t>LC311 .D45 2000</t>
        </is>
      </c>
      <c r="C1582" t="inlineStr">
        <is>
          <t>0                      LC 0311000D  45          2000</t>
        </is>
      </c>
      <c r="D1582" t="inlineStr">
        <is>
          <t>Teaching right from wrong : the moral education of today's youth / James J. DiGiacomo.</t>
        </is>
      </c>
      <c r="F1582" t="inlineStr">
        <is>
          <t>No</t>
        </is>
      </c>
      <c r="G1582" t="inlineStr">
        <is>
          <t>1</t>
        </is>
      </c>
      <c r="H1582" t="inlineStr">
        <is>
          <t>No</t>
        </is>
      </c>
      <c r="I1582" t="inlineStr">
        <is>
          <t>No</t>
        </is>
      </c>
      <c r="J1582" t="inlineStr">
        <is>
          <t>0</t>
        </is>
      </c>
      <c r="K1582" t="inlineStr">
        <is>
          <t>DiGiacomo, James.</t>
        </is>
      </c>
      <c r="L1582" t="inlineStr">
        <is>
          <t>Washington, DC : National Catholic Educational Association, c2000.</t>
        </is>
      </c>
      <c r="M1582" t="inlineStr">
        <is>
          <t>2000</t>
        </is>
      </c>
      <c r="O1582" t="inlineStr">
        <is>
          <t>eng</t>
        </is>
      </c>
      <c r="P1582" t="inlineStr">
        <is>
          <t>dcu</t>
        </is>
      </c>
      <c r="R1582" t="inlineStr">
        <is>
          <t xml:space="preserve">LC </t>
        </is>
      </c>
      <c r="S1582" t="n">
        <v>2</v>
      </c>
      <c r="T1582" t="n">
        <v>2</v>
      </c>
      <c r="U1582" t="inlineStr">
        <is>
          <t>2001-06-19</t>
        </is>
      </c>
      <c r="V1582" t="inlineStr">
        <is>
          <t>2001-06-19</t>
        </is>
      </c>
      <c r="W1582" t="inlineStr">
        <is>
          <t>2001-06-19</t>
        </is>
      </c>
      <c r="X1582" t="inlineStr">
        <is>
          <t>2001-06-19</t>
        </is>
      </c>
      <c r="Y1582" t="n">
        <v>31</v>
      </c>
      <c r="Z1582" t="n">
        <v>26</v>
      </c>
      <c r="AA1582" t="n">
        <v>29</v>
      </c>
      <c r="AB1582" t="n">
        <v>1</v>
      </c>
      <c r="AC1582" t="n">
        <v>1</v>
      </c>
      <c r="AD1582" t="n">
        <v>9</v>
      </c>
      <c r="AE1582" t="n">
        <v>9</v>
      </c>
      <c r="AF1582" t="n">
        <v>3</v>
      </c>
      <c r="AG1582" t="n">
        <v>3</v>
      </c>
      <c r="AH1582" t="n">
        <v>2</v>
      </c>
      <c r="AI1582" t="n">
        <v>2</v>
      </c>
      <c r="AJ1582" t="n">
        <v>6</v>
      </c>
      <c r="AK1582" t="n">
        <v>6</v>
      </c>
      <c r="AL1582" t="n">
        <v>0</v>
      </c>
      <c r="AM1582" t="n">
        <v>0</v>
      </c>
      <c r="AN1582" t="n">
        <v>0</v>
      </c>
      <c r="AO1582" t="n">
        <v>0</v>
      </c>
      <c r="AP1582" t="inlineStr">
        <is>
          <t>No</t>
        </is>
      </c>
      <c r="AQ1582" t="inlineStr">
        <is>
          <t>No</t>
        </is>
      </c>
      <c r="AS1582">
        <f>HYPERLINK("https://creighton-primo.hosted.exlibrisgroup.com/primo-explore/search?tab=default_tab&amp;search_scope=EVERYTHING&amp;vid=01CRU&amp;lang=en_US&amp;offset=0&amp;query=any,contains,991003491069702656","Catalog Record")</f>
        <v/>
      </c>
      <c r="AT1582">
        <f>HYPERLINK("http://www.worldcat.org/oclc/46893432","WorldCat Record")</f>
        <v/>
      </c>
      <c r="AU1582" t="inlineStr">
        <is>
          <t>4017656876:eng</t>
        </is>
      </c>
      <c r="AV1582" t="inlineStr">
        <is>
          <t>46893432</t>
        </is>
      </c>
      <c r="AW1582" t="inlineStr">
        <is>
          <t>991003491069702656</t>
        </is>
      </c>
      <c r="AX1582" t="inlineStr">
        <is>
          <t>991003491069702656</t>
        </is>
      </c>
      <c r="AY1582" t="inlineStr">
        <is>
          <t>2266536860002656</t>
        </is>
      </c>
      <c r="AZ1582" t="inlineStr">
        <is>
          <t>BOOK</t>
        </is>
      </c>
      <c r="BB1582" t="inlineStr">
        <is>
          <t>9781558332546</t>
        </is>
      </c>
      <c r="BC1582" t="inlineStr">
        <is>
          <t>32285004297981</t>
        </is>
      </c>
      <c r="BD1582" t="inlineStr">
        <is>
          <t>893330345</t>
        </is>
      </c>
    </row>
    <row r="1583">
      <c r="A1583" t="inlineStr">
        <is>
          <t>No</t>
        </is>
      </c>
      <c r="B1583" t="inlineStr">
        <is>
          <t>LC311 .F47 1995</t>
        </is>
      </c>
      <c r="C1583" t="inlineStr">
        <is>
          <t>0                      LC 0311000F  47          1995</t>
        </is>
      </c>
      <c r="D1583" t="inlineStr">
        <is>
          <t>Habits of mind : struggling over values in America's classrooms / Melinda Fine.</t>
        </is>
      </c>
      <c r="F1583" t="inlineStr">
        <is>
          <t>No</t>
        </is>
      </c>
      <c r="G1583" t="inlineStr">
        <is>
          <t>1</t>
        </is>
      </c>
      <c r="H1583" t="inlineStr">
        <is>
          <t>No</t>
        </is>
      </c>
      <c r="I1583" t="inlineStr">
        <is>
          <t>No</t>
        </is>
      </c>
      <c r="J1583" t="inlineStr">
        <is>
          <t>0</t>
        </is>
      </c>
      <c r="K1583" t="inlineStr">
        <is>
          <t>Fine, Melinda, 1958-</t>
        </is>
      </c>
      <c r="L1583" t="inlineStr">
        <is>
          <t>San Francisco : Jossey-Bass, c1995.</t>
        </is>
      </c>
      <c r="M1583" t="inlineStr">
        <is>
          <t>1995</t>
        </is>
      </c>
      <c r="N1583" t="inlineStr">
        <is>
          <t>1st ed.</t>
        </is>
      </c>
      <c r="O1583" t="inlineStr">
        <is>
          <t>eng</t>
        </is>
      </c>
      <c r="P1583" t="inlineStr">
        <is>
          <t>cau</t>
        </is>
      </c>
      <c r="Q1583" t="inlineStr">
        <is>
          <t>The Jossey-Bass education series</t>
        </is>
      </c>
      <c r="R1583" t="inlineStr">
        <is>
          <t xml:space="preserve">LC </t>
        </is>
      </c>
      <c r="S1583" t="n">
        <v>6</v>
      </c>
      <c r="T1583" t="n">
        <v>6</v>
      </c>
      <c r="U1583" t="inlineStr">
        <is>
          <t>2005-10-26</t>
        </is>
      </c>
      <c r="V1583" t="inlineStr">
        <is>
          <t>2005-10-26</t>
        </is>
      </c>
      <c r="W1583" t="inlineStr">
        <is>
          <t>1996-04-03</t>
        </is>
      </c>
      <c r="X1583" t="inlineStr">
        <is>
          <t>1996-04-03</t>
        </is>
      </c>
      <c r="Y1583" t="n">
        <v>820</v>
      </c>
      <c r="Z1583" t="n">
        <v>763</v>
      </c>
      <c r="AA1583" t="n">
        <v>768</v>
      </c>
      <c r="AB1583" t="n">
        <v>5</v>
      </c>
      <c r="AC1583" t="n">
        <v>5</v>
      </c>
      <c r="AD1583" t="n">
        <v>30</v>
      </c>
      <c r="AE1583" t="n">
        <v>30</v>
      </c>
      <c r="AF1583" t="n">
        <v>14</v>
      </c>
      <c r="AG1583" t="n">
        <v>14</v>
      </c>
      <c r="AH1583" t="n">
        <v>5</v>
      </c>
      <c r="AI1583" t="n">
        <v>5</v>
      </c>
      <c r="AJ1583" t="n">
        <v>17</v>
      </c>
      <c r="AK1583" t="n">
        <v>17</v>
      </c>
      <c r="AL1583" t="n">
        <v>2</v>
      </c>
      <c r="AM1583" t="n">
        <v>2</v>
      </c>
      <c r="AN1583" t="n">
        <v>0</v>
      </c>
      <c r="AO1583" t="n">
        <v>0</v>
      </c>
      <c r="AP1583" t="inlineStr">
        <is>
          <t>No</t>
        </is>
      </c>
      <c r="AQ1583" t="inlineStr">
        <is>
          <t>Yes</t>
        </is>
      </c>
      <c r="AR1583">
        <f>HYPERLINK("http://catalog.hathitrust.org/Record/002974475","HathiTrust Record")</f>
        <v/>
      </c>
      <c r="AS1583">
        <f>HYPERLINK("https://creighton-primo.hosted.exlibrisgroup.com/primo-explore/search?tab=default_tab&amp;search_scope=EVERYTHING&amp;vid=01CRU&amp;lang=en_US&amp;offset=0&amp;query=any,contains,991002421119702656","Catalog Record")</f>
        <v/>
      </c>
      <c r="AT1583">
        <f>HYPERLINK("http://www.worldcat.org/oclc/31519219","WorldCat Record")</f>
        <v/>
      </c>
      <c r="AU1583" t="inlineStr">
        <is>
          <t>905815603:eng</t>
        </is>
      </c>
      <c r="AV1583" t="inlineStr">
        <is>
          <t>31519219</t>
        </is>
      </c>
      <c r="AW1583" t="inlineStr">
        <is>
          <t>991002421119702656</t>
        </is>
      </c>
      <c r="AX1583" t="inlineStr">
        <is>
          <t>991002421119702656</t>
        </is>
      </c>
      <c r="AY1583" t="inlineStr">
        <is>
          <t>2267356900002656</t>
        </is>
      </c>
      <c r="AZ1583" t="inlineStr">
        <is>
          <t>BOOK</t>
        </is>
      </c>
      <c r="BB1583" t="inlineStr">
        <is>
          <t>9780787900618</t>
        </is>
      </c>
      <c r="BC1583" t="inlineStr">
        <is>
          <t>32285002149937</t>
        </is>
      </c>
      <c r="BD1583" t="inlineStr">
        <is>
          <t>893898735</t>
        </is>
      </c>
    </row>
    <row r="1584">
      <c r="A1584" t="inlineStr">
        <is>
          <t>No</t>
        </is>
      </c>
      <c r="B1584" t="inlineStr">
        <is>
          <t>LC311 .I68 1998</t>
        </is>
      </c>
      <c r="C1584" t="inlineStr">
        <is>
          <t>0                      LC 0311000I  68          1998</t>
        </is>
      </c>
      <c r="D1584" t="inlineStr">
        <is>
          <t>An integrated approach to character education / editor, Timothy Rusnak.</t>
        </is>
      </c>
      <c r="F1584" t="inlineStr">
        <is>
          <t>No</t>
        </is>
      </c>
      <c r="G1584" t="inlineStr">
        <is>
          <t>1</t>
        </is>
      </c>
      <c r="H1584" t="inlineStr">
        <is>
          <t>No</t>
        </is>
      </c>
      <c r="I1584" t="inlineStr">
        <is>
          <t>No</t>
        </is>
      </c>
      <c r="J1584" t="inlineStr">
        <is>
          <t>0</t>
        </is>
      </c>
      <c r="L1584" t="inlineStr">
        <is>
          <t>Thousand Oaks, Calif. : Corwin Press, c1998.</t>
        </is>
      </c>
      <c r="M1584" t="inlineStr">
        <is>
          <t>1998</t>
        </is>
      </c>
      <c r="O1584" t="inlineStr">
        <is>
          <t>eng</t>
        </is>
      </c>
      <c r="P1584" t="inlineStr">
        <is>
          <t>cau</t>
        </is>
      </c>
      <c r="R1584" t="inlineStr">
        <is>
          <t xml:space="preserve">LC </t>
        </is>
      </c>
      <c r="S1584" t="n">
        <v>6</v>
      </c>
      <c r="T1584" t="n">
        <v>6</v>
      </c>
      <c r="U1584" t="inlineStr">
        <is>
          <t>2009-10-01</t>
        </is>
      </c>
      <c r="V1584" t="inlineStr">
        <is>
          <t>2009-10-01</t>
        </is>
      </c>
      <c r="W1584" t="inlineStr">
        <is>
          <t>2000-08-08</t>
        </is>
      </c>
      <c r="X1584" t="inlineStr">
        <is>
          <t>2000-08-08</t>
        </is>
      </c>
      <c r="Y1584" t="n">
        <v>701</v>
      </c>
      <c r="Z1584" t="n">
        <v>641</v>
      </c>
      <c r="AA1584" t="n">
        <v>649</v>
      </c>
      <c r="AB1584" t="n">
        <v>6</v>
      </c>
      <c r="AC1584" t="n">
        <v>6</v>
      </c>
      <c r="AD1584" t="n">
        <v>33</v>
      </c>
      <c r="AE1584" t="n">
        <v>33</v>
      </c>
      <c r="AF1584" t="n">
        <v>16</v>
      </c>
      <c r="AG1584" t="n">
        <v>16</v>
      </c>
      <c r="AH1584" t="n">
        <v>5</v>
      </c>
      <c r="AI1584" t="n">
        <v>5</v>
      </c>
      <c r="AJ1584" t="n">
        <v>17</v>
      </c>
      <c r="AK1584" t="n">
        <v>17</v>
      </c>
      <c r="AL1584" t="n">
        <v>5</v>
      </c>
      <c r="AM1584" t="n">
        <v>5</v>
      </c>
      <c r="AN1584" t="n">
        <v>0</v>
      </c>
      <c r="AO1584" t="n">
        <v>0</v>
      </c>
      <c r="AP1584" t="inlineStr">
        <is>
          <t>No</t>
        </is>
      </c>
      <c r="AQ1584" t="inlineStr">
        <is>
          <t>Yes</t>
        </is>
      </c>
      <c r="AR1584">
        <f>HYPERLINK("http://catalog.hathitrust.org/Record/003965892","HathiTrust Record")</f>
        <v/>
      </c>
      <c r="AS1584">
        <f>HYPERLINK("https://creighton-primo.hosted.exlibrisgroup.com/primo-explore/search?tab=default_tab&amp;search_scope=EVERYTHING&amp;vid=01CRU&amp;lang=en_US&amp;offset=0&amp;query=any,contains,991003250409702656","Catalog Record")</f>
        <v/>
      </c>
      <c r="AT1584">
        <f>HYPERLINK("http://www.worldcat.org/oclc/37281592","WorldCat Record")</f>
        <v/>
      </c>
      <c r="AU1584" t="inlineStr">
        <is>
          <t>590205:eng</t>
        </is>
      </c>
      <c r="AV1584" t="inlineStr">
        <is>
          <t>37281592</t>
        </is>
      </c>
      <c r="AW1584" t="inlineStr">
        <is>
          <t>991003250409702656</t>
        </is>
      </c>
      <c r="AX1584" t="inlineStr">
        <is>
          <t>991003250409702656</t>
        </is>
      </c>
      <c r="AY1584" t="inlineStr">
        <is>
          <t>2257833600002656</t>
        </is>
      </c>
      <c r="AZ1584" t="inlineStr">
        <is>
          <t>BOOK</t>
        </is>
      </c>
      <c r="BB1584" t="inlineStr">
        <is>
          <t>9780761904373</t>
        </is>
      </c>
      <c r="BC1584" t="inlineStr">
        <is>
          <t>32285003756466</t>
        </is>
      </c>
      <c r="BD1584" t="inlineStr">
        <is>
          <t>893809897</t>
        </is>
      </c>
    </row>
    <row r="1585">
      <c r="A1585" t="inlineStr">
        <is>
          <t>No</t>
        </is>
      </c>
      <c r="B1585" t="inlineStr">
        <is>
          <t>LC311 .K62 2001</t>
        </is>
      </c>
      <c r="C1585" t="inlineStr">
        <is>
          <t>0                      LC 0311000K  62          2001</t>
        </is>
      </c>
      <c r="D1585" t="inlineStr">
        <is>
          <t>First Class character education activities program : ready-to-use lessons &amp; activities for grades 7-12 / Michael D. Koehler, Karen E. Royer</t>
        </is>
      </c>
      <c r="F1585" t="inlineStr">
        <is>
          <t>No</t>
        </is>
      </c>
      <c r="G1585" t="inlineStr">
        <is>
          <t>1</t>
        </is>
      </c>
      <c r="H1585" t="inlineStr">
        <is>
          <t>No</t>
        </is>
      </c>
      <c r="I1585" t="inlineStr">
        <is>
          <t>No</t>
        </is>
      </c>
      <c r="J1585" t="inlineStr">
        <is>
          <t>0</t>
        </is>
      </c>
      <c r="K1585" t="inlineStr">
        <is>
          <t>Koehler, Mike, 1938-2015.</t>
        </is>
      </c>
      <c r="L1585" t="inlineStr">
        <is>
          <t>Paramus, NJ : Prentice Hall, c2001.</t>
        </is>
      </c>
      <c r="M1585" t="inlineStr">
        <is>
          <t>2001</t>
        </is>
      </c>
      <c r="O1585" t="inlineStr">
        <is>
          <t>eng</t>
        </is>
      </c>
      <c r="P1585" t="inlineStr">
        <is>
          <t>nju</t>
        </is>
      </c>
      <c r="R1585" t="inlineStr">
        <is>
          <t xml:space="preserve">LC </t>
        </is>
      </c>
      <c r="S1585" t="n">
        <v>1</v>
      </c>
      <c r="T1585" t="n">
        <v>1</v>
      </c>
      <c r="U1585" t="inlineStr">
        <is>
          <t>2001-11-15</t>
        </is>
      </c>
      <c r="V1585" t="inlineStr">
        <is>
          <t>2001-11-15</t>
        </is>
      </c>
      <c r="W1585" t="inlineStr">
        <is>
          <t>2001-11-14</t>
        </is>
      </c>
      <c r="X1585" t="inlineStr">
        <is>
          <t>2001-11-14</t>
        </is>
      </c>
      <c r="Y1585" t="n">
        <v>126</v>
      </c>
      <c r="Z1585" t="n">
        <v>115</v>
      </c>
      <c r="AA1585" t="n">
        <v>169</v>
      </c>
      <c r="AB1585" t="n">
        <v>2</v>
      </c>
      <c r="AC1585" t="n">
        <v>3</v>
      </c>
      <c r="AD1585" t="n">
        <v>5</v>
      </c>
      <c r="AE1585" t="n">
        <v>8</v>
      </c>
      <c r="AF1585" t="n">
        <v>3</v>
      </c>
      <c r="AG1585" t="n">
        <v>5</v>
      </c>
      <c r="AH1585" t="n">
        <v>0</v>
      </c>
      <c r="AI1585" t="n">
        <v>0</v>
      </c>
      <c r="AJ1585" t="n">
        <v>4</v>
      </c>
      <c r="AK1585" t="n">
        <v>5</v>
      </c>
      <c r="AL1585" t="n">
        <v>1</v>
      </c>
      <c r="AM1585" t="n">
        <v>2</v>
      </c>
      <c r="AN1585" t="n">
        <v>0</v>
      </c>
      <c r="AO1585" t="n">
        <v>0</v>
      </c>
      <c r="AP1585" t="inlineStr">
        <is>
          <t>No</t>
        </is>
      </c>
      <c r="AQ1585" t="inlineStr">
        <is>
          <t>No</t>
        </is>
      </c>
      <c r="AS1585">
        <f>HYPERLINK("https://creighton-primo.hosted.exlibrisgroup.com/primo-explore/search?tab=default_tab&amp;search_scope=EVERYTHING&amp;vid=01CRU&amp;lang=en_US&amp;offset=0&amp;query=any,contains,991003654029702656","Catalog Record")</f>
        <v/>
      </c>
      <c r="AT1585">
        <f>HYPERLINK("http://www.worldcat.org/oclc/47056384","WorldCat Record")</f>
        <v/>
      </c>
      <c r="AU1585" t="inlineStr">
        <is>
          <t>815111825:eng</t>
        </is>
      </c>
      <c r="AV1585" t="inlineStr">
        <is>
          <t>47056384</t>
        </is>
      </c>
      <c r="AW1585" t="inlineStr">
        <is>
          <t>991003654029702656</t>
        </is>
      </c>
      <c r="AX1585" t="inlineStr">
        <is>
          <t>991003654029702656</t>
        </is>
      </c>
      <c r="AY1585" t="inlineStr">
        <is>
          <t>2268120720002656</t>
        </is>
      </c>
      <c r="AZ1585" t="inlineStr">
        <is>
          <t>BOOK</t>
        </is>
      </c>
      <c r="BB1585" t="inlineStr">
        <is>
          <t>9780130340818</t>
        </is>
      </c>
      <c r="BC1585" t="inlineStr">
        <is>
          <t>32285004411020</t>
        </is>
      </c>
      <c r="BD1585" t="inlineStr">
        <is>
          <t>893348959</t>
        </is>
      </c>
    </row>
    <row r="1586">
      <c r="A1586" t="inlineStr">
        <is>
          <t>No</t>
        </is>
      </c>
      <c r="B1586" t="inlineStr">
        <is>
          <t>LC311 .M2</t>
        </is>
      </c>
      <c r="C1586" t="inlineStr">
        <is>
          <t>0                      LC 0311000M  2</t>
        </is>
      </c>
      <c r="D1586" t="inlineStr">
        <is>
          <t>Public schools and moral education; the influence of Horace Mann, William Torrey Harris, and John Dewey.</t>
        </is>
      </c>
      <c r="F1586" t="inlineStr">
        <is>
          <t>No</t>
        </is>
      </c>
      <c r="G1586" t="inlineStr">
        <is>
          <t>1</t>
        </is>
      </c>
      <c r="H1586" t="inlineStr">
        <is>
          <t>No</t>
        </is>
      </c>
      <c r="I1586" t="inlineStr">
        <is>
          <t>No</t>
        </is>
      </c>
      <c r="J1586" t="inlineStr">
        <is>
          <t>0</t>
        </is>
      </c>
      <c r="K1586" t="inlineStr">
        <is>
          <t>McCluskey, Neil G., 1920-2008.</t>
        </is>
      </c>
      <c r="L1586" t="inlineStr">
        <is>
          <t>New York, Columbia University Press, 1958.</t>
        </is>
      </c>
      <c r="M1586" t="inlineStr">
        <is>
          <t>1958</t>
        </is>
      </c>
      <c r="O1586" t="inlineStr">
        <is>
          <t>eng</t>
        </is>
      </c>
      <c r="P1586" t="inlineStr">
        <is>
          <t>nyu</t>
        </is>
      </c>
      <c r="R1586" t="inlineStr">
        <is>
          <t xml:space="preserve">LC </t>
        </is>
      </c>
      <c r="S1586" t="n">
        <v>2</v>
      </c>
      <c r="T1586" t="n">
        <v>2</v>
      </c>
      <c r="U1586" t="inlineStr">
        <is>
          <t>2008-05-29</t>
        </is>
      </c>
      <c r="V1586" t="inlineStr">
        <is>
          <t>2008-05-29</t>
        </is>
      </c>
      <c r="W1586" t="inlineStr">
        <is>
          <t>1997-06-05</t>
        </is>
      </c>
      <c r="X1586" t="inlineStr">
        <is>
          <t>1997-06-05</t>
        </is>
      </c>
      <c r="Y1586" t="n">
        <v>502</v>
      </c>
      <c r="Z1586" t="n">
        <v>465</v>
      </c>
      <c r="AA1586" t="n">
        <v>532</v>
      </c>
      <c r="AB1586" t="n">
        <v>4</v>
      </c>
      <c r="AC1586" t="n">
        <v>5</v>
      </c>
      <c r="AD1586" t="n">
        <v>34</v>
      </c>
      <c r="AE1586" t="n">
        <v>37</v>
      </c>
      <c r="AF1586" t="n">
        <v>15</v>
      </c>
      <c r="AG1586" t="n">
        <v>16</v>
      </c>
      <c r="AH1586" t="n">
        <v>8</v>
      </c>
      <c r="AI1586" t="n">
        <v>9</v>
      </c>
      <c r="AJ1586" t="n">
        <v>20</v>
      </c>
      <c r="AK1586" t="n">
        <v>20</v>
      </c>
      <c r="AL1586" t="n">
        <v>2</v>
      </c>
      <c r="AM1586" t="n">
        <v>3</v>
      </c>
      <c r="AN1586" t="n">
        <v>0</v>
      </c>
      <c r="AO1586" t="n">
        <v>0</v>
      </c>
      <c r="AP1586" t="inlineStr">
        <is>
          <t>No</t>
        </is>
      </c>
      <c r="AQ1586" t="inlineStr">
        <is>
          <t>No</t>
        </is>
      </c>
      <c r="AS1586">
        <f>HYPERLINK("https://creighton-primo.hosted.exlibrisgroup.com/primo-explore/search?tab=default_tab&amp;search_scope=EVERYTHING&amp;vid=01CRU&amp;lang=en_US&amp;offset=0&amp;query=any,contains,991003010359702656","Catalog Record")</f>
        <v/>
      </c>
      <c r="AT1586">
        <f>HYPERLINK("http://www.worldcat.org/oclc/577473","WorldCat Record")</f>
        <v/>
      </c>
      <c r="AU1586" t="inlineStr">
        <is>
          <t>1709679:eng</t>
        </is>
      </c>
      <c r="AV1586" t="inlineStr">
        <is>
          <t>577473</t>
        </is>
      </c>
      <c r="AW1586" t="inlineStr">
        <is>
          <t>991003010359702656</t>
        </is>
      </c>
      <c r="AX1586" t="inlineStr">
        <is>
          <t>991003010359702656</t>
        </is>
      </c>
      <c r="AY1586" t="inlineStr">
        <is>
          <t>2259176620002656</t>
        </is>
      </c>
      <c r="AZ1586" t="inlineStr">
        <is>
          <t>BOOK</t>
        </is>
      </c>
      <c r="BC1586" t="inlineStr">
        <is>
          <t>32285002801313</t>
        </is>
      </c>
      <c r="BD1586" t="inlineStr">
        <is>
          <t>893409819</t>
        </is>
      </c>
    </row>
    <row r="1587">
      <c r="A1587" t="inlineStr">
        <is>
          <t>No</t>
        </is>
      </c>
      <c r="B1587" t="inlineStr">
        <is>
          <t>LC311 .M87 2002</t>
        </is>
      </c>
      <c r="C1587" t="inlineStr">
        <is>
          <t>0                      LC 0311000M  87          2002</t>
        </is>
      </c>
      <c r="D1587" t="inlineStr">
        <is>
          <t>Character education in America's blue ribbon schools : best practices for meeting the challenge / Madonna M. Murphy.</t>
        </is>
      </c>
      <c r="F1587" t="inlineStr">
        <is>
          <t>No</t>
        </is>
      </c>
      <c r="G1587" t="inlineStr">
        <is>
          <t>1</t>
        </is>
      </c>
      <c r="H1587" t="inlineStr">
        <is>
          <t>No</t>
        </is>
      </c>
      <c r="I1587" t="inlineStr">
        <is>
          <t>No</t>
        </is>
      </c>
      <c r="J1587" t="inlineStr">
        <is>
          <t>0</t>
        </is>
      </c>
      <c r="K1587" t="inlineStr">
        <is>
          <t>Murphy, Madonna M.</t>
        </is>
      </c>
      <c r="L1587" t="inlineStr">
        <is>
          <t>Lanham, Md. : Scarecrow Press, 2002.</t>
        </is>
      </c>
      <c r="M1587" t="inlineStr">
        <is>
          <t>2002</t>
        </is>
      </c>
      <c r="N1587" t="inlineStr">
        <is>
          <t>2nd ed.</t>
        </is>
      </c>
      <c r="O1587" t="inlineStr">
        <is>
          <t>eng</t>
        </is>
      </c>
      <c r="P1587" t="inlineStr">
        <is>
          <t>mdu</t>
        </is>
      </c>
      <c r="R1587" t="inlineStr">
        <is>
          <t xml:space="preserve">LC </t>
        </is>
      </c>
      <c r="S1587" t="n">
        <v>2</v>
      </c>
      <c r="T1587" t="n">
        <v>2</v>
      </c>
      <c r="U1587" t="inlineStr">
        <is>
          <t>2006-12-03</t>
        </is>
      </c>
      <c r="V1587" t="inlineStr">
        <is>
          <t>2006-12-03</t>
        </is>
      </c>
      <c r="W1587" t="inlineStr">
        <is>
          <t>2003-02-19</t>
        </is>
      </c>
      <c r="X1587" t="inlineStr">
        <is>
          <t>2003-02-19</t>
        </is>
      </c>
      <c r="Y1587" t="n">
        <v>192</v>
      </c>
      <c r="Z1587" t="n">
        <v>183</v>
      </c>
      <c r="AA1587" t="n">
        <v>551</v>
      </c>
      <c r="AB1587" t="n">
        <v>3</v>
      </c>
      <c r="AC1587" t="n">
        <v>8</v>
      </c>
      <c r="AD1587" t="n">
        <v>11</v>
      </c>
      <c r="AE1587" t="n">
        <v>32</v>
      </c>
      <c r="AF1587" t="n">
        <v>3</v>
      </c>
      <c r="AG1587" t="n">
        <v>13</v>
      </c>
      <c r="AH1587" t="n">
        <v>3</v>
      </c>
      <c r="AI1587" t="n">
        <v>5</v>
      </c>
      <c r="AJ1587" t="n">
        <v>6</v>
      </c>
      <c r="AK1587" t="n">
        <v>12</v>
      </c>
      <c r="AL1587" t="n">
        <v>2</v>
      </c>
      <c r="AM1587" t="n">
        <v>7</v>
      </c>
      <c r="AN1587" t="n">
        <v>0</v>
      </c>
      <c r="AO1587" t="n">
        <v>0</v>
      </c>
      <c r="AP1587" t="inlineStr">
        <is>
          <t>No</t>
        </is>
      </c>
      <c r="AQ1587" t="inlineStr">
        <is>
          <t>Yes</t>
        </is>
      </c>
      <c r="AR1587">
        <f>HYPERLINK("http://catalog.hathitrust.org/Record/004298718","HathiTrust Record")</f>
        <v/>
      </c>
      <c r="AS1587">
        <f>HYPERLINK("https://creighton-primo.hosted.exlibrisgroup.com/primo-explore/search?tab=default_tab&amp;search_scope=EVERYTHING&amp;vid=01CRU&amp;lang=en_US&amp;offset=0&amp;query=any,contains,991003977369702656","Catalog Record")</f>
        <v/>
      </c>
      <c r="AT1587">
        <f>HYPERLINK("http://www.worldcat.org/oclc/49566378","WorldCat Record")</f>
        <v/>
      </c>
      <c r="AU1587" t="inlineStr">
        <is>
          <t>1008436:eng</t>
        </is>
      </c>
      <c r="AV1587" t="inlineStr">
        <is>
          <t>49566378</t>
        </is>
      </c>
      <c r="AW1587" t="inlineStr">
        <is>
          <t>991003977369702656</t>
        </is>
      </c>
      <c r="AX1587" t="inlineStr">
        <is>
          <t>991003977369702656</t>
        </is>
      </c>
      <c r="AY1587" t="inlineStr">
        <is>
          <t>2259862370002656</t>
        </is>
      </c>
      <c r="AZ1587" t="inlineStr">
        <is>
          <t>BOOK</t>
        </is>
      </c>
      <c r="BB1587" t="inlineStr">
        <is>
          <t>9780810843127</t>
        </is>
      </c>
      <c r="BC1587" t="inlineStr">
        <is>
          <t>32285004699509</t>
        </is>
      </c>
      <c r="BD1587" t="inlineStr">
        <is>
          <t>893423234</t>
        </is>
      </c>
    </row>
    <row r="1588">
      <c r="A1588" t="inlineStr">
        <is>
          <t>No</t>
        </is>
      </c>
      <c r="B1588" t="inlineStr">
        <is>
          <t>LC311 .N57 1992</t>
        </is>
      </c>
      <c r="C1588" t="inlineStr">
        <is>
          <t>0                      LC 0311000N  57          1992</t>
        </is>
      </c>
      <c r="D1588" t="inlineStr">
        <is>
          <t>The challenge to care in schools : an alternative approach to education / Nel Noddings.</t>
        </is>
      </c>
      <c r="F1588" t="inlineStr">
        <is>
          <t>No</t>
        </is>
      </c>
      <c r="G1588" t="inlineStr">
        <is>
          <t>1</t>
        </is>
      </c>
      <c r="H1588" t="inlineStr">
        <is>
          <t>No</t>
        </is>
      </c>
      <c r="I1588" t="inlineStr">
        <is>
          <t>No</t>
        </is>
      </c>
      <c r="J1588" t="inlineStr">
        <is>
          <t>0</t>
        </is>
      </c>
      <c r="K1588" t="inlineStr">
        <is>
          <t>Noddings, Nel.</t>
        </is>
      </c>
      <c r="L1588" t="inlineStr">
        <is>
          <t>New York : Teachers College Press, c1992.</t>
        </is>
      </c>
      <c r="M1588" t="inlineStr">
        <is>
          <t>1992</t>
        </is>
      </c>
      <c r="O1588" t="inlineStr">
        <is>
          <t>eng</t>
        </is>
      </c>
      <c r="P1588" t="inlineStr">
        <is>
          <t>nyu</t>
        </is>
      </c>
      <c r="Q1588" t="inlineStr">
        <is>
          <t>Advances in contemporary educational thought ; 8</t>
        </is>
      </c>
      <c r="R1588" t="inlineStr">
        <is>
          <t xml:space="preserve">LC </t>
        </is>
      </c>
      <c r="S1588" t="n">
        <v>8</v>
      </c>
      <c r="T1588" t="n">
        <v>8</v>
      </c>
      <c r="U1588" t="inlineStr">
        <is>
          <t>2009-04-21</t>
        </is>
      </c>
      <c r="V1588" t="inlineStr">
        <is>
          <t>2009-04-21</t>
        </is>
      </c>
      <c r="W1588" t="inlineStr">
        <is>
          <t>1994-09-23</t>
        </is>
      </c>
      <c r="X1588" t="inlineStr">
        <is>
          <t>1994-09-23</t>
        </is>
      </c>
      <c r="Y1588" t="n">
        <v>729</v>
      </c>
      <c r="Z1588" t="n">
        <v>623</v>
      </c>
      <c r="AA1588" t="n">
        <v>871</v>
      </c>
      <c r="AB1588" t="n">
        <v>6</v>
      </c>
      <c r="AC1588" t="n">
        <v>7</v>
      </c>
      <c r="AD1588" t="n">
        <v>30</v>
      </c>
      <c r="AE1588" t="n">
        <v>44</v>
      </c>
      <c r="AF1588" t="n">
        <v>13</v>
      </c>
      <c r="AG1588" t="n">
        <v>21</v>
      </c>
      <c r="AH1588" t="n">
        <v>5</v>
      </c>
      <c r="AI1588" t="n">
        <v>11</v>
      </c>
      <c r="AJ1588" t="n">
        <v>14</v>
      </c>
      <c r="AK1588" t="n">
        <v>20</v>
      </c>
      <c r="AL1588" t="n">
        <v>4</v>
      </c>
      <c r="AM1588" t="n">
        <v>5</v>
      </c>
      <c r="AN1588" t="n">
        <v>0</v>
      </c>
      <c r="AO1588" t="n">
        <v>0</v>
      </c>
      <c r="AP1588" t="inlineStr">
        <is>
          <t>No</t>
        </is>
      </c>
      <c r="AQ1588" t="inlineStr">
        <is>
          <t>No</t>
        </is>
      </c>
      <c r="AS1588">
        <f>HYPERLINK("https://creighton-primo.hosted.exlibrisgroup.com/primo-explore/search?tab=default_tab&amp;search_scope=EVERYTHING&amp;vid=01CRU&amp;lang=en_US&amp;offset=0&amp;query=any,contains,991005414929702656","Catalog Record")</f>
        <v/>
      </c>
      <c r="AT1588">
        <f>HYPERLINK("http://www.worldcat.org/oclc/25245555","WorldCat Record")</f>
        <v/>
      </c>
      <c r="AU1588" t="inlineStr">
        <is>
          <t>904931:eng</t>
        </is>
      </c>
      <c r="AV1588" t="inlineStr">
        <is>
          <t>25245555</t>
        </is>
      </c>
      <c r="AW1588" t="inlineStr">
        <is>
          <t>991005414929702656</t>
        </is>
      </c>
      <c r="AX1588" t="inlineStr">
        <is>
          <t>991005414929702656</t>
        </is>
      </c>
      <c r="AY1588" t="inlineStr">
        <is>
          <t>2259050660002656</t>
        </is>
      </c>
      <c r="AZ1588" t="inlineStr">
        <is>
          <t>BOOK</t>
        </is>
      </c>
      <c r="BB1588" t="inlineStr">
        <is>
          <t>9780807731772</t>
        </is>
      </c>
      <c r="BC1588" t="inlineStr">
        <is>
          <t>32285001947224</t>
        </is>
      </c>
      <c r="BD1588" t="inlineStr">
        <is>
          <t>893811091</t>
        </is>
      </c>
    </row>
    <row r="1589">
      <c r="A1589" t="inlineStr">
        <is>
          <t>No</t>
        </is>
      </c>
      <c r="B1589" t="inlineStr">
        <is>
          <t>LC311 .P35 2005</t>
        </is>
      </c>
      <c r="C1589" t="inlineStr">
        <is>
          <t>0                      LC 0311000P  35          2005</t>
        </is>
      </c>
      <c r="D1589" t="inlineStr">
        <is>
          <t>Teaching kids right from wrong / Susanne Palomares, Dianne Schilling.</t>
        </is>
      </c>
      <c r="F1589" t="inlineStr">
        <is>
          <t>No</t>
        </is>
      </c>
      <c r="G1589" t="inlineStr">
        <is>
          <t>1</t>
        </is>
      </c>
      <c r="H1589" t="inlineStr">
        <is>
          <t>No</t>
        </is>
      </c>
      <c r="I1589" t="inlineStr">
        <is>
          <t>No</t>
        </is>
      </c>
      <c r="J1589" t="inlineStr">
        <is>
          <t>0</t>
        </is>
      </c>
      <c r="K1589" t="inlineStr">
        <is>
          <t>Palomares, Susanna.</t>
        </is>
      </c>
      <c r="L1589" t="inlineStr">
        <is>
          <t>Austin, TX : Pro-Ed, 2005.</t>
        </is>
      </c>
      <c r="M1589" t="inlineStr">
        <is>
          <t>2005</t>
        </is>
      </c>
      <c r="O1589" t="inlineStr">
        <is>
          <t>eng</t>
        </is>
      </c>
      <c r="P1589" t="inlineStr">
        <is>
          <t>txu</t>
        </is>
      </c>
      <c r="R1589" t="inlineStr">
        <is>
          <t xml:space="preserve">LC </t>
        </is>
      </c>
      <c r="S1589" t="n">
        <v>1</v>
      </c>
      <c r="T1589" t="n">
        <v>1</v>
      </c>
      <c r="U1589" t="inlineStr">
        <is>
          <t>2005-05-23</t>
        </is>
      </c>
      <c r="V1589" t="inlineStr">
        <is>
          <t>2005-05-23</t>
        </is>
      </c>
      <c r="W1589" t="inlineStr">
        <is>
          <t>2005-05-23</t>
        </is>
      </c>
      <c r="X1589" t="inlineStr">
        <is>
          <t>2005-05-23</t>
        </is>
      </c>
      <c r="Y1589" t="n">
        <v>50</v>
      </c>
      <c r="Z1589" t="n">
        <v>46</v>
      </c>
      <c r="AA1589" t="n">
        <v>47</v>
      </c>
      <c r="AB1589" t="n">
        <v>1</v>
      </c>
      <c r="AC1589" t="n">
        <v>1</v>
      </c>
      <c r="AD1589" t="n">
        <v>2</v>
      </c>
      <c r="AE1589" t="n">
        <v>2</v>
      </c>
      <c r="AF1589" t="n">
        <v>0</v>
      </c>
      <c r="AG1589" t="n">
        <v>0</v>
      </c>
      <c r="AH1589" t="n">
        <v>0</v>
      </c>
      <c r="AI1589" t="n">
        <v>0</v>
      </c>
      <c r="AJ1589" t="n">
        <v>2</v>
      </c>
      <c r="AK1589" t="n">
        <v>2</v>
      </c>
      <c r="AL1589" t="n">
        <v>0</v>
      </c>
      <c r="AM1589" t="n">
        <v>0</v>
      </c>
      <c r="AN1589" t="n">
        <v>0</v>
      </c>
      <c r="AO1589" t="n">
        <v>0</v>
      </c>
      <c r="AP1589" t="inlineStr">
        <is>
          <t>No</t>
        </is>
      </c>
      <c r="AQ1589" t="inlineStr">
        <is>
          <t>Yes</t>
        </is>
      </c>
      <c r="AR1589">
        <f>HYPERLINK("http://catalog.hathitrust.org/Record/102038284","HathiTrust Record")</f>
        <v/>
      </c>
      <c r="AS1589">
        <f>HYPERLINK("https://creighton-primo.hosted.exlibrisgroup.com/primo-explore/search?tab=default_tab&amp;search_scope=EVERYTHING&amp;vid=01CRU&amp;lang=en_US&amp;offset=0&amp;query=any,contains,991004556339702656","Catalog Record")</f>
        <v/>
      </c>
      <c r="AT1589">
        <f>HYPERLINK("http://www.worldcat.org/oclc/60407311","WorldCat Record")</f>
        <v/>
      </c>
      <c r="AU1589" t="inlineStr">
        <is>
          <t>345388204:eng</t>
        </is>
      </c>
      <c r="AV1589" t="inlineStr">
        <is>
          <t>60407311</t>
        </is>
      </c>
      <c r="AW1589" t="inlineStr">
        <is>
          <t>991004556339702656</t>
        </is>
      </c>
      <c r="AX1589" t="inlineStr">
        <is>
          <t>991004556339702656</t>
        </is>
      </c>
      <c r="AY1589" t="inlineStr">
        <is>
          <t>2264688000002656</t>
        </is>
      </c>
      <c r="AZ1589" t="inlineStr">
        <is>
          <t>BOOK</t>
        </is>
      </c>
      <c r="BB1589" t="inlineStr">
        <is>
          <t>9781416400486</t>
        </is>
      </c>
      <c r="BC1589" t="inlineStr">
        <is>
          <t>32285005039614</t>
        </is>
      </c>
      <c r="BD1589" t="inlineStr">
        <is>
          <t>893500727</t>
        </is>
      </c>
    </row>
    <row r="1590">
      <c r="A1590" t="inlineStr">
        <is>
          <t>No</t>
        </is>
      </c>
      <c r="B1590" t="inlineStr">
        <is>
          <t>LC311 .S5 2000</t>
        </is>
      </c>
      <c r="C1590" t="inlineStr">
        <is>
          <t>0                      LC 0311000S  5           2000</t>
        </is>
      </c>
      <c r="D1590" t="inlineStr">
        <is>
          <t>Educating the heart : lessons to build respect and responsibility / Frank Siccone, Lilia López.</t>
        </is>
      </c>
      <c r="F1590" t="inlineStr">
        <is>
          <t>No</t>
        </is>
      </c>
      <c r="G1590" t="inlineStr">
        <is>
          <t>1</t>
        </is>
      </c>
      <c r="H1590" t="inlineStr">
        <is>
          <t>No</t>
        </is>
      </c>
      <c r="I1590" t="inlineStr">
        <is>
          <t>No</t>
        </is>
      </c>
      <c r="J1590" t="inlineStr">
        <is>
          <t>0</t>
        </is>
      </c>
      <c r="K1590" t="inlineStr">
        <is>
          <t>Siccone, Frank, 1948-</t>
        </is>
      </c>
      <c r="L1590" t="inlineStr">
        <is>
          <t>Boston : Allyn and Bacon, c2000.</t>
        </is>
      </c>
      <c r="M1590" t="inlineStr">
        <is>
          <t>2000</t>
        </is>
      </c>
      <c r="O1590" t="inlineStr">
        <is>
          <t>eng</t>
        </is>
      </c>
      <c r="P1590" t="inlineStr">
        <is>
          <t>mau</t>
        </is>
      </c>
      <c r="R1590" t="inlineStr">
        <is>
          <t xml:space="preserve">LC </t>
        </is>
      </c>
      <c r="S1590" t="n">
        <v>2</v>
      </c>
      <c r="T1590" t="n">
        <v>2</v>
      </c>
      <c r="U1590" t="inlineStr">
        <is>
          <t>2006-09-25</t>
        </is>
      </c>
      <c r="V1590" t="inlineStr">
        <is>
          <t>2006-09-25</t>
        </is>
      </c>
      <c r="W1590" t="inlineStr">
        <is>
          <t>2001-05-17</t>
        </is>
      </c>
      <c r="X1590" t="inlineStr">
        <is>
          <t>2001-05-17</t>
        </is>
      </c>
      <c r="Y1590" t="n">
        <v>221</v>
      </c>
      <c r="Z1590" t="n">
        <v>190</v>
      </c>
      <c r="AA1590" t="n">
        <v>190</v>
      </c>
      <c r="AB1590" t="n">
        <v>2</v>
      </c>
      <c r="AC1590" t="n">
        <v>2</v>
      </c>
      <c r="AD1590" t="n">
        <v>6</v>
      </c>
      <c r="AE1590" t="n">
        <v>6</v>
      </c>
      <c r="AF1590" t="n">
        <v>4</v>
      </c>
      <c r="AG1590" t="n">
        <v>4</v>
      </c>
      <c r="AH1590" t="n">
        <v>1</v>
      </c>
      <c r="AI1590" t="n">
        <v>1</v>
      </c>
      <c r="AJ1590" t="n">
        <v>3</v>
      </c>
      <c r="AK1590" t="n">
        <v>3</v>
      </c>
      <c r="AL1590" t="n">
        <v>1</v>
      </c>
      <c r="AM1590" t="n">
        <v>1</v>
      </c>
      <c r="AN1590" t="n">
        <v>0</v>
      </c>
      <c r="AO1590" t="n">
        <v>0</v>
      </c>
      <c r="AP1590" t="inlineStr">
        <is>
          <t>No</t>
        </is>
      </c>
      <c r="AQ1590" t="inlineStr">
        <is>
          <t>No</t>
        </is>
      </c>
      <c r="AS1590">
        <f>HYPERLINK("https://creighton-primo.hosted.exlibrisgroup.com/primo-explore/search?tab=default_tab&amp;search_scope=EVERYTHING&amp;vid=01CRU&amp;lang=en_US&amp;offset=0&amp;query=any,contains,991003500979702656","Catalog Record")</f>
        <v/>
      </c>
      <c r="AT1590">
        <f>HYPERLINK("http://www.worldcat.org/oclc/43637596","WorldCat Record")</f>
        <v/>
      </c>
      <c r="AU1590" t="inlineStr">
        <is>
          <t>14402996:eng</t>
        </is>
      </c>
      <c r="AV1590" t="inlineStr">
        <is>
          <t>43637596</t>
        </is>
      </c>
      <c r="AW1590" t="inlineStr">
        <is>
          <t>991003500979702656</t>
        </is>
      </c>
      <c r="AX1590" t="inlineStr">
        <is>
          <t>991003500979702656</t>
        </is>
      </c>
      <c r="AY1590" t="inlineStr">
        <is>
          <t>2267272060002656</t>
        </is>
      </c>
      <c r="AZ1590" t="inlineStr">
        <is>
          <t>BOOK</t>
        </is>
      </c>
      <c r="BB1590" t="inlineStr">
        <is>
          <t>9780205313648</t>
        </is>
      </c>
      <c r="BC1590" t="inlineStr">
        <is>
          <t>32285004318175</t>
        </is>
      </c>
      <c r="BD1590" t="inlineStr">
        <is>
          <t>893805832</t>
        </is>
      </c>
    </row>
    <row r="1591">
      <c r="A1591" t="inlineStr">
        <is>
          <t>No</t>
        </is>
      </c>
      <c r="B1591" t="inlineStr">
        <is>
          <t>LC311 .W96 1997</t>
        </is>
      </c>
      <c r="C1591" t="inlineStr">
        <is>
          <t>0                      LC 0311000W  96          1997</t>
        </is>
      </c>
      <c r="D1591" t="inlineStr">
        <is>
          <t>Reclaiming our schools : teaching character, academics, and discipline / Edward A. Wynne, Kevin Ryan.</t>
        </is>
      </c>
      <c r="F1591" t="inlineStr">
        <is>
          <t>No</t>
        </is>
      </c>
      <c r="G1591" t="inlineStr">
        <is>
          <t>1</t>
        </is>
      </c>
      <c r="H1591" t="inlineStr">
        <is>
          <t>No</t>
        </is>
      </c>
      <c r="I1591" t="inlineStr">
        <is>
          <t>No</t>
        </is>
      </c>
      <c r="J1591" t="inlineStr">
        <is>
          <t>0</t>
        </is>
      </c>
      <c r="K1591" t="inlineStr">
        <is>
          <t>Wynne, Edward.</t>
        </is>
      </c>
      <c r="L1591" t="inlineStr">
        <is>
          <t>Upper Saddle River, N.J. : Merrill, c1997.</t>
        </is>
      </c>
      <c r="M1591" t="inlineStr">
        <is>
          <t>1997</t>
        </is>
      </c>
      <c r="N1591" t="inlineStr">
        <is>
          <t>2nd ed.</t>
        </is>
      </c>
      <c r="O1591" t="inlineStr">
        <is>
          <t>eng</t>
        </is>
      </c>
      <c r="P1591" t="inlineStr">
        <is>
          <t>nju</t>
        </is>
      </c>
      <c r="R1591" t="inlineStr">
        <is>
          <t xml:space="preserve">LC </t>
        </is>
      </c>
      <c r="S1591" t="n">
        <v>9</v>
      </c>
      <c r="T1591" t="n">
        <v>9</v>
      </c>
      <c r="U1591" t="inlineStr">
        <is>
          <t>2000-02-21</t>
        </is>
      </c>
      <c r="V1591" t="inlineStr">
        <is>
          <t>2000-02-21</t>
        </is>
      </c>
      <c r="W1591" t="inlineStr">
        <is>
          <t>1996-11-12</t>
        </is>
      </c>
      <c r="X1591" t="inlineStr">
        <is>
          <t>1996-11-12</t>
        </is>
      </c>
      <c r="Y1591" t="n">
        <v>301</v>
      </c>
      <c r="Z1591" t="n">
        <v>273</v>
      </c>
      <c r="AA1591" t="n">
        <v>446</v>
      </c>
      <c r="AB1591" t="n">
        <v>2</v>
      </c>
      <c r="AC1591" t="n">
        <v>5</v>
      </c>
      <c r="AD1591" t="n">
        <v>10</v>
      </c>
      <c r="AE1591" t="n">
        <v>19</v>
      </c>
      <c r="AF1591" t="n">
        <v>2</v>
      </c>
      <c r="AG1591" t="n">
        <v>5</v>
      </c>
      <c r="AH1591" t="n">
        <v>1</v>
      </c>
      <c r="AI1591" t="n">
        <v>3</v>
      </c>
      <c r="AJ1591" t="n">
        <v>8</v>
      </c>
      <c r="AK1591" t="n">
        <v>11</v>
      </c>
      <c r="AL1591" t="n">
        <v>1</v>
      </c>
      <c r="AM1591" t="n">
        <v>4</v>
      </c>
      <c r="AN1591" t="n">
        <v>0</v>
      </c>
      <c r="AO1591" t="n">
        <v>0</v>
      </c>
      <c r="AP1591" t="inlineStr">
        <is>
          <t>No</t>
        </is>
      </c>
      <c r="AQ1591" t="inlineStr">
        <is>
          <t>Yes</t>
        </is>
      </c>
      <c r="AR1591">
        <f>HYPERLINK("http://catalog.hathitrust.org/Record/003097859","HathiTrust Record")</f>
        <v/>
      </c>
      <c r="AS1591">
        <f>HYPERLINK("https://creighton-primo.hosted.exlibrisgroup.com/primo-explore/search?tab=default_tab&amp;search_scope=EVERYTHING&amp;vid=01CRU&amp;lang=en_US&amp;offset=0&amp;query=any,contains,991002610439702656","Catalog Record")</f>
        <v/>
      </c>
      <c r="AT1591">
        <f>HYPERLINK("http://www.worldcat.org/oclc/34192578","WorldCat Record")</f>
        <v/>
      </c>
      <c r="AU1591" t="inlineStr">
        <is>
          <t>286750059:eng</t>
        </is>
      </c>
      <c r="AV1591" t="inlineStr">
        <is>
          <t>34192578</t>
        </is>
      </c>
      <c r="AW1591" t="inlineStr">
        <is>
          <t>991002610439702656</t>
        </is>
      </c>
      <c r="AX1591" t="inlineStr">
        <is>
          <t>991002610439702656</t>
        </is>
      </c>
      <c r="AY1591" t="inlineStr">
        <is>
          <t>2260081590002656</t>
        </is>
      </c>
      <c r="AZ1591" t="inlineStr">
        <is>
          <t>BOOK</t>
        </is>
      </c>
      <c r="BB1591" t="inlineStr">
        <is>
          <t>9780134590417</t>
        </is>
      </c>
      <c r="BC1591" t="inlineStr">
        <is>
          <t>32285002371903</t>
        </is>
      </c>
      <c r="BD1591" t="inlineStr">
        <is>
          <t>893233174</t>
        </is>
      </c>
    </row>
    <row r="1592">
      <c r="A1592" t="inlineStr">
        <is>
          <t>No</t>
        </is>
      </c>
      <c r="B1592" t="inlineStr">
        <is>
          <t>LC32 .B3 2009</t>
        </is>
      </c>
      <c r="C1592" t="inlineStr">
        <is>
          <t>0                      LC 0032000B  3           2009</t>
        </is>
      </c>
      <c r="D1592" t="inlineStr">
        <is>
          <t>Secrets of a buccaneer-scholar : how self-education and the pursuit of passion can lead to a lifetime of success / James Marcus Bach.</t>
        </is>
      </c>
      <c r="F1592" t="inlineStr">
        <is>
          <t>No</t>
        </is>
      </c>
      <c r="G1592" t="inlineStr">
        <is>
          <t>1</t>
        </is>
      </c>
      <c r="H1592" t="inlineStr">
        <is>
          <t>No</t>
        </is>
      </c>
      <c r="I1592" t="inlineStr">
        <is>
          <t>No</t>
        </is>
      </c>
      <c r="J1592" t="inlineStr">
        <is>
          <t>0</t>
        </is>
      </c>
      <c r="K1592" t="inlineStr">
        <is>
          <t>Bach, James.</t>
        </is>
      </c>
      <c r="L1592" t="inlineStr">
        <is>
          <t>New York : Scribner, 2009.</t>
        </is>
      </c>
      <c r="M1592" t="inlineStr">
        <is>
          <t>2009</t>
        </is>
      </c>
      <c r="N1592" t="inlineStr">
        <is>
          <t>1st Scribner hardcover ed.</t>
        </is>
      </c>
      <c r="O1592" t="inlineStr">
        <is>
          <t>eng</t>
        </is>
      </c>
      <c r="P1592" t="inlineStr">
        <is>
          <t>nyu</t>
        </is>
      </c>
      <c r="R1592" t="inlineStr">
        <is>
          <t xml:space="preserve">LC </t>
        </is>
      </c>
      <c r="S1592" t="n">
        <v>2</v>
      </c>
      <c r="T1592" t="n">
        <v>2</v>
      </c>
      <c r="U1592" t="inlineStr">
        <is>
          <t>2009-12-02</t>
        </is>
      </c>
      <c r="V1592" t="inlineStr">
        <is>
          <t>2009-12-02</t>
        </is>
      </c>
      <c r="W1592" t="inlineStr">
        <is>
          <t>2009-10-06</t>
        </is>
      </c>
      <c r="X1592" t="inlineStr">
        <is>
          <t>2009-10-06</t>
        </is>
      </c>
      <c r="Y1592" t="n">
        <v>240</v>
      </c>
      <c r="Z1592" t="n">
        <v>219</v>
      </c>
      <c r="AA1592" t="n">
        <v>270</v>
      </c>
      <c r="AB1592" t="n">
        <v>2</v>
      </c>
      <c r="AC1592" t="n">
        <v>2</v>
      </c>
      <c r="AD1592" t="n">
        <v>0</v>
      </c>
      <c r="AE1592" t="n">
        <v>0</v>
      </c>
      <c r="AF1592" t="n">
        <v>0</v>
      </c>
      <c r="AG1592" t="n">
        <v>0</v>
      </c>
      <c r="AH1592" t="n">
        <v>0</v>
      </c>
      <c r="AI1592" t="n">
        <v>0</v>
      </c>
      <c r="AJ1592" t="n">
        <v>0</v>
      </c>
      <c r="AK1592" t="n">
        <v>0</v>
      </c>
      <c r="AL1592" t="n">
        <v>0</v>
      </c>
      <c r="AM1592" t="n">
        <v>0</v>
      </c>
      <c r="AN1592" t="n">
        <v>0</v>
      </c>
      <c r="AO1592" t="n">
        <v>0</v>
      </c>
      <c r="AP1592" t="inlineStr">
        <is>
          <t>No</t>
        </is>
      </c>
      <c r="AQ1592" t="inlineStr">
        <is>
          <t>No</t>
        </is>
      </c>
      <c r="AS1592">
        <f>HYPERLINK("https://creighton-primo.hosted.exlibrisgroup.com/primo-explore/search?tab=default_tab&amp;search_scope=EVERYTHING&amp;vid=01CRU&amp;lang=en_US&amp;offset=0&amp;query=any,contains,991005331079702656","Catalog Record")</f>
        <v/>
      </c>
      <c r="AT1592">
        <f>HYPERLINK("http://www.worldcat.org/oclc/300720626","WorldCat Record")</f>
        <v/>
      </c>
      <c r="AU1592" t="inlineStr">
        <is>
          <t>793201768:eng</t>
        </is>
      </c>
      <c r="AV1592" t="inlineStr">
        <is>
          <t>300720626</t>
        </is>
      </c>
      <c r="AW1592" t="inlineStr">
        <is>
          <t>991005331079702656</t>
        </is>
      </c>
      <c r="AX1592" t="inlineStr">
        <is>
          <t>991005331079702656</t>
        </is>
      </c>
      <c r="AY1592" t="inlineStr">
        <is>
          <t>2259706190002656</t>
        </is>
      </c>
      <c r="AZ1592" t="inlineStr">
        <is>
          <t>BOOK</t>
        </is>
      </c>
      <c r="BB1592" t="inlineStr">
        <is>
          <t>9781439109083</t>
        </is>
      </c>
      <c r="BC1592" t="inlineStr">
        <is>
          <t>32285005546824</t>
        </is>
      </c>
      <c r="BD1592" t="inlineStr">
        <is>
          <t>893707653</t>
        </is>
      </c>
    </row>
    <row r="1593">
      <c r="A1593" t="inlineStr">
        <is>
          <t>No</t>
        </is>
      </c>
      <c r="B1593" t="inlineStr">
        <is>
          <t>LC32 .H39 1998</t>
        </is>
      </c>
      <c r="C1593" t="inlineStr">
        <is>
          <t>0                      LC 0032000H  39          1998</t>
        </is>
      </c>
      <c r="D1593" t="inlineStr">
        <is>
          <t>Beyond the American dream : lifelong learning and the search for meaning in a postmodern world / Charles D. Hayes.</t>
        </is>
      </c>
      <c r="F1593" t="inlineStr">
        <is>
          <t>No</t>
        </is>
      </c>
      <c r="G1593" t="inlineStr">
        <is>
          <t>1</t>
        </is>
      </c>
      <c r="H1593" t="inlineStr">
        <is>
          <t>No</t>
        </is>
      </c>
      <c r="I1593" t="inlineStr">
        <is>
          <t>No</t>
        </is>
      </c>
      <c r="J1593" t="inlineStr">
        <is>
          <t>0</t>
        </is>
      </c>
      <c r="K1593" t="inlineStr">
        <is>
          <t>Hayes, Charles D.</t>
        </is>
      </c>
      <c r="L1593" t="inlineStr">
        <is>
          <t>Wasilla, AK : Autodidactic Press, c1998.</t>
        </is>
      </c>
      <c r="M1593" t="inlineStr">
        <is>
          <t>1998</t>
        </is>
      </c>
      <c r="N1593" t="inlineStr">
        <is>
          <t>1st ed.</t>
        </is>
      </c>
      <c r="O1593" t="inlineStr">
        <is>
          <t>eng</t>
        </is>
      </c>
      <c r="P1593" t="inlineStr">
        <is>
          <t>aku</t>
        </is>
      </c>
      <c r="R1593" t="inlineStr">
        <is>
          <t xml:space="preserve">LC </t>
        </is>
      </c>
      <c r="S1593" t="n">
        <v>3</v>
      </c>
      <c r="T1593" t="n">
        <v>3</v>
      </c>
      <c r="U1593" t="inlineStr">
        <is>
          <t>2007-09-10</t>
        </is>
      </c>
      <c r="V1593" t="inlineStr">
        <is>
          <t>2007-09-10</t>
        </is>
      </c>
      <c r="W1593" t="inlineStr">
        <is>
          <t>1998-09-14</t>
        </is>
      </c>
      <c r="X1593" t="inlineStr">
        <is>
          <t>1998-09-14</t>
        </is>
      </c>
      <c r="Y1593" t="n">
        <v>609</v>
      </c>
      <c r="Z1593" t="n">
        <v>572</v>
      </c>
      <c r="AA1593" t="n">
        <v>574</v>
      </c>
      <c r="AB1593" t="n">
        <v>3</v>
      </c>
      <c r="AC1593" t="n">
        <v>3</v>
      </c>
      <c r="AD1593" t="n">
        <v>21</v>
      </c>
      <c r="AE1593" t="n">
        <v>21</v>
      </c>
      <c r="AF1593" t="n">
        <v>6</v>
      </c>
      <c r="AG1593" t="n">
        <v>6</v>
      </c>
      <c r="AH1593" t="n">
        <v>5</v>
      </c>
      <c r="AI1593" t="n">
        <v>5</v>
      </c>
      <c r="AJ1593" t="n">
        <v>15</v>
      </c>
      <c r="AK1593" t="n">
        <v>15</v>
      </c>
      <c r="AL1593" t="n">
        <v>2</v>
      </c>
      <c r="AM1593" t="n">
        <v>2</v>
      </c>
      <c r="AN1593" t="n">
        <v>0</v>
      </c>
      <c r="AO1593" t="n">
        <v>0</v>
      </c>
      <c r="AP1593" t="inlineStr">
        <is>
          <t>No</t>
        </is>
      </c>
      <c r="AQ1593" t="inlineStr">
        <is>
          <t>Yes</t>
        </is>
      </c>
      <c r="AR1593">
        <f>HYPERLINK("http://catalog.hathitrust.org/Record/004017503","HathiTrust Record")</f>
        <v/>
      </c>
      <c r="AS1593">
        <f>HYPERLINK("https://creighton-primo.hosted.exlibrisgroup.com/primo-explore/search?tab=default_tab&amp;search_scope=EVERYTHING&amp;vid=01CRU&amp;lang=en_US&amp;offset=0&amp;query=any,contains,991002969239702656","Catalog Record")</f>
        <v/>
      </c>
      <c r="AT1593">
        <f>HYPERLINK("http://www.worldcat.org/oclc/39745117","WorldCat Record")</f>
        <v/>
      </c>
      <c r="AU1593" t="inlineStr">
        <is>
          <t>476256429:eng</t>
        </is>
      </c>
      <c r="AV1593" t="inlineStr">
        <is>
          <t>39745117</t>
        </is>
      </c>
      <c r="AW1593" t="inlineStr">
        <is>
          <t>991002969239702656</t>
        </is>
      </c>
      <c r="AX1593" t="inlineStr">
        <is>
          <t>991002969239702656</t>
        </is>
      </c>
      <c r="AY1593" t="inlineStr">
        <is>
          <t>2262395980002656</t>
        </is>
      </c>
      <c r="AZ1593" t="inlineStr">
        <is>
          <t>BOOK</t>
        </is>
      </c>
      <c r="BB1593" t="inlineStr">
        <is>
          <t>9780962197925</t>
        </is>
      </c>
      <c r="BC1593" t="inlineStr">
        <is>
          <t>32285003467692</t>
        </is>
      </c>
      <c r="BD1593" t="inlineStr">
        <is>
          <t>893323587</t>
        </is>
      </c>
    </row>
    <row r="1594">
      <c r="A1594" t="inlineStr">
        <is>
          <t>No</t>
        </is>
      </c>
      <c r="B1594" t="inlineStr">
        <is>
          <t>LC3727 .E52 1999</t>
        </is>
      </c>
      <c r="C1594" t="inlineStr">
        <is>
          <t>0                      LC 3727000E  52          1999</t>
        </is>
      </c>
      <c r="D1594" t="inlineStr">
        <is>
          <t>Enacting diverse learning environments : improving the climate for racial/ethnic diversity in higher education / Sylvia Hurtado ... [et al.] ; prepared by ERIC Clearinghouse on Higher Education, The George Washington University, in cooperation with ASHE, Association for the Study of Higher Education.</t>
        </is>
      </c>
      <c r="F1594" t="inlineStr">
        <is>
          <t>No</t>
        </is>
      </c>
      <c r="G1594" t="inlineStr">
        <is>
          <t>1</t>
        </is>
      </c>
      <c r="H1594" t="inlineStr">
        <is>
          <t>No</t>
        </is>
      </c>
      <c r="I1594" t="inlineStr">
        <is>
          <t>No</t>
        </is>
      </c>
      <c r="J1594" t="inlineStr">
        <is>
          <t>0</t>
        </is>
      </c>
      <c r="L1594" t="inlineStr">
        <is>
          <t>Washington, DC : George Washington University Graduate School of Education and Human Development, 1999.</t>
        </is>
      </c>
      <c r="M1594" t="inlineStr">
        <is>
          <t>1999</t>
        </is>
      </c>
      <c r="O1594" t="inlineStr">
        <is>
          <t>eng</t>
        </is>
      </c>
      <c r="P1594" t="inlineStr">
        <is>
          <t>dcu</t>
        </is>
      </c>
      <c r="Q1594" t="inlineStr">
        <is>
          <t>ASHE-ERIC higher education report, 0884-0040 ; v. 26, no. 8</t>
        </is>
      </c>
      <c r="R1594" t="inlineStr">
        <is>
          <t xml:space="preserve">LC </t>
        </is>
      </c>
      <c r="S1594" t="n">
        <v>3</v>
      </c>
      <c r="T1594" t="n">
        <v>3</v>
      </c>
      <c r="U1594" t="inlineStr">
        <is>
          <t>2007-10-25</t>
        </is>
      </c>
      <c r="V1594" t="inlineStr">
        <is>
          <t>2007-10-25</t>
        </is>
      </c>
      <c r="W1594" t="inlineStr">
        <is>
          <t>2003-11-25</t>
        </is>
      </c>
      <c r="X1594" t="inlineStr">
        <is>
          <t>2003-11-25</t>
        </is>
      </c>
      <c r="Y1594" t="n">
        <v>398</v>
      </c>
      <c r="Z1594" t="n">
        <v>378</v>
      </c>
      <c r="AA1594" t="n">
        <v>386</v>
      </c>
      <c r="AB1594" t="n">
        <v>5</v>
      </c>
      <c r="AC1594" t="n">
        <v>5</v>
      </c>
      <c r="AD1594" t="n">
        <v>23</v>
      </c>
      <c r="AE1594" t="n">
        <v>23</v>
      </c>
      <c r="AF1594" t="n">
        <v>9</v>
      </c>
      <c r="AG1594" t="n">
        <v>9</v>
      </c>
      <c r="AH1594" t="n">
        <v>5</v>
      </c>
      <c r="AI1594" t="n">
        <v>5</v>
      </c>
      <c r="AJ1594" t="n">
        <v>12</v>
      </c>
      <c r="AK1594" t="n">
        <v>12</v>
      </c>
      <c r="AL1594" t="n">
        <v>3</v>
      </c>
      <c r="AM1594" t="n">
        <v>3</v>
      </c>
      <c r="AN1594" t="n">
        <v>0</v>
      </c>
      <c r="AO1594" t="n">
        <v>0</v>
      </c>
      <c r="AP1594" t="inlineStr">
        <is>
          <t>No</t>
        </is>
      </c>
      <c r="AQ1594" t="inlineStr">
        <is>
          <t>Yes</t>
        </is>
      </c>
      <c r="AR1594">
        <f>HYPERLINK("http://catalog.hathitrust.org/Record/003559800","HathiTrust Record")</f>
        <v/>
      </c>
      <c r="AS1594">
        <f>HYPERLINK("https://creighton-primo.hosted.exlibrisgroup.com/primo-explore/search?tab=default_tab&amp;search_scope=EVERYTHING&amp;vid=01CRU&amp;lang=en_US&amp;offset=0&amp;query=any,contains,991004193089702656","Catalog Record")</f>
        <v/>
      </c>
      <c r="AT1594">
        <f>HYPERLINK("http://www.worldcat.org/oclc/41657573","WorldCat Record")</f>
        <v/>
      </c>
      <c r="AU1594" t="inlineStr">
        <is>
          <t>917395332:eng</t>
        </is>
      </c>
      <c r="AV1594" t="inlineStr">
        <is>
          <t>41657573</t>
        </is>
      </c>
      <c r="AW1594" t="inlineStr">
        <is>
          <t>991004193089702656</t>
        </is>
      </c>
      <c r="AX1594" t="inlineStr">
        <is>
          <t>991004193089702656</t>
        </is>
      </c>
      <c r="AY1594" t="inlineStr">
        <is>
          <t>2259801450002656</t>
        </is>
      </c>
      <c r="AZ1594" t="inlineStr">
        <is>
          <t>BOOK</t>
        </is>
      </c>
      <c r="BB1594" t="inlineStr">
        <is>
          <t>9781878380883</t>
        </is>
      </c>
      <c r="BC1594" t="inlineStr">
        <is>
          <t>32285004842661</t>
        </is>
      </c>
      <c r="BD1594" t="inlineStr">
        <is>
          <t>893687470</t>
        </is>
      </c>
    </row>
    <row r="1595">
      <c r="A1595" t="inlineStr">
        <is>
          <t>No</t>
        </is>
      </c>
      <c r="B1595" t="inlineStr">
        <is>
          <t>LC3731 .B5465 1987</t>
        </is>
      </c>
      <c r="C1595" t="inlineStr">
        <is>
          <t>0                      LC 3731000B  5465        1987</t>
        </is>
      </c>
      <c r="D1595" t="inlineStr">
        <is>
          <t>Bilingual education and bilingual special education : a guide for administrators / edited by Sandra H. Fradd, William J. Tikunoff.</t>
        </is>
      </c>
      <c r="F1595" t="inlineStr">
        <is>
          <t>No</t>
        </is>
      </c>
      <c r="G1595" t="inlineStr">
        <is>
          <t>1</t>
        </is>
      </c>
      <c r="H1595" t="inlineStr">
        <is>
          <t>No</t>
        </is>
      </c>
      <c r="I1595" t="inlineStr">
        <is>
          <t>No</t>
        </is>
      </c>
      <c r="J1595" t="inlineStr">
        <is>
          <t>0</t>
        </is>
      </c>
      <c r="L1595" t="inlineStr">
        <is>
          <t>Boston : Little, Brown, c1987.</t>
        </is>
      </c>
      <c r="M1595" t="inlineStr">
        <is>
          <t>1987</t>
        </is>
      </c>
      <c r="O1595" t="inlineStr">
        <is>
          <t>eng</t>
        </is>
      </c>
      <c r="P1595" t="inlineStr">
        <is>
          <t>mau</t>
        </is>
      </c>
      <c r="R1595" t="inlineStr">
        <is>
          <t xml:space="preserve">LC </t>
        </is>
      </c>
      <c r="S1595" t="n">
        <v>12</v>
      </c>
      <c r="T1595" t="n">
        <v>12</v>
      </c>
      <c r="U1595" t="inlineStr">
        <is>
          <t>2010-05-05</t>
        </is>
      </c>
      <c r="V1595" t="inlineStr">
        <is>
          <t>2010-05-05</t>
        </is>
      </c>
      <c r="W1595" t="inlineStr">
        <is>
          <t>1989-11-16</t>
        </is>
      </c>
      <c r="X1595" t="inlineStr">
        <is>
          <t>1989-11-16</t>
        </is>
      </c>
      <c r="Y1595" t="n">
        <v>307</v>
      </c>
      <c r="Z1595" t="n">
        <v>264</v>
      </c>
      <c r="AA1595" t="n">
        <v>268</v>
      </c>
      <c r="AB1595" t="n">
        <v>4</v>
      </c>
      <c r="AC1595" t="n">
        <v>4</v>
      </c>
      <c r="AD1595" t="n">
        <v>14</v>
      </c>
      <c r="AE1595" t="n">
        <v>14</v>
      </c>
      <c r="AF1595" t="n">
        <v>5</v>
      </c>
      <c r="AG1595" t="n">
        <v>5</v>
      </c>
      <c r="AH1595" t="n">
        <v>5</v>
      </c>
      <c r="AI1595" t="n">
        <v>5</v>
      </c>
      <c r="AJ1595" t="n">
        <v>5</v>
      </c>
      <c r="AK1595" t="n">
        <v>5</v>
      </c>
      <c r="AL1595" t="n">
        <v>3</v>
      </c>
      <c r="AM1595" t="n">
        <v>3</v>
      </c>
      <c r="AN1595" t="n">
        <v>0</v>
      </c>
      <c r="AO1595" t="n">
        <v>0</v>
      </c>
      <c r="AP1595" t="inlineStr">
        <is>
          <t>No</t>
        </is>
      </c>
      <c r="AQ1595" t="inlineStr">
        <is>
          <t>Yes</t>
        </is>
      </c>
      <c r="AR1595">
        <f>HYPERLINK("http://catalog.hathitrust.org/Record/000828734","HathiTrust Record")</f>
        <v/>
      </c>
      <c r="AS1595">
        <f>HYPERLINK("https://creighton-primo.hosted.exlibrisgroup.com/primo-explore/search?tab=default_tab&amp;search_scope=EVERYTHING&amp;vid=01CRU&amp;lang=en_US&amp;offset=0&amp;query=any,contains,991001026789702656","Catalog Record")</f>
        <v/>
      </c>
      <c r="AT1595">
        <f>HYPERLINK("http://www.worldcat.org/oclc/15486694","WorldCat Record")</f>
        <v/>
      </c>
      <c r="AU1595" t="inlineStr">
        <is>
          <t>836620883:eng</t>
        </is>
      </c>
      <c r="AV1595" t="inlineStr">
        <is>
          <t>15486694</t>
        </is>
      </c>
      <c r="AW1595" t="inlineStr">
        <is>
          <t>991001026789702656</t>
        </is>
      </c>
      <c r="AX1595" t="inlineStr">
        <is>
          <t>991001026789702656</t>
        </is>
      </c>
      <c r="AY1595" t="inlineStr">
        <is>
          <t>2272049670002656</t>
        </is>
      </c>
      <c r="AZ1595" t="inlineStr">
        <is>
          <t>BOOK</t>
        </is>
      </c>
      <c r="BB1595" t="inlineStr">
        <is>
          <t>9780316291248</t>
        </is>
      </c>
      <c r="BC1595" t="inlineStr">
        <is>
          <t>32285000013648</t>
        </is>
      </c>
      <c r="BD1595" t="inlineStr">
        <is>
          <t>893708937</t>
        </is>
      </c>
    </row>
    <row r="1596">
      <c r="A1596" t="inlineStr">
        <is>
          <t>No</t>
        </is>
      </c>
      <c r="B1596" t="inlineStr">
        <is>
          <t>LC3731 .B5525 1983</t>
        </is>
      </c>
      <c r="C1596" t="inlineStr">
        <is>
          <t>0                      LC 3731000B  5525        1983</t>
        </is>
      </c>
      <c r="D1596" t="inlineStr">
        <is>
          <t>The Bilingual exceptional child / edited by Donald R. Omark, Joan Good Erickson.</t>
        </is>
      </c>
      <c r="F1596" t="inlineStr">
        <is>
          <t>No</t>
        </is>
      </c>
      <c r="G1596" t="inlineStr">
        <is>
          <t>1</t>
        </is>
      </c>
      <c r="H1596" t="inlineStr">
        <is>
          <t>No</t>
        </is>
      </c>
      <c r="I1596" t="inlineStr">
        <is>
          <t>No</t>
        </is>
      </c>
      <c r="J1596" t="inlineStr">
        <is>
          <t>0</t>
        </is>
      </c>
      <c r="L1596" t="inlineStr">
        <is>
          <t>San Diego, Calif. : College-Hill Press, c1983.</t>
        </is>
      </c>
      <c r="M1596" t="inlineStr">
        <is>
          <t>1983</t>
        </is>
      </c>
      <c r="O1596" t="inlineStr">
        <is>
          <t>eng</t>
        </is>
      </c>
      <c r="P1596" t="inlineStr">
        <is>
          <t>cau</t>
        </is>
      </c>
      <c r="R1596" t="inlineStr">
        <is>
          <t xml:space="preserve">LC </t>
        </is>
      </c>
      <c r="S1596" t="n">
        <v>5</v>
      </c>
      <c r="T1596" t="n">
        <v>5</v>
      </c>
      <c r="U1596" t="inlineStr">
        <is>
          <t>1997-04-30</t>
        </is>
      </c>
      <c r="V1596" t="inlineStr">
        <is>
          <t>1997-04-30</t>
        </is>
      </c>
      <c r="W1596" t="inlineStr">
        <is>
          <t>1992-02-11</t>
        </is>
      </c>
      <c r="X1596" t="inlineStr">
        <is>
          <t>1992-02-11</t>
        </is>
      </c>
      <c r="Y1596" t="n">
        <v>457</v>
      </c>
      <c r="Z1596" t="n">
        <v>383</v>
      </c>
      <c r="AA1596" t="n">
        <v>391</v>
      </c>
      <c r="AB1596" t="n">
        <v>4</v>
      </c>
      <c r="AC1596" t="n">
        <v>4</v>
      </c>
      <c r="AD1596" t="n">
        <v>18</v>
      </c>
      <c r="AE1596" t="n">
        <v>18</v>
      </c>
      <c r="AF1596" t="n">
        <v>7</v>
      </c>
      <c r="AG1596" t="n">
        <v>7</v>
      </c>
      <c r="AH1596" t="n">
        <v>3</v>
      </c>
      <c r="AI1596" t="n">
        <v>3</v>
      </c>
      <c r="AJ1596" t="n">
        <v>8</v>
      </c>
      <c r="AK1596" t="n">
        <v>8</v>
      </c>
      <c r="AL1596" t="n">
        <v>3</v>
      </c>
      <c r="AM1596" t="n">
        <v>3</v>
      </c>
      <c r="AN1596" t="n">
        <v>0</v>
      </c>
      <c r="AO1596" t="n">
        <v>0</v>
      </c>
      <c r="AP1596" t="inlineStr">
        <is>
          <t>No</t>
        </is>
      </c>
      <c r="AQ1596" t="inlineStr">
        <is>
          <t>Yes</t>
        </is>
      </c>
      <c r="AR1596">
        <f>HYPERLINK("http://catalog.hathitrust.org/Record/003568523","HathiTrust Record")</f>
        <v/>
      </c>
      <c r="AS1596">
        <f>HYPERLINK("https://creighton-primo.hosted.exlibrisgroup.com/primo-explore/search?tab=default_tab&amp;search_scope=EVERYTHING&amp;vid=01CRU&amp;lang=en_US&amp;offset=0&amp;query=any,contains,991000158919702656","Catalog Record")</f>
        <v/>
      </c>
      <c r="AT1596">
        <f>HYPERLINK("http://www.worldcat.org/oclc/9255850","WorldCat Record")</f>
        <v/>
      </c>
      <c r="AU1596" t="inlineStr">
        <is>
          <t>25064365:eng</t>
        </is>
      </c>
      <c r="AV1596" t="inlineStr">
        <is>
          <t>9255850</t>
        </is>
      </c>
      <c r="AW1596" t="inlineStr">
        <is>
          <t>991000158919702656</t>
        </is>
      </c>
      <c r="AX1596" t="inlineStr">
        <is>
          <t>991000158919702656</t>
        </is>
      </c>
      <c r="AY1596" t="inlineStr">
        <is>
          <t>2256267060002656</t>
        </is>
      </c>
      <c r="AZ1596" t="inlineStr">
        <is>
          <t>BOOK</t>
        </is>
      </c>
      <c r="BB1596" t="inlineStr">
        <is>
          <t>9780933014886</t>
        </is>
      </c>
      <c r="BC1596" t="inlineStr">
        <is>
          <t>32285000955152</t>
        </is>
      </c>
      <c r="BD1596" t="inlineStr">
        <is>
          <t>893515064</t>
        </is>
      </c>
    </row>
    <row r="1597">
      <c r="A1597" t="inlineStr">
        <is>
          <t>No</t>
        </is>
      </c>
      <c r="B1597" t="inlineStr">
        <is>
          <t>LC3731 .C55</t>
        </is>
      </c>
      <c r="C1597" t="inlineStr">
        <is>
          <t>0                      LC 3731000C  55</t>
        </is>
      </c>
      <c r="D1597" t="inlineStr">
        <is>
          <t>Reading and the bilingual child / Doris C. Ching ; Helen J. James, review editor.</t>
        </is>
      </c>
      <c r="F1597" t="inlineStr">
        <is>
          <t>No</t>
        </is>
      </c>
      <c r="G1597" t="inlineStr">
        <is>
          <t>1</t>
        </is>
      </c>
      <c r="H1597" t="inlineStr">
        <is>
          <t>No</t>
        </is>
      </c>
      <c r="I1597" t="inlineStr">
        <is>
          <t>No</t>
        </is>
      </c>
      <c r="J1597" t="inlineStr">
        <is>
          <t>0</t>
        </is>
      </c>
      <c r="K1597" t="inlineStr">
        <is>
          <t>Ching, Doris C., 1930-</t>
        </is>
      </c>
      <c r="L1597" t="inlineStr">
        <is>
          <t>Newark, Del. : International Reading Association, 1976.</t>
        </is>
      </c>
      <c r="M1597" t="inlineStr">
        <is>
          <t>1976</t>
        </is>
      </c>
      <c r="O1597" t="inlineStr">
        <is>
          <t>eng</t>
        </is>
      </c>
      <c r="P1597" t="inlineStr">
        <is>
          <t>deu</t>
        </is>
      </c>
      <c r="Q1597" t="inlineStr">
        <is>
          <t>An IRA service bulletin</t>
        </is>
      </c>
      <c r="R1597" t="inlineStr">
        <is>
          <t xml:space="preserve">LC </t>
        </is>
      </c>
      <c r="S1597" t="n">
        <v>1</v>
      </c>
      <c r="T1597" t="n">
        <v>1</v>
      </c>
      <c r="U1597" t="inlineStr">
        <is>
          <t>2001-10-21</t>
        </is>
      </c>
      <c r="V1597" t="inlineStr">
        <is>
          <t>2001-10-21</t>
        </is>
      </c>
      <c r="W1597" t="inlineStr">
        <is>
          <t>1997-06-10</t>
        </is>
      </c>
      <c r="X1597" t="inlineStr">
        <is>
          <t>1997-06-10</t>
        </is>
      </c>
      <c r="Y1597" t="n">
        <v>415</v>
      </c>
      <c r="Z1597" t="n">
        <v>352</v>
      </c>
      <c r="AA1597" t="n">
        <v>361</v>
      </c>
      <c r="AB1597" t="n">
        <v>2</v>
      </c>
      <c r="AC1597" t="n">
        <v>2</v>
      </c>
      <c r="AD1597" t="n">
        <v>15</v>
      </c>
      <c r="AE1597" t="n">
        <v>15</v>
      </c>
      <c r="AF1597" t="n">
        <v>5</v>
      </c>
      <c r="AG1597" t="n">
        <v>5</v>
      </c>
      <c r="AH1597" t="n">
        <v>6</v>
      </c>
      <c r="AI1597" t="n">
        <v>6</v>
      </c>
      <c r="AJ1597" t="n">
        <v>10</v>
      </c>
      <c r="AK1597" t="n">
        <v>10</v>
      </c>
      <c r="AL1597" t="n">
        <v>1</v>
      </c>
      <c r="AM1597" t="n">
        <v>1</v>
      </c>
      <c r="AN1597" t="n">
        <v>0</v>
      </c>
      <c r="AO1597" t="n">
        <v>0</v>
      </c>
      <c r="AP1597" t="inlineStr">
        <is>
          <t>No</t>
        </is>
      </c>
      <c r="AQ1597" t="inlineStr">
        <is>
          <t>Yes</t>
        </is>
      </c>
      <c r="AR1597">
        <f>HYPERLINK("http://catalog.hathitrust.org/Record/000705853","HathiTrust Record")</f>
        <v/>
      </c>
      <c r="AS1597">
        <f>HYPERLINK("https://creighton-primo.hosted.exlibrisgroup.com/primo-explore/search?tab=default_tab&amp;search_scope=EVERYTHING&amp;vid=01CRU&amp;lang=en_US&amp;offset=0&amp;query=any,contains,991004054729702656","Catalog Record")</f>
        <v/>
      </c>
      <c r="AT1597">
        <f>HYPERLINK("http://www.worldcat.org/oclc/2223463","WorldCat Record")</f>
        <v/>
      </c>
      <c r="AU1597" t="inlineStr">
        <is>
          <t>4816392:eng</t>
        </is>
      </c>
      <c r="AV1597" t="inlineStr">
        <is>
          <t>2223463</t>
        </is>
      </c>
      <c r="AW1597" t="inlineStr">
        <is>
          <t>991004054729702656</t>
        </is>
      </c>
      <c r="AX1597" t="inlineStr">
        <is>
          <t>991004054729702656</t>
        </is>
      </c>
      <c r="AY1597" t="inlineStr">
        <is>
          <t>2258186520002656</t>
        </is>
      </c>
      <c r="AZ1597" t="inlineStr">
        <is>
          <t>BOOK</t>
        </is>
      </c>
      <c r="BB1597" t="inlineStr">
        <is>
          <t>9780872072206</t>
        </is>
      </c>
      <c r="BC1597" t="inlineStr">
        <is>
          <t>32285002803327</t>
        </is>
      </c>
      <c r="BD1597" t="inlineStr">
        <is>
          <t>893593214</t>
        </is>
      </c>
    </row>
    <row r="1598">
      <c r="A1598" t="inlineStr">
        <is>
          <t>No</t>
        </is>
      </c>
      <c r="B1598" t="inlineStr">
        <is>
          <t>LC3731 .C555 1996</t>
        </is>
      </c>
      <c r="C1598" t="inlineStr">
        <is>
          <t>0                      LC 3731000C  555         1996</t>
        </is>
      </c>
      <c r="D1598" t="inlineStr">
        <is>
          <t>Your land, my land : children in the process of acculturation / Jacklyn Blake Clayton.</t>
        </is>
      </c>
      <c r="F1598" t="inlineStr">
        <is>
          <t>No</t>
        </is>
      </c>
      <c r="G1598" t="inlineStr">
        <is>
          <t>1</t>
        </is>
      </c>
      <c r="H1598" t="inlineStr">
        <is>
          <t>No</t>
        </is>
      </c>
      <c r="I1598" t="inlineStr">
        <is>
          <t>No</t>
        </is>
      </c>
      <c r="J1598" t="inlineStr">
        <is>
          <t>0</t>
        </is>
      </c>
      <c r="K1598" t="inlineStr">
        <is>
          <t>Clayton, Jacklyn Blake.</t>
        </is>
      </c>
      <c r="L1598" t="inlineStr">
        <is>
          <t>Portsmouth, NH : Heinemann, c1996.</t>
        </is>
      </c>
      <c r="M1598" t="inlineStr">
        <is>
          <t>1996</t>
        </is>
      </c>
      <c r="O1598" t="inlineStr">
        <is>
          <t>eng</t>
        </is>
      </c>
      <c r="P1598" t="inlineStr">
        <is>
          <t>nhu</t>
        </is>
      </c>
      <c r="R1598" t="inlineStr">
        <is>
          <t xml:space="preserve">LC </t>
        </is>
      </c>
      <c r="S1598" t="n">
        <v>5</v>
      </c>
      <c r="T1598" t="n">
        <v>5</v>
      </c>
      <c r="U1598" t="inlineStr">
        <is>
          <t>2008-11-02</t>
        </is>
      </c>
      <c r="V1598" t="inlineStr">
        <is>
          <t>2008-11-02</t>
        </is>
      </c>
      <c r="W1598" t="inlineStr">
        <is>
          <t>1996-05-08</t>
        </is>
      </c>
      <c r="X1598" t="inlineStr">
        <is>
          <t>1996-05-08</t>
        </is>
      </c>
      <c r="Y1598" t="n">
        <v>260</v>
      </c>
      <c r="Z1598" t="n">
        <v>245</v>
      </c>
      <c r="AA1598" t="n">
        <v>253</v>
      </c>
      <c r="AB1598" t="n">
        <v>6</v>
      </c>
      <c r="AC1598" t="n">
        <v>6</v>
      </c>
      <c r="AD1598" t="n">
        <v>17</v>
      </c>
      <c r="AE1598" t="n">
        <v>17</v>
      </c>
      <c r="AF1598" t="n">
        <v>7</v>
      </c>
      <c r="AG1598" t="n">
        <v>7</v>
      </c>
      <c r="AH1598" t="n">
        <v>3</v>
      </c>
      <c r="AI1598" t="n">
        <v>3</v>
      </c>
      <c r="AJ1598" t="n">
        <v>7</v>
      </c>
      <c r="AK1598" t="n">
        <v>7</v>
      </c>
      <c r="AL1598" t="n">
        <v>5</v>
      </c>
      <c r="AM1598" t="n">
        <v>5</v>
      </c>
      <c r="AN1598" t="n">
        <v>0</v>
      </c>
      <c r="AO1598" t="n">
        <v>0</v>
      </c>
      <c r="AP1598" t="inlineStr">
        <is>
          <t>No</t>
        </is>
      </c>
      <c r="AQ1598" t="inlineStr">
        <is>
          <t>Yes</t>
        </is>
      </c>
      <c r="AR1598">
        <f>HYPERLINK("http://catalog.hathitrust.org/Record/003021367","HathiTrust Record")</f>
        <v/>
      </c>
      <c r="AS1598">
        <f>HYPERLINK("https://creighton-primo.hosted.exlibrisgroup.com/primo-explore/search?tab=default_tab&amp;search_scope=EVERYTHING&amp;vid=01CRU&amp;lang=en_US&amp;offset=0&amp;query=any,contains,991002539819702656","Catalog Record")</f>
        <v/>
      </c>
      <c r="AT1598">
        <f>HYPERLINK("http://www.worldcat.org/oclc/33009247","WorldCat Record")</f>
        <v/>
      </c>
      <c r="AU1598" t="inlineStr">
        <is>
          <t>37339458:eng</t>
        </is>
      </c>
      <c r="AV1598" t="inlineStr">
        <is>
          <t>33009247</t>
        </is>
      </c>
      <c r="AW1598" t="inlineStr">
        <is>
          <t>991002539819702656</t>
        </is>
      </c>
      <c r="AX1598" t="inlineStr">
        <is>
          <t>991002539819702656</t>
        </is>
      </c>
      <c r="AY1598" t="inlineStr">
        <is>
          <t>2260939190002656</t>
        </is>
      </c>
      <c r="AZ1598" t="inlineStr">
        <is>
          <t>BOOK</t>
        </is>
      </c>
      <c r="BB1598" t="inlineStr">
        <is>
          <t>9780435088521</t>
        </is>
      </c>
      <c r="BC1598" t="inlineStr">
        <is>
          <t>32285002165370</t>
        </is>
      </c>
      <c r="BD1598" t="inlineStr">
        <is>
          <t>893409211</t>
        </is>
      </c>
    </row>
    <row r="1599">
      <c r="A1599" t="inlineStr">
        <is>
          <t>No</t>
        </is>
      </c>
      <c r="B1599" t="inlineStr">
        <is>
          <t>LC3731 .I94 1999</t>
        </is>
      </c>
      <c r="C1599" t="inlineStr">
        <is>
          <t>0                      LC 3731000I  94          1999</t>
        </is>
      </c>
      <c r="D1599" t="inlineStr">
        <is>
          <t>I've got a story to tell : identity and place in the academy / edited by Sandra Jackson and José Solís Jordán.</t>
        </is>
      </c>
      <c r="F1599" t="inlineStr">
        <is>
          <t>No</t>
        </is>
      </c>
      <c r="G1599" t="inlineStr">
        <is>
          <t>1</t>
        </is>
      </c>
      <c r="H1599" t="inlineStr">
        <is>
          <t>No</t>
        </is>
      </c>
      <c r="I1599" t="inlineStr">
        <is>
          <t>No</t>
        </is>
      </c>
      <c r="J1599" t="inlineStr">
        <is>
          <t>0</t>
        </is>
      </c>
      <c r="L1599" t="inlineStr">
        <is>
          <t>New York : P. Lang, c1999.</t>
        </is>
      </c>
      <c r="M1599" t="inlineStr">
        <is>
          <t>1999</t>
        </is>
      </c>
      <c r="O1599" t="inlineStr">
        <is>
          <t>eng</t>
        </is>
      </c>
      <c r="P1599" t="inlineStr">
        <is>
          <t>nyu</t>
        </is>
      </c>
      <c r="Q1599" t="inlineStr">
        <is>
          <t>Counterpoints, 1058-1634 ; v. 65</t>
        </is>
      </c>
      <c r="R1599" t="inlineStr">
        <is>
          <t xml:space="preserve">LC </t>
        </is>
      </c>
      <c r="S1599" t="n">
        <v>1</v>
      </c>
      <c r="T1599" t="n">
        <v>1</v>
      </c>
      <c r="U1599" t="inlineStr">
        <is>
          <t>2007-10-30</t>
        </is>
      </c>
      <c r="V1599" t="inlineStr">
        <is>
          <t>2007-10-30</t>
        </is>
      </c>
      <c r="W1599" t="inlineStr">
        <is>
          <t>2007-10-30</t>
        </is>
      </c>
      <c r="X1599" t="inlineStr">
        <is>
          <t>2007-10-30</t>
        </is>
      </c>
      <c r="Y1599" t="n">
        <v>173</v>
      </c>
      <c r="Z1599" t="n">
        <v>149</v>
      </c>
      <c r="AA1599" t="n">
        <v>156</v>
      </c>
      <c r="AB1599" t="n">
        <v>1</v>
      </c>
      <c r="AC1599" t="n">
        <v>1</v>
      </c>
      <c r="AD1599" t="n">
        <v>7</v>
      </c>
      <c r="AE1599" t="n">
        <v>7</v>
      </c>
      <c r="AF1599" t="n">
        <v>0</v>
      </c>
      <c r="AG1599" t="n">
        <v>0</v>
      </c>
      <c r="AH1599" t="n">
        <v>2</v>
      </c>
      <c r="AI1599" t="n">
        <v>2</v>
      </c>
      <c r="AJ1599" t="n">
        <v>5</v>
      </c>
      <c r="AK1599" t="n">
        <v>5</v>
      </c>
      <c r="AL1599" t="n">
        <v>0</v>
      </c>
      <c r="AM1599" t="n">
        <v>0</v>
      </c>
      <c r="AN1599" t="n">
        <v>1</v>
      </c>
      <c r="AO1599" t="n">
        <v>1</v>
      </c>
      <c r="AP1599" t="inlineStr">
        <is>
          <t>No</t>
        </is>
      </c>
      <c r="AQ1599" t="inlineStr">
        <is>
          <t>Yes</t>
        </is>
      </c>
      <c r="AR1599">
        <f>HYPERLINK("http://catalog.hathitrust.org/Record/004027765","HathiTrust Record")</f>
        <v/>
      </c>
      <c r="AS1599">
        <f>HYPERLINK("https://creighton-primo.hosted.exlibrisgroup.com/primo-explore/search?tab=default_tab&amp;search_scope=EVERYTHING&amp;vid=01CRU&amp;lang=en_US&amp;offset=0&amp;query=any,contains,991005128019702656","Catalog Record")</f>
        <v/>
      </c>
      <c r="AT1599">
        <f>HYPERLINK("http://www.worldcat.org/oclc/37277541","WorldCat Record")</f>
        <v/>
      </c>
      <c r="AU1599" t="inlineStr">
        <is>
          <t>476317551:eng</t>
        </is>
      </c>
      <c r="AV1599" t="inlineStr">
        <is>
          <t>37277541</t>
        </is>
      </c>
      <c r="AW1599" t="inlineStr">
        <is>
          <t>991005128019702656</t>
        </is>
      </c>
      <c r="AX1599" t="inlineStr">
        <is>
          <t>991005128019702656</t>
        </is>
      </c>
      <c r="AY1599" t="inlineStr">
        <is>
          <t>2271313730002656</t>
        </is>
      </c>
      <c r="AZ1599" t="inlineStr">
        <is>
          <t>BOOK</t>
        </is>
      </c>
      <c r="BB1599" t="inlineStr">
        <is>
          <t>9780820438627</t>
        </is>
      </c>
      <c r="BC1599" t="inlineStr">
        <is>
          <t>32285005362800</t>
        </is>
      </c>
      <c r="BD1599" t="inlineStr">
        <is>
          <t>893600664</t>
        </is>
      </c>
    </row>
    <row r="1600">
      <c r="A1600" t="inlineStr">
        <is>
          <t>No</t>
        </is>
      </c>
      <c r="B1600" t="inlineStr">
        <is>
          <t>LC3731 .K56</t>
        </is>
      </c>
      <c r="C1600" t="inlineStr">
        <is>
          <t>0                      LC 3731000K  56</t>
        </is>
      </c>
      <c r="D1600" t="inlineStr">
        <is>
          <t>Teaching ethnic awareness : methods and materials for the elementary school / Edith W. King.</t>
        </is>
      </c>
      <c r="F1600" t="inlineStr">
        <is>
          <t>No</t>
        </is>
      </c>
      <c r="G1600" t="inlineStr">
        <is>
          <t>1</t>
        </is>
      </c>
      <c r="H1600" t="inlineStr">
        <is>
          <t>No</t>
        </is>
      </c>
      <c r="I1600" t="inlineStr">
        <is>
          <t>No</t>
        </is>
      </c>
      <c r="J1600" t="inlineStr">
        <is>
          <t>0</t>
        </is>
      </c>
      <c r="K1600" t="inlineStr">
        <is>
          <t>King, Edith W.</t>
        </is>
      </c>
      <c r="L1600" t="inlineStr">
        <is>
          <t>Santa Monica, Calif. : Goodyear Pub. Co., c1980.</t>
        </is>
      </c>
      <c r="M1600" t="inlineStr">
        <is>
          <t>1980</t>
        </is>
      </c>
      <c r="O1600" t="inlineStr">
        <is>
          <t>eng</t>
        </is>
      </c>
      <c r="P1600" t="inlineStr">
        <is>
          <t>cau</t>
        </is>
      </c>
      <c r="R1600" t="inlineStr">
        <is>
          <t xml:space="preserve">LC </t>
        </is>
      </c>
      <c r="S1600" t="n">
        <v>4</v>
      </c>
      <c r="T1600" t="n">
        <v>4</v>
      </c>
      <c r="U1600" t="inlineStr">
        <is>
          <t>2006-11-28</t>
        </is>
      </c>
      <c r="V1600" t="inlineStr">
        <is>
          <t>2006-11-28</t>
        </is>
      </c>
      <c r="W1600" t="inlineStr">
        <is>
          <t>1990-02-08</t>
        </is>
      </c>
      <c r="X1600" t="inlineStr">
        <is>
          <t>1990-02-08</t>
        </is>
      </c>
      <c r="Y1600" t="n">
        <v>269</v>
      </c>
      <c r="Z1600" t="n">
        <v>245</v>
      </c>
      <c r="AA1600" t="n">
        <v>282</v>
      </c>
      <c r="AB1600" t="n">
        <v>6</v>
      </c>
      <c r="AC1600" t="n">
        <v>6</v>
      </c>
      <c r="AD1600" t="n">
        <v>10</v>
      </c>
      <c r="AE1600" t="n">
        <v>10</v>
      </c>
      <c r="AF1600" t="n">
        <v>4</v>
      </c>
      <c r="AG1600" t="n">
        <v>4</v>
      </c>
      <c r="AH1600" t="n">
        <v>0</v>
      </c>
      <c r="AI1600" t="n">
        <v>0</v>
      </c>
      <c r="AJ1600" t="n">
        <v>4</v>
      </c>
      <c r="AK1600" t="n">
        <v>4</v>
      </c>
      <c r="AL1600" t="n">
        <v>5</v>
      </c>
      <c r="AM1600" t="n">
        <v>5</v>
      </c>
      <c r="AN1600" t="n">
        <v>0</v>
      </c>
      <c r="AO1600" t="n">
        <v>0</v>
      </c>
      <c r="AP1600" t="inlineStr">
        <is>
          <t>No</t>
        </is>
      </c>
      <c r="AQ1600" t="inlineStr">
        <is>
          <t>Yes</t>
        </is>
      </c>
      <c r="AR1600">
        <f>HYPERLINK("http://catalog.hathitrust.org/Record/101930396","HathiTrust Record")</f>
        <v/>
      </c>
      <c r="AS1600">
        <f>HYPERLINK("https://creighton-primo.hosted.exlibrisgroup.com/primo-explore/search?tab=default_tab&amp;search_scope=EVERYTHING&amp;vid=01CRU&amp;lang=en_US&amp;offset=0&amp;query=any,contains,991004832209702656","Catalog Record")</f>
        <v/>
      </c>
      <c r="AT1600">
        <f>HYPERLINK("http://www.worldcat.org/oclc/5412134","WorldCat Record")</f>
        <v/>
      </c>
      <c r="AU1600" t="inlineStr">
        <is>
          <t>17319771:eng</t>
        </is>
      </c>
      <c r="AV1600" t="inlineStr">
        <is>
          <t>5412134</t>
        </is>
      </c>
      <c r="AW1600" t="inlineStr">
        <is>
          <t>991004832209702656</t>
        </is>
      </c>
      <c r="AX1600" t="inlineStr">
        <is>
          <t>991004832209702656</t>
        </is>
      </c>
      <c r="AY1600" t="inlineStr">
        <is>
          <t>2258920730002656</t>
        </is>
      </c>
      <c r="AZ1600" t="inlineStr">
        <is>
          <t>BOOK</t>
        </is>
      </c>
      <c r="BB1600" t="inlineStr">
        <is>
          <t>9780830288663</t>
        </is>
      </c>
      <c r="BC1600" t="inlineStr">
        <is>
          <t>32285000008457</t>
        </is>
      </c>
      <c r="BD1600" t="inlineStr">
        <is>
          <t>893507274</t>
        </is>
      </c>
    </row>
    <row r="1601">
      <c r="A1601" t="inlineStr">
        <is>
          <t>No</t>
        </is>
      </c>
      <c r="B1601" t="inlineStr">
        <is>
          <t>LC3731 .U5</t>
        </is>
      </c>
      <c r="C1601" t="inlineStr">
        <is>
          <t>0                      LC 3731000U  5</t>
        </is>
      </c>
      <c r="D1601" t="inlineStr">
        <is>
          <t>Understanding and counseling ethnic minorities / edited by George Henderson.</t>
        </is>
      </c>
      <c r="F1601" t="inlineStr">
        <is>
          <t>No</t>
        </is>
      </c>
      <c r="G1601" t="inlineStr">
        <is>
          <t>1</t>
        </is>
      </c>
      <c r="H1601" t="inlineStr">
        <is>
          <t>No</t>
        </is>
      </c>
      <c r="I1601" t="inlineStr">
        <is>
          <t>No</t>
        </is>
      </c>
      <c r="J1601" t="inlineStr">
        <is>
          <t>0</t>
        </is>
      </c>
      <c r="L1601" t="inlineStr">
        <is>
          <t>Springfield, Ill. : Thomas, c1979.</t>
        </is>
      </c>
      <c r="M1601" t="inlineStr">
        <is>
          <t>1979</t>
        </is>
      </c>
      <c r="O1601" t="inlineStr">
        <is>
          <t>eng</t>
        </is>
      </c>
      <c r="P1601" t="inlineStr">
        <is>
          <t>ilu</t>
        </is>
      </c>
      <c r="R1601" t="inlineStr">
        <is>
          <t xml:space="preserve">LC </t>
        </is>
      </c>
      <c r="S1601" t="n">
        <v>6</v>
      </c>
      <c r="T1601" t="n">
        <v>6</v>
      </c>
      <c r="U1601" t="inlineStr">
        <is>
          <t>2002-06-17</t>
        </is>
      </c>
      <c r="V1601" t="inlineStr">
        <is>
          <t>2002-06-17</t>
        </is>
      </c>
      <c r="W1601" t="inlineStr">
        <is>
          <t>1992-08-28</t>
        </is>
      </c>
      <c r="X1601" t="inlineStr">
        <is>
          <t>1992-08-28</t>
        </is>
      </c>
      <c r="Y1601" t="n">
        <v>417</v>
      </c>
      <c r="Z1601" t="n">
        <v>378</v>
      </c>
      <c r="AA1601" t="n">
        <v>391</v>
      </c>
      <c r="AB1601" t="n">
        <v>2</v>
      </c>
      <c r="AC1601" t="n">
        <v>2</v>
      </c>
      <c r="AD1601" t="n">
        <v>15</v>
      </c>
      <c r="AE1601" t="n">
        <v>16</v>
      </c>
      <c r="AF1601" t="n">
        <v>8</v>
      </c>
      <c r="AG1601" t="n">
        <v>9</v>
      </c>
      <c r="AH1601" t="n">
        <v>3</v>
      </c>
      <c r="AI1601" t="n">
        <v>3</v>
      </c>
      <c r="AJ1601" t="n">
        <v>8</v>
      </c>
      <c r="AK1601" t="n">
        <v>9</v>
      </c>
      <c r="AL1601" t="n">
        <v>1</v>
      </c>
      <c r="AM1601" t="n">
        <v>1</v>
      </c>
      <c r="AN1601" t="n">
        <v>0</v>
      </c>
      <c r="AO1601" t="n">
        <v>0</v>
      </c>
      <c r="AP1601" t="inlineStr">
        <is>
          <t>No</t>
        </is>
      </c>
      <c r="AQ1601" t="inlineStr">
        <is>
          <t>Yes</t>
        </is>
      </c>
      <c r="AR1601">
        <f>HYPERLINK("http://catalog.hathitrust.org/Record/000706187","HathiTrust Record")</f>
        <v/>
      </c>
      <c r="AS1601">
        <f>HYPERLINK("https://creighton-primo.hosted.exlibrisgroup.com/primo-explore/search?tab=default_tab&amp;search_scope=EVERYTHING&amp;vid=01CRU&amp;lang=en_US&amp;offset=0&amp;query=any,contains,991004723759702656","Catalog Record")</f>
        <v/>
      </c>
      <c r="AT1601">
        <f>HYPERLINK("http://www.worldcat.org/oclc/4805057","WorldCat Record")</f>
        <v/>
      </c>
      <c r="AU1601" t="inlineStr">
        <is>
          <t>472045:eng</t>
        </is>
      </c>
      <c r="AV1601" t="inlineStr">
        <is>
          <t>4805057</t>
        </is>
      </c>
      <c r="AW1601" t="inlineStr">
        <is>
          <t>991004723759702656</t>
        </is>
      </c>
      <c r="AX1601" t="inlineStr">
        <is>
          <t>991004723759702656</t>
        </is>
      </c>
      <c r="AY1601" t="inlineStr">
        <is>
          <t>2270731420002656</t>
        </is>
      </c>
      <c r="AZ1601" t="inlineStr">
        <is>
          <t>BOOK</t>
        </is>
      </c>
      <c r="BB1601" t="inlineStr">
        <is>
          <t>9780398039165</t>
        </is>
      </c>
      <c r="BC1601" t="inlineStr">
        <is>
          <t>32285001283620</t>
        </is>
      </c>
      <c r="BD1601" t="inlineStr">
        <is>
          <t>893331968</t>
        </is>
      </c>
    </row>
    <row r="1602">
      <c r="A1602" t="inlineStr">
        <is>
          <t>No</t>
        </is>
      </c>
      <c r="B1602" t="inlineStr">
        <is>
          <t>LC3746 .V47 1996</t>
        </is>
      </c>
      <c r="C1602" t="inlineStr">
        <is>
          <t>0                      LC 3746000V  47          1996</t>
        </is>
      </c>
      <c r="D1602" t="inlineStr">
        <is>
          <t>How immigrants fare in U.S. education / Georges Vernez, Allan Abrahamse with Denise Quigley.</t>
        </is>
      </c>
      <c r="F1602" t="inlineStr">
        <is>
          <t>No</t>
        </is>
      </c>
      <c r="G1602" t="inlineStr">
        <is>
          <t>1</t>
        </is>
      </c>
      <c r="H1602" t="inlineStr">
        <is>
          <t>No</t>
        </is>
      </c>
      <c r="I1602" t="inlineStr">
        <is>
          <t>No</t>
        </is>
      </c>
      <c r="J1602" t="inlineStr">
        <is>
          <t>0</t>
        </is>
      </c>
      <c r="K1602" t="inlineStr">
        <is>
          <t>Vernez, Georges.</t>
        </is>
      </c>
      <c r="L1602" t="inlineStr">
        <is>
          <t>Santa Monica, CA : Rand, 1996.</t>
        </is>
      </c>
      <c r="M1602" t="inlineStr">
        <is>
          <t>1996</t>
        </is>
      </c>
      <c r="O1602" t="inlineStr">
        <is>
          <t>eng</t>
        </is>
      </c>
      <c r="P1602" t="inlineStr">
        <is>
          <t>cau</t>
        </is>
      </c>
      <c r="R1602" t="inlineStr">
        <is>
          <t xml:space="preserve">LC </t>
        </is>
      </c>
      <c r="S1602" t="n">
        <v>1</v>
      </c>
      <c r="T1602" t="n">
        <v>1</v>
      </c>
      <c r="U1602" t="inlineStr">
        <is>
          <t>2001-11-14</t>
        </is>
      </c>
      <c r="V1602" t="inlineStr">
        <is>
          <t>2001-11-14</t>
        </is>
      </c>
      <c r="W1602" t="inlineStr">
        <is>
          <t>2001-11-13</t>
        </is>
      </c>
      <c r="X1602" t="inlineStr">
        <is>
          <t>2001-11-13</t>
        </is>
      </c>
      <c r="Y1602" t="n">
        <v>285</v>
      </c>
      <c r="Z1602" t="n">
        <v>259</v>
      </c>
      <c r="AA1602" t="n">
        <v>269</v>
      </c>
      <c r="AB1602" t="n">
        <v>3</v>
      </c>
      <c r="AC1602" t="n">
        <v>3</v>
      </c>
      <c r="AD1602" t="n">
        <v>14</v>
      </c>
      <c r="AE1602" t="n">
        <v>14</v>
      </c>
      <c r="AF1602" t="n">
        <v>1</v>
      </c>
      <c r="AG1602" t="n">
        <v>1</v>
      </c>
      <c r="AH1602" t="n">
        <v>4</v>
      </c>
      <c r="AI1602" t="n">
        <v>4</v>
      </c>
      <c r="AJ1602" t="n">
        <v>7</v>
      </c>
      <c r="AK1602" t="n">
        <v>7</v>
      </c>
      <c r="AL1602" t="n">
        <v>2</v>
      </c>
      <c r="AM1602" t="n">
        <v>2</v>
      </c>
      <c r="AN1602" t="n">
        <v>2</v>
      </c>
      <c r="AO1602" t="n">
        <v>2</v>
      </c>
      <c r="AP1602" t="inlineStr">
        <is>
          <t>No</t>
        </is>
      </c>
      <c r="AQ1602" t="inlineStr">
        <is>
          <t>No</t>
        </is>
      </c>
      <c r="AS1602">
        <f>HYPERLINK("https://creighton-primo.hosted.exlibrisgroup.com/primo-explore/search?tab=default_tab&amp;search_scope=EVERYTHING&amp;vid=01CRU&amp;lang=en_US&amp;offset=0&amp;query=any,contains,991003617789702656","Catalog Record")</f>
        <v/>
      </c>
      <c r="AT1602">
        <f>HYPERLINK("http://www.worldcat.org/oclc/34669209","WorldCat Record")</f>
        <v/>
      </c>
      <c r="AU1602" t="inlineStr">
        <is>
          <t>39983701:eng</t>
        </is>
      </c>
      <c r="AV1602" t="inlineStr">
        <is>
          <t>34669209</t>
        </is>
      </c>
      <c r="AW1602" t="inlineStr">
        <is>
          <t>991003617789702656</t>
        </is>
      </c>
      <c r="AX1602" t="inlineStr">
        <is>
          <t>991003617789702656</t>
        </is>
      </c>
      <c r="AY1602" t="inlineStr">
        <is>
          <t>2271363770002656</t>
        </is>
      </c>
      <c r="AZ1602" t="inlineStr">
        <is>
          <t>BOOK</t>
        </is>
      </c>
      <c r="BB1602" t="inlineStr">
        <is>
          <t>9780833023995</t>
        </is>
      </c>
      <c r="BC1602" t="inlineStr">
        <is>
          <t>32285004410519</t>
        </is>
      </c>
      <c r="BD1602" t="inlineStr">
        <is>
          <t>893793821</t>
        </is>
      </c>
    </row>
    <row r="1603">
      <c r="A1603" t="inlineStr">
        <is>
          <t>No</t>
        </is>
      </c>
      <c r="B1603" t="inlineStr">
        <is>
          <t>LC391 .M3</t>
        </is>
      </c>
      <c r="C1603" t="inlineStr">
        <is>
          <t>0                      LC 0391000M  3</t>
        </is>
      </c>
      <c r="D1603" t="inlineStr">
        <is>
          <t>The organization of religious instruction in Catholic colleges for women.</t>
        </is>
      </c>
      <c r="F1603" t="inlineStr">
        <is>
          <t>No</t>
        </is>
      </c>
      <c r="G1603" t="inlineStr">
        <is>
          <t>1</t>
        </is>
      </c>
      <c r="H1603" t="inlineStr">
        <is>
          <t>No</t>
        </is>
      </c>
      <c r="I1603" t="inlineStr">
        <is>
          <t>No</t>
        </is>
      </c>
      <c r="J1603" t="inlineStr">
        <is>
          <t>0</t>
        </is>
      </c>
      <c r="K1603" t="inlineStr">
        <is>
          <t>Maher, Mary Gratia, 1904-</t>
        </is>
      </c>
      <c r="L1603" t="inlineStr">
        <is>
          <t>Washington, Catholic University of America Press, 1951.</t>
        </is>
      </c>
      <c r="M1603" t="inlineStr">
        <is>
          <t>1951</t>
        </is>
      </c>
      <c r="O1603" t="inlineStr">
        <is>
          <t>eng</t>
        </is>
      </c>
      <c r="P1603" t="inlineStr">
        <is>
          <t xml:space="preserve">xx </t>
        </is>
      </c>
      <c r="R1603" t="inlineStr">
        <is>
          <t xml:space="preserve">LC </t>
        </is>
      </c>
      <c r="S1603" t="n">
        <v>1</v>
      </c>
      <c r="T1603" t="n">
        <v>1</v>
      </c>
      <c r="U1603" t="inlineStr">
        <is>
          <t>2004-11-19</t>
        </is>
      </c>
      <c r="V1603" t="inlineStr">
        <is>
          <t>2004-11-19</t>
        </is>
      </c>
      <c r="W1603" t="inlineStr">
        <is>
          <t>1997-06-11</t>
        </is>
      </c>
      <c r="X1603" t="inlineStr">
        <is>
          <t>1997-06-11</t>
        </is>
      </c>
      <c r="Y1603" t="n">
        <v>48</v>
      </c>
      <c r="Z1603" t="n">
        <v>44</v>
      </c>
      <c r="AA1603" t="n">
        <v>51</v>
      </c>
      <c r="AB1603" t="n">
        <v>1</v>
      </c>
      <c r="AC1603" t="n">
        <v>1</v>
      </c>
      <c r="AD1603" t="n">
        <v>7</v>
      </c>
      <c r="AE1603" t="n">
        <v>7</v>
      </c>
      <c r="AF1603" t="n">
        <v>1</v>
      </c>
      <c r="AG1603" t="n">
        <v>1</v>
      </c>
      <c r="AH1603" t="n">
        <v>0</v>
      </c>
      <c r="AI1603" t="n">
        <v>0</v>
      </c>
      <c r="AJ1603" t="n">
        <v>7</v>
      </c>
      <c r="AK1603" t="n">
        <v>7</v>
      </c>
      <c r="AL1603" t="n">
        <v>0</v>
      </c>
      <c r="AM1603" t="n">
        <v>0</v>
      </c>
      <c r="AN1603" t="n">
        <v>0</v>
      </c>
      <c r="AO1603" t="n">
        <v>0</v>
      </c>
      <c r="AP1603" t="inlineStr">
        <is>
          <t>Yes</t>
        </is>
      </c>
      <c r="AQ1603" t="inlineStr">
        <is>
          <t>No</t>
        </is>
      </c>
      <c r="AR1603">
        <f>HYPERLINK("http://catalog.hathitrust.org/Record/006645474","HathiTrust Record")</f>
        <v/>
      </c>
      <c r="AS1603">
        <f>HYPERLINK("https://creighton-primo.hosted.exlibrisgroup.com/primo-explore/search?tab=default_tab&amp;search_scope=EVERYTHING&amp;vid=01CRU&amp;lang=en_US&amp;offset=0&amp;query=any,contains,991003498659702656","Catalog Record")</f>
        <v/>
      </c>
      <c r="AT1603">
        <f>HYPERLINK("http://www.worldcat.org/oclc/1050459","WorldCat Record")</f>
        <v/>
      </c>
      <c r="AU1603" t="inlineStr">
        <is>
          <t>1959483:eng</t>
        </is>
      </c>
      <c r="AV1603" t="inlineStr">
        <is>
          <t>1050459</t>
        </is>
      </c>
      <c r="AW1603" t="inlineStr">
        <is>
          <t>991003498659702656</t>
        </is>
      </c>
      <c r="AX1603" t="inlineStr">
        <is>
          <t>991003498659702656</t>
        </is>
      </c>
      <c r="AY1603" t="inlineStr">
        <is>
          <t>2254744890002656</t>
        </is>
      </c>
      <c r="AZ1603" t="inlineStr">
        <is>
          <t>BOOK</t>
        </is>
      </c>
      <c r="BC1603" t="inlineStr">
        <is>
          <t>32285002801396</t>
        </is>
      </c>
      <c r="BD1603" t="inlineStr">
        <is>
          <t>893518528</t>
        </is>
      </c>
    </row>
    <row r="1604">
      <c r="A1604" t="inlineStr">
        <is>
          <t>No</t>
        </is>
      </c>
      <c r="B1604" t="inlineStr">
        <is>
          <t>LC3965 .C47</t>
        </is>
      </c>
      <c r="C1604" t="inlineStr">
        <is>
          <t>0                      LC 3965000C  47</t>
        </is>
      </c>
      <c r="D1604" t="inlineStr">
        <is>
          <t>Children with exceptional needs : a survey of special education / M. Stephen Lilly, editor.</t>
        </is>
      </c>
      <c r="F1604" t="inlineStr">
        <is>
          <t>No</t>
        </is>
      </c>
      <c r="G1604" t="inlineStr">
        <is>
          <t>1</t>
        </is>
      </c>
      <c r="H1604" t="inlineStr">
        <is>
          <t>No</t>
        </is>
      </c>
      <c r="I1604" t="inlineStr">
        <is>
          <t>No</t>
        </is>
      </c>
      <c r="J1604" t="inlineStr">
        <is>
          <t>0</t>
        </is>
      </c>
      <c r="L1604" t="inlineStr">
        <is>
          <t>New York : Holt, Rinehart, and Winston, c1979.</t>
        </is>
      </c>
      <c r="M1604" t="inlineStr">
        <is>
          <t>1979</t>
        </is>
      </c>
      <c r="O1604" t="inlineStr">
        <is>
          <t>eng</t>
        </is>
      </c>
      <c r="P1604" t="inlineStr">
        <is>
          <t>nyu</t>
        </is>
      </c>
      <c r="R1604" t="inlineStr">
        <is>
          <t xml:space="preserve">LC </t>
        </is>
      </c>
      <c r="S1604" t="n">
        <v>1</v>
      </c>
      <c r="T1604" t="n">
        <v>1</v>
      </c>
      <c r="U1604" t="inlineStr">
        <is>
          <t>2003-12-11</t>
        </is>
      </c>
      <c r="V1604" t="inlineStr">
        <is>
          <t>2003-12-11</t>
        </is>
      </c>
      <c r="W1604" t="inlineStr">
        <is>
          <t>1992-08-28</t>
        </is>
      </c>
      <c r="X1604" t="inlineStr">
        <is>
          <t>1992-08-28</t>
        </is>
      </c>
      <c r="Y1604" t="n">
        <v>324</v>
      </c>
      <c r="Z1604" t="n">
        <v>247</v>
      </c>
      <c r="AA1604" t="n">
        <v>253</v>
      </c>
      <c r="AB1604" t="n">
        <v>2</v>
      </c>
      <c r="AC1604" t="n">
        <v>2</v>
      </c>
      <c r="AD1604" t="n">
        <v>6</v>
      </c>
      <c r="AE1604" t="n">
        <v>6</v>
      </c>
      <c r="AF1604" t="n">
        <v>2</v>
      </c>
      <c r="AG1604" t="n">
        <v>2</v>
      </c>
      <c r="AH1604" t="n">
        <v>2</v>
      </c>
      <c r="AI1604" t="n">
        <v>2</v>
      </c>
      <c r="AJ1604" t="n">
        <v>2</v>
      </c>
      <c r="AK1604" t="n">
        <v>2</v>
      </c>
      <c r="AL1604" t="n">
        <v>1</v>
      </c>
      <c r="AM1604" t="n">
        <v>1</v>
      </c>
      <c r="AN1604" t="n">
        <v>0</v>
      </c>
      <c r="AO1604" t="n">
        <v>0</v>
      </c>
      <c r="AP1604" t="inlineStr">
        <is>
          <t>No</t>
        </is>
      </c>
      <c r="AQ1604" t="inlineStr">
        <is>
          <t>No</t>
        </is>
      </c>
      <c r="AS1604">
        <f>HYPERLINK("https://creighton-primo.hosted.exlibrisgroup.com/primo-explore/search?tab=default_tab&amp;search_scope=EVERYTHING&amp;vid=01CRU&amp;lang=en_US&amp;offset=0&amp;query=any,contains,991004648489702656","Catalog Record")</f>
        <v/>
      </c>
      <c r="AT1604">
        <f>HYPERLINK("http://www.worldcat.org/oclc/4492951","WorldCat Record")</f>
        <v/>
      </c>
      <c r="AU1604" t="inlineStr">
        <is>
          <t>859763457:eng</t>
        </is>
      </c>
      <c r="AV1604" t="inlineStr">
        <is>
          <t>4492951</t>
        </is>
      </c>
      <c r="AW1604" t="inlineStr">
        <is>
          <t>991004648489702656</t>
        </is>
      </c>
      <c r="AX1604" t="inlineStr">
        <is>
          <t>991004648489702656</t>
        </is>
      </c>
      <c r="AY1604" t="inlineStr">
        <is>
          <t>2263405380002656</t>
        </is>
      </c>
      <c r="AZ1604" t="inlineStr">
        <is>
          <t>BOOK</t>
        </is>
      </c>
      <c r="BB1604" t="inlineStr">
        <is>
          <t>9780030219115</t>
        </is>
      </c>
      <c r="BC1604" t="inlineStr">
        <is>
          <t>32285001283729</t>
        </is>
      </c>
      <c r="BD1604" t="inlineStr">
        <is>
          <t>893600072</t>
        </is>
      </c>
    </row>
    <row r="1605">
      <c r="A1605" t="inlineStr">
        <is>
          <t>No</t>
        </is>
      </c>
      <c r="B1605" t="inlineStr">
        <is>
          <t>LC3965 .D26 1983</t>
        </is>
      </c>
      <c r="C1605" t="inlineStr">
        <is>
          <t>0                      LC 3965000D  26          1983</t>
        </is>
      </c>
      <c r="D1605" t="inlineStr">
        <is>
          <t>Teaching the gifted/learning disabled child / Paul R. Daniels.</t>
        </is>
      </c>
      <c r="F1605" t="inlineStr">
        <is>
          <t>No</t>
        </is>
      </c>
      <c r="G1605" t="inlineStr">
        <is>
          <t>1</t>
        </is>
      </c>
      <c r="H1605" t="inlineStr">
        <is>
          <t>No</t>
        </is>
      </c>
      <c r="I1605" t="inlineStr">
        <is>
          <t>No</t>
        </is>
      </c>
      <c r="J1605" t="inlineStr">
        <is>
          <t>0</t>
        </is>
      </c>
      <c r="K1605" t="inlineStr">
        <is>
          <t>Daniels, Paul R.</t>
        </is>
      </c>
      <c r="L1605" t="inlineStr">
        <is>
          <t>Rockville, Md. : Aspen Systems Corp., 1983.</t>
        </is>
      </c>
      <c r="M1605" t="inlineStr">
        <is>
          <t>1983</t>
        </is>
      </c>
      <c r="O1605" t="inlineStr">
        <is>
          <t>eng</t>
        </is>
      </c>
      <c r="P1605" t="inlineStr">
        <is>
          <t>mdu</t>
        </is>
      </c>
      <c r="R1605" t="inlineStr">
        <is>
          <t xml:space="preserve">LC </t>
        </is>
      </c>
      <c r="S1605" t="n">
        <v>3</v>
      </c>
      <c r="T1605" t="n">
        <v>3</v>
      </c>
      <c r="U1605" t="inlineStr">
        <is>
          <t>2003-12-11</t>
        </is>
      </c>
      <c r="V1605" t="inlineStr">
        <is>
          <t>2003-12-11</t>
        </is>
      </c>
      <c r="W1605" t="inlineStr">
        <is>
          <t>1990-06-26</t>
        </is>
      </c>
      <c r="X1605" t="inlineStr">
        <is>
          <t>1990-06-26</t>
        </is>
      </c>
      <c r="Y1605" t="n">
        <v>629</v>
      </c>
      <c r="Z1605" t="n">
        <v>557</v>
      </c>
      <c r="AA1605" t="n">
        <v>557</v>
      </c>
      <c r="AB1605" t="n">
        <v>6</v>
      </c>
      <c r="AC1605" t="n">
        <v>6</v>
      </c>
      <c r="AD1605" t="n">
        <v>22</v>
      </c>
      <c r="AE1605" t="n">
        <v>22</v>
      </c>
      <c r="AF1605" t="n">
        <v>9</v>
      </c>
      <c r="AG1605" t="n">
        <v>9</v>
      </c>
      <c r="AH1605" t="n">
        <v>6</v>
      </c>
      <c r="AI1605" t="n">
        <v>6</v>
      </c>
      <c r="AJ1605" t="n">
        <v>9</v>
      </c>
      <c r="AK1605" t="n">
        <v>9</v>
      </c>
      <c r="AL1605" t="n">
        <v>5</v>
      </c>
      <c r="AM1605" t="n">
        <v>5</v>
      </c>
      <c r="AN1605" t="n">
        <v>0</v>
      </c>
      <c r="AO1605" t="n">
        <v>0</v>
      </c>
      <c r="AP1605" t="inlineStr">
        <is>
          <t>No</t>
        </is>
      </c>
      <c r="AQ1605" t="inlineStr">
        <is>
          <t>No</t>
        </is>
      </c>
      <c r="AS1605">
        <f>HYPERLINK("https://creighton-primo.hosted.exlibrisgroup.com/primo-explore/search?tab=default_tab&amp;search_scope=EVERYTHING&amp;vid=01CRU&amp;lang=en_US&amp;offset=0&amp;query=any,contains,991000126899702656","Catalog Record")</f>
        <v/>
      </c>
      <c r="AT1605">
        <f>HYPERLINK("http://www.worldcat.org/oclc/9084006","WorldCat Record")</f>
        <v/>
      </c>
      <c r="AU1605" t="inlineStr">
        <is>
          <t>43578448:eng</t>
        </is>
      </c>
      <c r="AV1605" t="inlineStr">
        <is>
          <t>9084006</t>
        </is>
      </c>
      <c r="AW1605" t="inlineStr">
        <is>
          <t>991000126899702656</t>
        </is>
      </c>
      <c r="AX1605" t="inlineStr">
        <is>
          <t>991000126899702656</t>
        </is>
      </c>
      <c r="AY1605" t="inlineStr">
        <is>
          <t>2255353750002656</t>
        </is>
      </c>
      <c r="AZ1605" t="inlineStr">
        <is>
          <t>BOOK</t>
        </is>
      </c>
      <c r="BB1605" t="inlineStr">
        <is>
          <t>9780894439285</t>
        </is>
      </c>
      <c r="BC1605" t="inlineStr">
        <is>
          <t>32285000212083</t>
        </is>
      </c>
      <c r="BD1605" t="inlineStr">
        <is>
          <t>893607644</t>
        </is>
      </c>
    </row>
    <row r="1606">
      <c r="A1606" t="inlineStr">
        <is>
          <t>No</t>
        </is>
      </c>
      <c r="B1606" t="inlineStr">
        <is>
          <t>LC3965 .F32</t>
        </is>
      </c>
      <c r="C1606" t="inlineStr">
        <is>
          <t>0                      LC 3965000F  32</t>
        </is>
      </c>
      <c r="D1606" t="inlineStr">
        <is>
          <t>Mainstreaming exceptional children / by Thomas N. Fairchild, Ferris O. Henson, II ; Danial B. Fairchild, illustrator.</t>
        </is>
      </c>
      <c r="F1606" t="inlineStr">
        <is>
          <t>No</t>
        </is>
      </c>
      <c r="G1606" t="inlineStr">
        <is>
          <t>1</t>
        </is>
      </c>
      <c r="H1606" t="inlineStr">
        <is>
          <t>No</t>
        </is>
      </c>
      <c r="I1606" t="inlineStr">
        <is>
          <t>No</t>
        </is>
      </c>
      <c r="J1606" t="inlineStr">
        <is>
          <t>0</t>
        </is>
      </c>
      <c r="K1606" t="inlineStr">
        <is>
          <t>Fairchild, Thomas N.</t>
        </is>
      </c>
      <c r="L1606" t="inlineStr">
        <is>
          <t>Austin : Learning Concepts, c1976.</t>
        </is>
      </c>
      <c r="M1606" t="inlineStr">
        <is>
          <t>1976</t>
        </is>
      </c>
      <c r="O1606" t="inlineStr">
        <is>
          <t>eng</t>
        </is>
      </c>
      <c r="P1606" t="inlineStr">
        <is>
          <t>txu</t>
        </is>
      </c>
      <c r="Q1606" t="inlineStr">
        <is>
          <t>Mainstreaming series</t>
        </is>
      </c>
      <c r="R1606" t="inlineStr">
        <is>
          <t xml:space="preserve">LC </t>
        </is>
      </c>
      <c r="S1606" t="n">
        <v>2</v>
      </c>
      <c r="T1606" t="n">
        <v>2</v>
      </c>
      <c r="U1606" t="inlineStr">
        <is>
          <t>2006-06-06</t>
        </is>
      </c>
      <c r="V1606" t="inlineStr">
        <is>
          <t>2006-06-06</t>
        </is>
      </c>
      <c r="W1606" t="inlineStr">
        <is>
          <t>1997-06-11</t>
        </is>
      </c>
      <c r="X1606" t="inlineStr">
        <is>
          <t>1997-06-11</t>
        </is>
      </c>
      <c r="Y1606" t="n">
        <v>252</v>
      </c>
      <c r="Z1606" t="n">
        <v>233</v>
      </c>
      <c r="AA1606" t="n">
        <v>257</v>
      </c>
      <c r="AB1606" t="n">
        <v>4</v>
      </c>
      <c r="AC1606" t="n">
        <v>4</v>
      </c>
      <c r="AD1606" t="n">
        <v>9</v>
      </c>
      <c r="AE1606" t="n">
        <v>9</v>
      </c>
      <c r="AF1606" t="n">
        <v>3</v>
      </c>
      <c r="AG1606" t="n">
        <v>3</v>
      </c>
      <c r="AH1606" t="n">
        <v>1</v>
      </c>
      <c r="AI1606" t="n">
        <v>1</v>
      </c>
      <c r="AJ1606" t="n">
        <v>4</v>
      </c>
      <c r="AK1606" t="n">
        <v>4</v>
      </c>
      <c r="AL1606" t="n">
        <v>3</v>
      </c>
      <c r="AM1606" t="n">
        <v>3</v>
      </c>
      <c r="AN1606" t="n">
        <v>0</v>
      </c>
      <c r="AO1606" t="n">
        <v>0</v>
      </c>
      <c r="AP1606" t="inlineStr">
        <is>
          <t>No</t>
        </is>
      </c>
      <c r="AQ1606" t="inlineStr">
        <is>
          <t>Yes</t>
        </is>
      </c>
      <c r="AR1606">
        <f>HYPERLINK("http://catalog.hathitrust.org/Record/009907623","HathiTrust Record")</f>
        <v/>
      </c>
      <c r="AS1606">
        <f>HYPERLINK("https://creighton-primo.hosted.exlibrisgroup.com/primo-explore/search?tab=default_tab&amp;search_scope=EVERYTHING&amp;vid=01CRU&amp;lang=en_US&amp;offset=0&amp;query=any,contains,991004145159702656","Catalog Record")</f>
        <v/>
      </c>
      <c r="AT1606">
        <f>HYPERLINK("http://www.worldcat.org/oclc/2508159","WorldCat Record")</f>
        <v/>
      </c>
      <c r="AU1606" t="inlineStr">
        <is>
          <t>5184671:eng</t>
        </is>
      </c>
      <c r="AV1606" t="inlineStr">
        <is>
          <t>2508159</t>
        </is>
      </c>
      <c r="AW1606" t="inlineStr">
        <is>
          <t>991004145159702656</t>
        </is>
      </c>
      <c r="AX1606" t="inlineStr">
        <is>
          <t>991004145159702656</t>
        </is>
      </c>
      <c r="AY1606" t="inlineStr">
        <is>
          <t>2254815340002656</t>
        </is>
      </c>
      <c r="AZ1606" t="inlineStr">
        <is>
          <t>BOOK</t>
        </is>
      </c>
      <c r="BB1606" t="inlineStr">
        <is>
          <t>9780893840051</t>
        </is>
      </c>
      <c r="BC1606" t="inlineStr">
        <is>
          <t>32285002803400</t>
        </is>
      </c>
      <c r="BD1606" t="inlineStr">
        <is>
          <t>893806720</t>
        </is>
      </c>
    </row>
    <row r="1607">
      <c r="A1607" t="inlineStr">
        <is>
          <t>No</t>
        </is>
      </c>
      <c r="B1607" t="inlineStr">
        <is>
          <t>LC3965 .H263 1987, v...</t>
        </is>
      </c>
      <c r="C1607" t="inlineStr">
        <is>
          <t>0                      LC 3965000H  263         1987                                        v...</t>
        </is>
      </c>
      <c r="D1607" t="inlineStr">
        <is>
          <t>Handbook of special education : research and practice / edited by Margaret C. Wang, Maynard C. Reynolds, Herbert J. Walberg.</t>
        </is>
      </c>
      <c r="E1607" t="inlineStr">
        <is>
          <t>V.3</t>
        </is>
      </c>
      <c r="F1607" t="inlineStr">
        <is>
          <t>Yes</t>
        </is>
      </c>
      <c r="G1607" t="inlineStr">
        <is>
          <t>1</t>
        </is>
      </c>
      <c r="H1607" t="inlineStr">
        <is>
          <t>No</t>
        </is>
      </c>
      <c r="I1607" t="inlineStr">
        <is>
          <t>No</t>
        </is>
      </c>
      <c r="J1607" t="inlineStr">
        <is>
          <t>0</t>
        </is>
      </c>
      <c r="L1607" t="inlineStr">
        <is>
          <t>Oxford [Oxfordshire] ; New York : Pergamon Press, c1987-</t>
        </is>
      </c>
      <c r="M1607" t="inlineStr">
        <is>
          <t>1987</t>
        </is>
      </c>
      <c r="O1607" t="inlineStr">
        <is>
          <t>eng</t>
        </is>
      </c>
      <c r="P1607" t="inlineStr">
        <is>
          <t>enk</t>
        </is>
      </c>
      <c r="Q1607" t="inlineStr">
        <is>
          <t>Advances in education</t>
        </is>
      </c>
      <c r="R1607" t="inlineStr">
        <is>
          <t xml:space="preserve">LC </t>
        </is>
      </c>
      <c r="S1607" t="n">
        <v>1</v>
      </c>
      <c r="T1607" t="n">
        <v>3</v>
      </c>
      <c r="U1607" t="inlineStr">
        <is>
          <t>2003-12-11</t>
        </is>
      </c>
      <c r="V1607" t="inlineStr">
        <is>
          <t>2003-12-11</t>
        </is>
      </c>
      <c r="W1607" t="inlineStr">
        <is>
          <t>1992-08-31</t>
        </is>
      </c>
      <c r="X1607" t="inlineStr">
        <is>
          <t>1992-08-31</t>
        </is>
      </c>
      <c r="Y1607" t="n">
        <v>560</v>
      </c>
      <c r="Z1607" t="n">
        <v>448</v>
      </c>
      <c r="AA1607" t="n">
        <v>461</v>
      </c>
      <c r="AB1607" t="n">
        <v>3</v>
      </c>
      <c r="AC1607" t="n">
        <v>3</v>
      </c>
      <c r="AD1607" t="n">
        <v>20</v>
      </c>
      <c r="AE1607" t="n">
        <v>20</v>
      </c>
      <c r="AF1607" t="n">
        <v>6</v>
      </c>
      <c r="AG1607" t="n">
        <v>6</v>
      </c>
      <c r="AH1607" t="n">
        <v>4</v>
      </c>
      <c r="AI1607" t="n">
        <v>4</v>
      </c>
      <c r="AJ1607" t="n">
        <v>13</v>
      </c>
      <c r="AK1607" t="n">
        <v>13</v>
      </c>
      <c r="AL1607" t="n">
        <v>2</v>
      </c>
      <c r="AM1607" t="n">
        <v>2</v>
      </c>
      <c r="AN1607" t="n">
        <v>0</v>
      </c>
      <c r="AO1607" t="n">
        <v>0</v>
      </c>
      <c r="AP1607" t="inlineStr">
        <is>
          <t>No</t>
        </is>
      </c>
      <c r="AQ1607" t="inlineStr">
        <is>
          <t>No</t>
        </is>
      </c>
      <c r="AS1607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7">
        <f>HYPERLINK("http://www.worldcat.org/oclc/16225781","WorldCat Record")</f>
        <v/>
      </c>
      <c r="AU1607" t="inlineStr">
        <is>
          <t>4494929624:eng</t>
        </is>
      </c>
      <c r="AV1607" t="inlineStr">
        <is>
          <t>16225781</t>
        </is>
      </c>
      <c r="AW1607" t="inlineStr">
        <is>
          <t>991001092339702656</t>
        </is>
      </c>
      <c r="AX1607" t="inlineStr">
        <is>
          <t>991001092339702656</t>
        </is>
      </c>
      <c r="AY1607" t="inlineStr">
        <is>
          <t>2264471810002656</t>
        </is>
      </c>
      <c r="AZ1607" t="inlineStr">
        <is>
          <t>BOOK</t>
        </is>
      </c>
      <c r="BB1607" t="inlineStr">
        <is>
          <t>9780080333830</t>
        </is>
      </c>
      <c r="BC1607" t="inlineStr">
        <is>
          <t>32285001283828</t>
        </is>
      </c>
      <c r="BD1607" t="inlineStr">
        <is>
          <t>893528654</t>
        </is>
      </c>
    </row>
    <row r="1608">
      <c r="A1608" t="inlineStr">
        <is>
          <t>No</t>
        </is>
      </c>
      <c r="B1608" t="inlineStr">
        <is>
          <t>LC3965 .H263 1987, v...</t>
        </is>
      </c>
      <c r="C1608" t="inlineStr">
        <is>
          <t>0                      LC 3965000H  263         1987                                        v...</t>
        </is>
      </c>
      <c r="D1608" t="inlineStr">
        <is>
          <t>Handbook of special education : research and practice / edited by Margaret C. Wang, Maynard C. Reynolds, Herbert J. Walberg.</t>
        </is>
      </c>
      <c r="E1608" t="inlineStr">
        <is>
          <t>V.1</t>
        </is>
      </c>
      <c r="F1608" t="inlineStr">
        <is>
          <t>Yes</t>
        </is>
      </c>
      <c r="G1608" t="inlineStr">
        <is>
          <t>1</t>
        </is>
      </c>
      <c r="H1608" t="inlineStr">
        <is>
          <t>No</t>
        </is>
      </c>
      <c r="I1608" t="inlineStr">
        <is>
          <t>No</t>
        </is>
      </c>
      <c r="J1608" t="inlineStr">
        <is>
          <t>0</t>
        </is>
      </c>
      <c r="L1608" t="inlineStr">
        <is>
          <t>Oxford [Oxfordshire] ; New York : Pergamon Press, c1987-</t>
        </is>
      </c>
      <c r="M1608" t="inlineStr">
        <is>
          <t>1987</t>
        </is>
      </c>
      <c r="O1608" t="inlineStr">
        <is>
          <t>eng</t>
        </is>
      </c>
      <c r="P1608" t="inlineStr">
        <is>
          <t>enk</t>
        </is>
      </c>
      <c r="Q1608" t="inlineStr">
        <is>
          <t>Advances in education</t>
        </is>
      </c>
      <c r="R1608" t="inlineStr">
        <is>
          <t xml:space="preserve">LC </t>
        </is>
      </c>
      <c r="S1608" t="n">
        <v>1</v>
      </c>
      <c r="T1608" t="n">
        <v>3</v>
      </c>
      <c r="U1608" t="inlineStr">
        <is>
          <t>2003-12-11</t>
        </is>
      </c>
      <c r="V1608" t="inlineStr">
        <is>
          <t>2003-12-11</t>
        </is>
      </c>
      <c r="W1608" t="inlineStr">
        <is>
          <t>1992-08-31</t>
        </is>
      </c>
      <c r="X1608" t="inlineStr">
        <is>
          <t>1992-08-31</t>
        </is>
      </c>
      <c r="Y1608" t="n">
        <v>560</v>
      </c>
      <c r="Z1608" t="n">
        <v>448</v>
      </c>
      <c r="AA1608" t="n">
        <v>461</v>
      </c>
      <c r="AB1608" t="n">
        <v>3</v>
      </c>
      <c r="AC1608" t="n">
        <v>3</v>
      </c>
      <c r="AD1608" t="n">
        <v>20</v>
      </c>
      <c r="AE1608" t="n">
        <v>20</v>
      </c>
      <c r="AF1608" t="n">
        <v>6</v>
      </c>
      <c r="AG1608" t="n">
        <v>6</v>
      </c>
      <c r="AH1608" t="n">
        <v>4</v>
      </c>
      <c r="AI1608" t="n">
        <v>4</v>
      </c>
      <c r="AJ1608" t="n">
        <v>13</v>
      </c>
      <c r="AK1608" t="n">
        <v>13</v>
      </c>
      <c r="AL1608" t="n">
        <v>2</v>
      </c>
      <c r="AM1608" t="n">
        <v>2</v>
      </c>
      <c r="AN1608" t="n">
        <v>0</v>
      </c>
      <c r="AO1608" t="n">
        <v>0</v>
      </c>
      <c r="AP1608" t="inlineStr">
        <is>
          <t>No</t>
        </is>
      </c>
      <c r="AQ1608" t="inlineStr">
        <is>
          <t>No</t>
        </is>
      </c>
      <c r="AS1608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8">
        <f>HYPERLINK("http://www.worldcat.org/oclc/16225781","WorldCat Record")</f>
        <v/>
      </c>
      <c r="AU1608" t="inlineStr">
        <is>
          <t>4494929624:eng</t>
        </is>
      </c>
      <c r="AV1608" t="inlineStr">
        <is>
          <t>16225781</t>
        </is>
      </c>
      <c r="AW1608" t="inlineStr">
        <is>
          <t>991001092339702656</t>
        </is>
      </c>
      <c r="AX1608" t="inlineStr">
        <is>
          <t>991001092339702656</t>
        </is>
      </c>
      <c r="AY1608" t="inlineStr">
        <is>
          <t>2264471810002656</t>
        </is>
      </c>
      <c r="AZ1608" t="inlineStr">
        <is>
          <t>BOOK</t>
        </is>
      </c>
      <c r="BB1608" t="inlineStr">
        <is>
          <t>9780080333830</t>
        </is>
      </c>
      <c r="BC1608" t="inlineStr">
        <is>
          <t>32285001283802</t>
        </is>
      </c>
      <c r="BD1608" t="inlineStr">
        <is>
          <t>893522280</t>
        </is>
      </c>
    </row>
    <row r="1609">
      <c r="A1609" t="inlineStr">
        <is>
          <t>No</t>
        </is>
      </c>
      <c r="B1609" t="inlineStr">
        <is>
          <t>LC3965 .H263 1987, v...</t>
        </is>
      </c>
      <c r="C1609" t="inlineStr">
        <is>
          <t>0                      LC 3965000H  263         1987                                        v...</t>
        </is>
      </c>
      <c r="D1609" t="inlineStr">
        <is>
          <t>Handbook of special education : research and practice / edited by Margaret C. Wang, Maynard C. Reynolds, Herbert J. Walberg.</t>
        </is>
      </c>
      <c r="E1609" t="inlineStr">
        <is>
          <t>V.2</t>
        </is>
      </c>
      <c r="F1609" t="inlineStr">
        <is>
          <t>Yes</t>
        </is>
      </c>
      <c r="G1609" t="inlineStr">
        <is>
          <t>1</t>
        </is>
      </c>
      <c r="H1609" t="inlineStr">
        <is>
          <t>No</t>
        </is>
      </c>
      <c r="I1609" t="inlineStr">
        <is>
          <t>No</t>
        </is>
      </c>
      <c r="J1609" t="inlineStr">
        <is>
          <t>0</t>
        </is>
      </c>
      <c r="L1609" t="inlineStr">
        <is>
          <t>Oxford [Oxfordshire] ; New York : Pergamon Press, c1987-</t>
        </is>
      </c>
      <c r="M1609" t="inlineStr">
        <is>
          <t>1987</t>
        </is>
      </c>
      <c r="O1609" t="inlineStr">
        <is>
          <t>eng</t>
        </is>
      </c>
      <c r="P1609" t="inlineStr">
        <is>
          <t>enk</t>
        </is>
      </c>
      <c r="Q1609" t="inlineStr">
        <is>
          <t>Advances in education</t>
        </is>
      </c>
      <c r="R1609" t="inlineStr">
        <is>
          <t xml:space="preserve">LC </t>
        </is>
      </c>
      <c r="S1609" t="n">
        <v>1</v>
      </c>
      <c r="T1609" t="n">
        <v>3</v>
      </c>
      <c r="U1609" t="inlineStr">
        <is>
          <t>2003-12-11</t>
        </is>
      </c>
      <c r="V1609" t="inlineStr">
        <is>
          <t>2003-12-11</t>
        </is>
      </c>
      <c r="W1609" t="inlineStr">
        <is>
          <t>1992-08-31</t>
        </is>
      </c>
      <c r="X1609" t="inlineStr">
        <is>
          <t>1992-08-31</t>
        </is>
      </c>
      <c r="Y1609" t="n">
        <v>560</v>
      </c>
      <c r="Z1609" t="n">
        <v>448</v>
      </c>
      <c r="AA1609" t="n">
        <v>461</v>
      </c>
      <c r="AB1609" t="n">
        <v>3</v>
      </c>
      <c r="AC1609" t="n">
        <v>3</v>
      </c>
      <c r="AD1609" t="n">
        <v>20</v>
      </c>
      <c r="AE1609" t="n">
        <v>20</v>
      </c>
      <c r="AF1609" t="n">
        <v>6</v>
      </c>
      <c r="AG1609" t="n">
        <v>6</v>
      </c>
      <c r="AH1609" t="n">
        <v>4</v>
      </c>
      <c r="AI1609" t="n">
        <v>4</v>
      </c>
      <c r="AJ1609" t="n">
        <v>13</v>
      </c>
      <c r="AK1609" t="n">
        <v>13</v>
      </c>
      <c r="AL1609" t="n">
        <v>2</v>
      </c>
      <c r="AM1609" t="n">
        <v>2</v>
      </c>
      <c r="AN1609" t="n">
        <v>0</v>
      </c>
      <c r="AO1609" t="n">
        <v>0</v>
      </c>
      <c r="AP1609" t="inlineStr">
        <is>
          <t>No</t>
        </is>
      </c>
      <c r="AQ1609" t="inlineStr">
        <is>
          <t>No</t>
        </is>
      </c>
      <c r="AS1609">
        <f>HYPERLINK("https://creighton-primo.hosted.exlibrisgroup.com/primo-explore/search?tab=default_tab&amp;search_scope=EVERYTHING&amp;vid=01CRU&amp;lang=en_US&amp;offset=0&amp;query=any,contains,991001092339702656","Catalog Record")</f>
        <v/>
      </c>
      <c r="AT1609">
        <f>HYPERLINK("http://www.worldcat.org/oclc/16225781","WorldCat Record")</f>
        <v/>
      </c>
      <c r="AU1609" t="inlineStr">
        <is>
          <t>4494929624:eng</t>
        </is>
      </c>
      <c r="AV1609" t="inlineStr">
        <is>
          <t>16225781</t>
        </is>
      </c>
      <c r="AW1609" t="inlineStr">
        <is>
          <t>991001092339702656</t>
        </is>
      </c>
      <c r="AX1609" t="inlineStr">
        <is>
          <t>991001092339702656</t>
        </is>
      </c>
      <c r="AY1609" t="inlineStr">
        <is>
          <t>2264471810002656</t>
        </is>
      </c>
      <c r="AZ1609" t="inlineStr">
        <is>
          <t>BOOK</t>
        </is>
      </c>
      <c r="BB1609" t="inlineStr">
        <is>
          <t>9780080333830</t>
        </is>
      </c>
      <c r="BC1609" t="inlineStr">
        <is>
          <t>32285001283810</t>
        </is>
      </c>
      <c r="BD1609" t="inlineStr">
        <is>
          <t>893503098</t>
        </is>
      </c>
    </row>
    <row r="1610">
      <c r="A1610" t="inlineStr">
        <is>
          <t>No</t>
        </is>
      </c>
      <c r="B1610" t="inlineStr">
        <is>
          <t>LC3965 .M275</t>
        </is>
      </c>
      <c r="C1610" t="inlineStr">
        <is>
          <t>0                      LC 3965000M  275</t>
        </is>
      </c>
      <c r="D1610" t="inlineStr">
        <is>
          <t>Understanding exceptional people / Colleen J. Mandell, Edward Fiscus.</t>
        </is>
      </c>
      <c r="F1610" t="inlineStr">
        <is>
          <t>No</t>
        </is>
      </c>
      <c r="G1610" t="inlineStr">
        <is>
          <t>1</t>
        </is>
      </c>
      <c r="H1610" t="inlineStr">
        <is>
          <t>No</t>
        </is>
      </c>
      <c r="I1610" t="inlineStr">
        <is>
          <t>No</t>
        </is>
      </c>
      <c r="J1610" t="inlineStr">
        <is>
          <t>0</t>
        </is>
      </c>
      <c r="K1610" t="inlineStr">
        <is>
          <t>Mandell, Colleen J.</t>
        </is>
      </c>
      <c r="L1610" t="inlineStr">
        <is>
          <t>St. Paul : West Pub. Co., c1981.</t>
        </is>
      </c>
      <c r="M1610" t="inlineStr">
        <is>
          <t>1981</t>
        </is>
      </c>
      <c r="O1610" t="inlineStr">
        <is>
          <t>eng</t>
        </is>
      </c>
      <c r="P1610" t="inlineStr">
        <is>
          <t>mnu</t>
        </is>
      </c>
      <c r="R1610" t="inlineStr">
        <is>
          <t xml:space="preserve">LC </t>
        </is>
      </c>
      <c r="S1610" t="n">
        <v>6</v>
      </c>
      <c r="T1610" t="n">
        <v>6</v>
      </c>
      <c r="U1610" t="inlineStr">
        <is>
          <t>2000-02-21</t>
        </is>
      </c>
      <c r="V1610" t="inlineStr">
        <is>
          <t>2000-02-21</t>
        </is>
      </c>
      <c r="W1610" t="inlineStr">
        <is>
          <t>1992-08-31</t>
        </is>
      </c>
      <c r="X1610" t="inlineStr">
        <is>
          <t>1992-08-31</t>
        </is>
      </c>
      <c r="Y1610" t="n">
        <v>219</v>
      </c>
      <c r="Z1610" t="n">
        <v>173</v>
      </c>
      <c r="AA1610" t="n">
        <v>173</v>
      </c>
      <c r="AB1610" t="n">
        <v>4</v>
      </c>
      <c r="AC1610" t="n">
        <v>4</v>
      </c>
      <c r="AD1610" t="n">
        <v>6</v>
      </c>
      <c r="AE1610" t="n">
        <v>6</v>
      </c>
      <c r="AF1610" t="n">
        <v>2</v>
      </c>
      <c r="AG1610" t="n">
        <v>2</v>
      </c>
      <c r="AH1610" t="n">
        <v>1</v>
      </c>
      <c r="AI1610" t="n">
        <v>1</v>
      </c>
      <c r="AJ1610" t="n">
        <v>1</v>
      </c>
      <c r="AK1610" t="n">
        <v>1</v>
      </c>
      <c r="AL1610" t="n">
        <v>3</v>
      </c>
      <c r="AM1610" t="n">
        <v>3</v>
      </c>
      <c r="AN1610" t="n">
        <v>0</v>
      </c>
      <c r="AO1610" t="n">
        <v>0</v>
      </c>
      <c r="AP1610" t="inlineStr">
        <is>
          <t>No</t>
        </is>
      </c>
      <c r="AQ1610" t="inlineStr">
        <is>
          <t>No</t>
        </is>
      </c>
      <c r="AS1610">
        <f>HYPERLINK("https://creighton-primo.hosted.exlibrisgroup.com/primo-explore/search?tab=default_tab&amp;search_scope=EVERYTHING&amp;vid=01CRU&amp;lang=en_US&amp;offset=0&amp;query=any,contains,991005067419702656","Catalog Record")</f>
        <v/>
      </c>
      <c r="AT1610">
        <f>HYPERLINK("http://www.worldcat.org/oclc/6981544","WorldCat Record")</f>
        <v/>
      </c>
      <c r="AU1610" t="inlineStr">
        <is>
          <t>495009:eng</t>
        </is>
      </c>
      <c r="AV1610" t="inlineStr">
        <is>
          <t>6981544</t>
        </is>
      </c>
      <c r="AW1610" t="inlineStr">
        <is>
          <t>991005067419702656</t>
        </is>
      </c>
      <c r="AX1610" t="inlineStr">
        <is>
          <t>991005067419702656</t>
        </is>
      </c>
      <c r="AY1610" t="inlineStr">
        <is>
          <t>2271359830002656</t>
        </is>
      </c>
      <c r="AZ1610" t="inlineStr">
        <is>
          <t>BOOK</t>
        </is>
      </c>
      <c r="BB1610" t="inlineStr">
        <is>
          <t>9780829903942</t>
        </is>
      </c>
      <c r="BC1610" t="inlineStr">
        <is>
          <t>32285001283851</t>
        </is>
      </c>
      <c r="BD1610" t="inlineStr">
        <is>
          <t>893513975</t>
        </is>
      </c>
    </row>
    <row r="1611">
      <c r="A1611" t="inlineStr">
        <is>
          <t>No</t>
        </is>
      </c>
      <c r="B1611" t="inlineStr">
        <is>
          <t>LC3965 .N37</t>
        </is>
      </c>
      <c r="C1611" t="inlineStr">
        <is>
          <t>0                      LC 3965000N  37</t>
        </is>
      </c>
      <c r="D1611" t="inlineStr">
        <is>
          <t>The Nature of special education : people, places and change : a reader / edited by Tony Booth and June Statham.</t>
        </is>
      </c>
      <c r="F1611" t="inlineStr">
        <is>
          <t>No</t>
        </is>
      </c>
      <c r="G1611" t="inlineStr">
        <is>
          <t>1</t>
        </is>
      </c>
      <c r="H1611" t="inlineStr">
        <is>
          <t>No</t>
        </is>
      </c>
      <c r="I1611" t="inlineStr">
        <is>
          <t>No</t>
        </is>
      </c>
      <c r="J1611" t="inlineStr">
        <is>
          <t>0</t>
        </is>
      </c>
      <c r="L1611" t="inlineStr">
        <is>
          <t>London : Croom Helm in association with the Open University Press, c1982.</t>
        </is>
      </c>
      <c r="M1611" t="inlineStr">
        <is>
          <t>1982</t>
        </is>
      </c>
      <c r="O1611" t="inlineStr">
        <is>
          <t>eng</t>
        </is>
      </c>
      <c r="P1611" t="inlineStr">
        <is>
          <t>enk</t>
        </is>
      </c>
      <c r="R1611" t="inlineStr">
        <is>
          <t xml:space="preserve">LC </t>
        </is>
      </c>
      <c r="S1611" t="n">
        <v>1</v>
      </c>
      <c r="T1611" t="n">
        <v>1</v>
      </c>
      <c r="U1611" t="inlineStr">
        <is>
          <t>2003-12-11</t>
        </is>
      </c>
      <c r="V1611" t="inlineStr">
        <is>
          <t>2003-12-11</t>
        </is>
      </c>
      <c r="W1611" t="inlineStr">
        <is>
          <t>1992-08-31</t>
        </is>
      </c>
      <c r="X1611" t="inlineStr">
        <is>
          <t>1992-08-31</t>
        </is>
      </c>
      <c r="Y1611" t="n">
        <v>176</v>
      </c>
      <c r="Z1611" t="n">
        <v>80</v>
      </c>
      <c r="AA1611" t="n">
        <v>118</v>
      </c>
      <c r="AB1611" t="n">
        <v>1</v>
      </c>
      <c r="AC1611" t="n">
        <v>1</v>
      </c>
      <c r="AD1611" t="n">
        <v>0</v>
      </c>
      <c r="AE1611" t="n">
        <v>0</v>
      </c>
      <c r="AF1611" t="n">
        <v>0</v>
      </c>
      <c r="AG1611" t="n">
        <v>0</v>
      </c>
      <c r="AH1611" t="n">
        <v>0</v>
      </c>
      <c r="AI1611" t="n">
        <v>0</v>
      </c>
      <c r="AJ1611" t="n">
        <v>0</v>
      </c>
      <c r="AK1611" t="n">
        <v>0</v>
      </c>
      <c r="AL1611" t="n">
        <v>0</v>
      </c>
      <c r="AM1611" t="n">
        <v>0</v>
      </c>
      <c r="AN1611" t="n">
        <v>0</v>
      </c>
      <c r="AO1611" t="n">
        <v>0</v>
      </c>
      <c r="AP1611" t="inlineStr">
        <is>
          <t>No</t>
        </is>
      </c>
      <c r="AQ1611" t="inlineStr">
        <is>
          <t>No</t>
        </is>
      </c>
      <c r="AS1611">
        <f>HYPERLINK("https://creighton-primo.hosted.exlibrisgroup.com/primo-explore/search?tab=default_tab&amp;search_scope=EVERYTHING&amp;vid=01CRU&amp;lang=en_US&amp;offset=0&amp;query=any,contains,991005228549702656","Catalog Record")</f>
        <v/>
      </c>
      <c r="AT1611">
        <f>HYPERLINK("http://www.worldcat.org/oclc/8298646","WorldCat Record")</f>
        <v/>
      </c>
      <c r="AU1611" t="inlineStr">
        <is>
          <t>1046094492:eng</t>
        </is>
      </c>
      <c r="AV1611" t="inlineStr">
        <is>
          <t>8298646</t>
        </is>
      </c>
      <c r="AW1611" t="inlineStr">
        <is>
          <t>991005228549702656</t>
        </is>
      </c>
      <c r="AX1611" t="inlineStr">
        <is>
          <t>991005228549702656</t>
        </is>
      </c>
      <c r="AY1611" t="inlineStr">
        <is>
          <t>2266615950002656</t>
        </is>
      </c>
      <c r="AZ1611" t="inlineStr">
        <is>
          <t>BOOK</t>
        </is>
      </c>
      <c r="BB1611" t="inlineStr">
        <is>
          <t>9780709919100</t>
        </is>
      </c>
      <c r="BC1611" t="inlineStr">
        <is>
          <t>32285001283893</t>
        </is>
      </c>
      <c r="BD1611" t="inlineStr">
        <is>
          <t>893326420</t>
        </is>
      </c>
    </row>
    <row r="1612">
      <c r="A1612" t="inlineStr">
        <is>
          <t>No</t>
        </is>
      </c>
      <c r="B1612" t="inlineStr">
        <is>
          <t>LC3969 .J33 1992</t>
        </is>
      </c>
      <c r="C1612" t="inlineStr">
        <is>
          <t>0                      LC 3969000J  33          1992</t>
        </is>
      </c>
      <c r="D1612" t="inlineStr">
        <is>
          <t>Resourcing : handbook for special education resource teachers / Mary Yeomans Jackson.</t>
        </is>
      </c>
      <c r="F1612" t="inlineStr">
        <is>
          <t>No</t>
        </is>
      </c>
      <c r="G1612" t="inlineStr">
        <is>
          <t>1</t>
        </is>
      </c>
      <c r="H1612" t="inlineStr">
        <is>
          <t>No</t>
        </is>
      </c>
      <c r="I1612" t="inlineStr">
        <is>
          <t>No</t>
        </is>
      </c>
      <c r="J1612" t="inlineStr">
        <is>
          <t>0</t>
        </is>
      </c>
      <c r="K1612" t="inlineStr">
        <is>
          <t>Jackson, Mary Yeomans.</t>
        </is>
      </c>
      <c r="L1612" t="inlineStr">
        <is>
          <t>Reston, Va. : Council for Exceptional Children, c1992.</t>
        </is>
      </c>
      <c r="M1612" t="inlineStr">
        <is>
          <t>1992</t>
        </is>
      </c>
      <c r="O1612" t="inlineStr">
        <is>
          <t>eng</t>
        </is>
      </c>
      <c r="P1612" t="inlineStr">
        <is>
          <t>vau</t>
        </is>
      </c>
      <c r="R1612" t="inlineStr">
        <is>
          <t xml:space="preserve">LC </t>
        </is>
      </c>
      <c r="S1612" t="n">
        <v>3</v>
      </c>
      <c r="T1612" t="n">
        <v>3</v>
      </c>
      <c r="U1612" t="inlineStr">
        <is>
          <t>2005-10-26</t>
        </is>
      </c>
      <c r="V1612" t="inlineStr">
        <is>
          <t>2005-10-26</t>
        </is>
      </c>
      <c r="W1612" t="inlineStr">
        <is>
          <t>1996-05-08</t>
        </is>
      </c>
      <c r="X1612" t="inlineStr">
        <is>
          <t>1996-05-08</t>
        </is>
      </c>
      <c r="Y1612" t="n">
        <v>189</v>
      </c>
      <c r="Z1612" t="n">
        <v>164</v>
      </c>
      <c r="AA1612" t="n">
        <v>166</v>
      </c>
      <c r="AB1612" t="n">
        <v>2</v>
      </c>
      <c r="AC1612" t="n">
        <v>2</v>
      </c>
      <c r="AD1612" t="n">
        <v>5</v>
      </c>
      <c r="AE1612" t="n">
        <v>5</v>
      </c>
      <c r="AF1612" t="n">
        <v>2</v>
      </c>
      <c r="AG1612" t="n">
        <v>2</v>
      </c>
      <c r="AH1612" t="n">
        <v>1</v>
      </c>
      <c r="AI1612" t="n">
        <v>1</v>
      </c>
      <c r="AJ1612" t="n">
        <v>1</v>
      </c>
      <c r="AK1612" t="n">
        <v>1</v>
      </c>
      <c r="AL1612" t="n">
        <v>1</v>
      </c>
      <c r="AM1612" t="n">
        <v>1</v>
      </c>
      <c r="AN1612" t="n">
        <v>0</v>
      </c>
      <c r="AO1612" t="n">
        <v>0</v>
      </c>
      <c r="AP1612" t="inlineStr">
        <is>
          <t>No</t>
        </is>
      </c>
      <c r="AQ1612" t="inlineStr">
        <is>
          <t>No</t>
        </is>
      </c>
      <c r="AS1612">
        <f>HYPERLINK("https://creighton-primo.hosted.exlibrisgroup.com/primo-explore/search?tab=default_tab&amp;search_scope=EVERYTHING&amp;vid=01CRU&amp;lang=en_US&amp;offset=0&amp;query=any,contains,991001972599702656","Catalog Record")</f>
        <v/>
      </c>
      <c r="AT1612">
        <f>HYPERLINK("http://www.worldcat.org/oclc/25025461","WorldCat Record")</f>
        <v/>
      </c>
      <c r="AU1612" t="inlineStr">
        <is>
          <t>27142264:eng</t>
        </is>
      </c>
      <c r="AV1612" t="inlineStr">
        <is>
          <t>25025461</t>
        </is>
      </c>
      <c r="AW1612" t="inlineStr">
        <is>
          <t>991001972599702656</t>
        </is>
      </c>
      <c r="AX1612" t="inlineStr">
        <is>
          <t>991001972599702656</t>
        </is>
      </c>
      <c r="AY1612" t="inlineStr">
        <is>
          <t>2264242430002656</t>
        </is>
      </c>
      <c r="AZ1612" t="inlineStr">
        <is>
          <t>BOOK</t>
        </is>
      </c>
      <c r="BB1612" t="inlineStr">
        <is>
          <t>9780865862197</t>
        </is>
      </c>
      <c r="BC1612" t="inlineStr">
        <is>
          <t>32285002165719</t>
        </is>
      </c>
      <c r="BD1612" t="inlineStr">
        <is>
          <t>893891996</t>
        </is>
      </c>
    </row>
    <row r="1613">
      <c r="A1613" t="inlineStr">
        <is>
          <t>No</t>
        </is>
      </c>
      <c r="B1613" t="inlineStr">
        <is>
          <t>LC3969.45 .C64 1994</t>
        </is>
      </c>
      <c r="C1613" t="inlineStr">
        <is>
          <t>0                      LC 3969450C  64          1994</t>
        </is>
      </c>
      <c r="D1613" t="inlineStr">
        <is>
          <t>Survival guide for the first-year special education teacher / Mary Kemper Cohen, Maureen Gale, Joyce M. Meyer.</t>
        </is>
      </c>
      <c r="F1613" t="inlineStr">
        <is>
          <t>No</t>
        </is>
      </c>
      <c r="G1613" t="inlineStr">
        <is>
          <t>1</t>
        </is>
      </c>
      <c r="H1613" t="inlineStr">
        <is>
          <t>No</t>
        </is>
      </c>
      <c r="I1613" t="inlineStr">
        <is>
          <t>No</t>
        </is>
      </c>
      <c r="J1613" t="inlineStr">
        <is>
          <t>0</t>
        </is>
      </c>
      <c r="K1613" t="inlineStr">
        <is>
          <t>Cohen, Mary Kemper.</t>
        </is>
      </c>
      <c r="L1613" t="inlineStr">
        <is>
          <t>Reston, Va. : Council for Exceptional Children, c1994.</t>
        </is>
      </c>
      <c r="M1613" t="inlineStr">
        <is>
          <t>1994</t>
        </is>
      </c>
      <c r="N1613" t="inlineStr">
        <is>
          <t>Rev. ed.</t>
        </is>
      </c>
      <c r="O1613" t="inlineStr">
        <is>
          <t>eng</t>
        </is>
      </c>
      <c r="P1613" t="inlineStr">
        <is>
          <t>vau</t>
        </is>
      </c>
      <c r="R1613" t="inlineStr">
        <is>
          <t xml:space="preserve">LC </t>
        </is>
      </c>
      <c r="S1613" t="n">
        <v>1</v>
      </c>
      <c r="T1613" t="n">
        <v>1</v>
      </c>
      <c r="U1613" t="inlineStr">
        <is>
          <t>2005-10-26</t>
        </is>
      </c>
      <c r="V1613" t="inlineStr">
        <is>
          <t>2005-10-26</t>
        </is>
      </c>
      <c r="W1613" t="inlineStr">
        <is>
          <t>1996-05-08</t>
        </is>
      </c>
      <c r="X1613" t="inlineStr">
        <is>
          <t>1996-05-08</t>
        </is>
      </c>
      <c r="Y1613" t="n">
        <v>292</v>
      </c>
      <c r="Z1613" t="n">
        <v>262</v>
      </c>
      <c r="AA1613" t="n">
        <v>291</v>
      </c>
      <c r="AB1613" t="n">
        <v>5</v>
      </c>
      <c r="AC1613" t="n">
        <v>5</v>
      </c>
      <c r="AD1613" t="n">
        <v>17</v>
      </c>
      <c r="AE1613" t="n">
        <v>18</v>
      </c>
      <c r="AF1613" t="n">
        <v>7</v>
      </c>
      <c r="AG1613" t="n">
        <v>7</v>
      </c>
      <c r="AH1613" t="n">
        <v>2</v>
      </c>
      <c r="AI1613" t="n">
        <v>2</v>
      </c>
      <c r="AJ1613" t="n">
        <v>9</v>
      </c>
      <c r="AK1613" t="n">
        <v>10</v>
      </c>
      <c r="AL1613" t="n">
        <v>4</v>
      </c>
      <c r="AM1613" t="n">
        <v>4</v>
      </c>
      <c r="AN1613" t="n">
        <v>0</v>
      </c>
      <c r="AO1613" t="n">
        <v>0</v>
      </c>
      <c r="AP1613" t="inlineStr">
        <is>
          <t>No</t>
        </is>
      </c>
      <c r="AQ1613" t="inlineStr">
        <is>
          <t>No</t>
        </is>
      </c>
      <c r="AS1613">
        <f>HYPERLINK("https://creighton-primo.hosted.exlibrisgroup.com/primo-explore/search?tab=default_tab&amp;search_scope=EVERYTHING&amp;vid=01CRU&amp;lang=en_US&amp;offset=0&amp;query=any,contains,991002387089702656","Catalog Record")</f>
        <v/>
      </c>
      <c r="AT1613">
        <f>HYPERLINK("http://www.worldcat.org/oclc/31012052","WorldCat Record")</f>
        <v/>
      </c>
      <c r="AU1613" t="inlineStr">
        <is>
          <t>1030153:eng</t>
        </is>
      </c>
      <c r="AV1613" t="inlineStr">
        <is>
          <t>31012052</t>
        </is>
      </c>
      <c r="AW1613" t="inlineStr">
        <is>
          <t>991002387089702656</t>
        </is>
      </c>
      <c r="AX1613" t="inlineStr">
        <is>
          <t>991002387089702656</t>
        </is>
      </c>
      <c r="AY1613" t="inlineStr">
        <is>
          <t>2265766530002656</t>
        </is>
      </c>
      <c r="AZ1613" t="inlineStr">
        <is>
          <t>BOOK</t>
        </is>
      </c>
      <c r="BB1613" t="inlineStr">
        <is>
          <t>9780865862562</t>
        </is>
      </c>
      <c r="BC1613" t="inlineStr">
        <is>
          <t>32285002165701</t>
        </is>
      </c>
      <c r="BD1613" t="inlineStr">
        <is>
          <t>893786067</t>
        </is>
      </c>
    </row>
    <row r="1614">
      <c r="A1614" t="inlineStr">
        <is>
          <t>No</t>
        </is>
      </c>
      <c r="B1614" t="inlineStr">
        <is>
          <t>LC3976 .H87 1988</t>
        </is>
      </c>
      <c r="C1614" t="inlineStr">
        <is>
          <t>0                      LC 3976000H  87          1988</t>
        </is>
      </c>
      <c r="D1614" t="inlineStr">
        <is>
          <t>Vocational evaluation in special education / Norman C. Hursh, Allen F. Kerns.</t>
        </is>
      </c>
      <c r="F1614" t="inlineStr">
        <is>
          <t>No</t>
        </is>
      </c>
      <c r="G1614" t="inlineStr">
        <is>
          <t>1</t>
        </is>
      </c>
      <c r="H1614" t="inlineStr">
        <is>
          <t>No</t>
        </is>
      </c>
      <c r="I1614" t="inlineStr">
        <is>
          <t>No</t>
        </is>
      </c>
      <c r="J1614" t="inlineStr">
        <is>
          <t>0</t>
        </is>
      </c>
      <c r="K1614" t="inlineStr">
        <is>
          <t>Hursh, Norman C., 1946-</t>
        </is>
      </c>
      <c r="L1614" t="inlineStr">
        <is>
          <t>Boston : Little, Brown, 1988.</t>
        </is>
      </c>
      <c r="M1614" t="inlineStr">
        <is>
          <t>1988</t>
        </is>
      </c>
      <c r="O1614" t="inlineStr">
        <is>
          <t>eng</t>
        </is>
      </c>
      <c r="P1614" t="inlineStr">
        <is>
          <t>mau</t>
        </is>
      </c>
      <c r="R1614" t="inlineStr">
        <is>
          <t xml:space="preserve">LC </t>
        </is>
      </c>
      <c r="S1614" t="n">
        <v>1</v>
      </c>
      <c r="T1614" t="n">
        <v>1</v>
      </c>
      <c r="U1614" t="inlineStr">
        <is>
          <t>1993-03-02</t>
        </is>
      </c>
      <c r="V1614" t="inlineStr">
        <is>
          <t>1993-03-02</t>
        </is>
      </c>
      <c r="W1614" t="inlineStr">
        <is>
          <t>1992-08-31</t>
        </is>
      </c>
      <c r="X1614" t="inlineStr">
        <is>
          <t>1992-08-31</t>
        </is>
      </c>
      <c r="Y1614" t="n">
        <v>197</v>
      </c>
      <c r="Z1614" t="n">
        <v>183</v>
      </c>
      <c r="AA1614" t="n">
        <v>192</v>
      </c>
      <c r="AB1614" t="n">
        <v>2</v>
      </c>
      <c r="AC1614" t="n">
        <v>2</v>
      </c>
      <c r="AD1614" t="n">
        <v>4</v>
      </c>
      <c r="AE1614" t="n">
        <v>5</v>
      </c>
      <c r="AF1614" t="n">
        <v>1</v>
      </c>
      <c r="AG1614" t="n">
        <v>2</v>
      </c>
      <c r="AH1614" t="n">
        <v>0</v>
      </c>
      <c r="AI1614" t="n">
        <v>0</v>
      </c>
      <c r="AJ1614" t="n">
        <v>3</v>
      </c>
      <c r="AK1614" t="n">
        <v>4</v>
      </c>
      <c r="AL1614" t="n">
        <v>1</v>
      </c>
      <c r="AM1614" t="n">
        <v>1</v>
      </c>
      <c r="AN1614" t="n">
        <v>0</v>
      </c>
      <c r="AO1614" t="n">
        <v>0</v>
      </c>
      <c r="AP1614" t="inlineStr">
        <is>
          <t>No</t>
        </is>
      </c>
      <c r="AQ1614" t="inlineStr">
        <is>
          <t>Yes</t>
        </is>
      </c>
      <c r="AR1614">
        <f>HYPERLINK("http://catalog.hathitrust.org/Record/000925116","HathiTrust Record")</f>
        <v/>
      </c>
      <c r="AS1614">
        <f>HYPERLINK("https://creighton-primo.hosted.exlibrisgroup.com/primo-explore/search?tab=default_tab&amp;search_scope=EVERYTHING&amp;vid=01CRU&amp;lang=en_US&amp;offset=0&amp;query=any,contains,991001126529702656","Catalog Record")</f>
        <v/>
      </c>
      <c r="AT1614">
        <f>HYPERLINK("http://www.worldcat.org/oclc/16649272","WorldCat Record")</f>
        <v/>
      </c>
      <c r="AU1614" t="inlineStr">
        <is>
          <t>12866278:eng</t>
        </is>
      </c>
      <c r="AV1614" t="inlineStr">
        <is>
          <t>16649272</t>
        </is>
      </c>
      <c r="AW1614" t="inlineStr">
        <is>
          <t>991001126529702656</t>
        </is>
      </c>
      <c r="AX1614" t="inlineStr">
        <is>
          <t>991001126529702656</t>
        </is>
      </c>
      <c r="AY1614" t="inlineStr">
        <is>
          <t>2266219450002656</t>
        </is>
      </c>
      <c r="AZ1614" t="inlineStr">
        <is>
          <t>BOOK</t>
        </is>
      </c>
      <c r="BB1614" t="inlineStr">
        <is>
          <t>9780316383318</t>
        </is>
      </c>
      <c r="BC1614" t="inlineStr">
        <is>
          <t>32285001284123</t>
        </is>
      </c>
      <c r="BD1614" t="inlineStr">
        <is>
          <t>893602339</t>
        </is>
      </c>
    </row>
    <row r="1615">
      <c r="A1615" t="inlineStr">
        <is>
          <t>No</t>
        </is>
      </c>
      <c r="B1615" t="inlineStr">
        <is>
          <t>LC3981 .B32 1984</t>
        </is>
      </c>
      <c r="C1615" t="inlineStr">
        <is>
          <t>0                      LC 3981000B  32          1984</t>
        </is>
      </c>
      <c r="D1615" t="inlineStr">
        <is>
          <t>The bilingual special education interface / Leonard M. Baca, Hermes T. Cervantes.</t>
        </is>
      </c>
      <c r="F1615" t="inlineStr">
        <is>
          <t>No</t>
        </is>
      </c>
      <c r="G1615" t="inlineStr">
        <is>
          <t>1</t>
        </is>
      </c>
      <c r="H1615" t="inlineStr">
        <is>
          <t>No</t>
        </is>
      </c>
      <c r="I1615" t="inlineStr">
        <is>
          <t>No</t>
        </is>
      </c>
      <c r="J1615" t="inlineStr">
        <is>
          <t>0</t>
        </is>
      </c>
      <c r="K1615" t="inlineStr">
        <is>
          <t>Baca, Leonard.</t>
        </is>
      </c>
      <c r="L1615" t="inlineStr">
        <is>
          <t>St. Louis : Times Mirror/Mosby College Pub., 1984.</t>
        </is>
      </c>
      <c r="M1615" t="inlineStr">
        <is>
          <t>1984</t>
        </is>
      </c>
      <c r="O1615" t="inlineStr">
        <is>
          <t>eng</t>
        </is>
      </c>
      <c r="P1615" t="inlineStr">
        <is>
          <t>mou</t>
        </is>
      </c>
      <c r="R1615" t="inlineStr">
        <is>
          <t xml:space="preserve">LC </t>
        </is>
      </c>
      <c r="S1615" t="n">
        <v>2</v>
      </c>
      <c r="T1615" t="n">
        <v>2</v>
      </c>
      <c r="U1615" t="inlineStr">
        <is>
          <t>2003-12-11</t>
        </is>
      </c>
      <c r="V1615" t="inlineStr">
        <is>
          <t>2003-12-11</t>
        </is>
      </c>
      <c r="W1615" t="inlineStr">
        <is>
          <t>1992-08-31</t>
        </is>
      </c>
      <c r="X1615" t="inlineStr">
        <is>
          <t>1992-08-31</t>
        </is>
      </c>
      <c r="Y1615" t="n">
        <v>177</v>
      </c>
      <c r="Z1615" t="n">
        <v>149</v>
      </c>
      <c r="AA1615" t="n">
        <v>450</v>
      </c>
      <c r="AB1615" t="n">
        <v>1</v>
      </c>
      <c r="AC1615" t="n">
        <v>4</v>
      </c>
      <c r="AD1615" t="n">
        <v>0</v>
      </c>
      <c r="AE1615" t="n">
        <v>22</v>
      </c>
      <c r="AF1615" t="n">
        <v>0</v>
      </c>
      <c r="AG1615" t="n">
        <v>10</v>
      </c>
      <c r="AH1615" t="n">
        <v>0</v>
      </c>
      <c r="AI1615" t="n">
        <v>3</v>
      </c>
      <c r="AJ1615" t="n">
        <v>0</v>
      </c>
      <c r="AK1615" t="n">
        <v>13</v>
      </c>
      <c r="AL1615" t="n">
        <v>0</v>
      </c>
      <c r="AM1615" t="n">
        <v>3</v>
      </c>
      <c r="AN1615" t="n">
        <v>0</v>
      </c>
      <c r="AO1615" t="n">
        <v>0</v>
      </c>
      <c r="AP1615" t="inlineStr">
        <is>
          <t>No</t>
        </is>
      </c>
      <c r="AQ1615" t="inlineStr">
        <is>
          <t>Yes</t>
        </is>
      </c>
      <c r="AR1615">
        <f>HYPERLINK("http://catalog.hathitrust.org/Record/101151163","HathiTrust Record")</f>
        <v/>
      </c>
      <c r="AS1615">
        <f>HYPERLINK("https://creighton-primo.hosted.exlibrisgroup.com/primo-explore/search?tab=default_tab&amp;search_scope=EVERYTHING&amp;vid=01CRU&amp;lang=en_US&amp;offset=0&amp;query=any,contains,991000257989702656","Catalog Record")</f>
        <v/>
      </c>
      <c r="AT1615">
        <f>HYPERLINK("http://www.worldcat.org/oclc/9784852","WorldCat Record")</f>
        <v/>
      </c>
      <c r="AU1615" t="inlineStr">
        <is>
          <t>594058:eng</t>
        </is>
      </c>
      <c r="AV1615" t="inlineStr">
        <is>
          <t>9784852</t>
        </is>
      </c>
      <c r="AW1615" t="inlineStr">
        <is>
          <t>991000257989702656</t>
        </is>
      </c>
      <c r="AX1615" t="inlineStr">
        <is>
          <t>991000257989702656</t>
        </is>
      </c>
      <c r="AY1615" t="inlineStr">
        <is>
          <t>2268817450002656</t>
        </is>
      </c>
      <c r="AZ1615" t="inlineStr">
        <is>
          <t>BOOK</t>
        </is>
      </c>
      <c r="BB1615" t="inlineStr">
        <is>
          <t>9780801604256</t>
        </is>
      </c>
      <c r="BC1615" t="inlineStr">
        <is>
          <t>32285001284149</t>
        </is>
      </c>
      <c r="BD1615" t="inlineStr">
        <is>
          <t>893502368</t>
        </is>
      </c>
    </row>
    <row r="1616">
      <c r="A1616" t="inlineStr">
        <is>
          <t>No</t>
        </is>
      </c>
      <c r="B1616" t="inlineStr">
        <is>
          <t>LC3981 .R45 1988</t>
        </is>
      </c>
      <c r="C1616" t="inlineStr">
        <is>
          <t>0                      LC 3981000R  45          1988</t>
        </is>
      </c>
      <c r="D1616" t="inlineStr">
        <is>
          <t>Adaptive mainstreaming : a primer for teachers and principals / Maynard C. Reynolds, Jack W. Birch.</t>
        </is>
      </c>
      <c r="F1616" t="inlineStr">
        <is>
          <t>No</t>
        </is>
      </c>
      <c r="G1616" t="inlineStr">
        <is>
          <t>1</t>
        </is>
      </c>
      <c r="H1616" t="inlineStr">
        <is>
          <t>No</t>
        </is>
      </c>
      <c r="I1616" t="inlineStr">
        <is>
          <t>No</t>
        </is>
      </c>
      <c r="J1616" t="inlineStr">
        <is>
          <t>0</t>
        </is>
      </c>
      <c r="K1616" t="inlineStr">
        <is>
          <t>Reynolds, Maynard C., 1922-2012.</t>
        </is>
      </c>
      <c r="L1616" t="inlineStr">
        <is>
          <t>New York : Longman, c1988.</t>
        </is>
      </c>
      <c r="M1616" t="inlineStr">
        <is>
          <t>1988</t>
        </is>
      </c>
      <c r="N1616" t="inlineStr">
        <is>
          <t>3rd ed.</t>
        </is>
      </c>
      <c r="O1616" t="inlineStr">
        <is>
          <t>eng</t>
        </is>
      </c>
      <c r="P1616" t="inlineStr">
        <is>
          <t>nyu</t>
        </is>
      </c>
      <c r="R1616" t="inlineStr">
        <is>
          <t xml:space="preserve">LC </t>
        </is>
      </c>
      <c r="S1616" t="n">
        <v>8</v>
      </c>
      <c r="T1616" t="n">
        <v>8</v>
      </c>
      <c r="U1616" t="inlineStr">
        <is>
          <t>1999-03-02</t>
        </is>
      </c>
      <c r="V1616" t="inlineStr">
        <is>
          <t>1999-03-02</t>
        </is>
      </c>
      <c r="W1616" t="inlineStr">
        <is>
          <t>1992-09-01</t>
        </is>
      </c>
      <c r="X1616" t="inlineStr">
        <is>
          <t>1992-09-01</t>
        </is>
      </c>
      <c r="Y1616" t="n">
        <v>356</v>
      </c>
      <c r="Z1616" t="n">
        <v>312</v>
      </c>
      <c r="AA1616" t="n">
        <v>317</v>
      </c>
      <c r="AB1616" t="n">
        <v>4</v>
      </c>
      <c r="AC1616" t="n">
        <v>4</v>
      </c>
      <c r="AD1616" t="n">
        <v>13</v>
      </c>
      <c r="AE1616" t="n">
        <v>14</v>
      </c>
      <c r="AF1616" t="n">
        <v>3</v>
      </c>
      <c r="AG1616" t="n">
        <v>4</v>
      </c>
      <c r="AH1616" t="n">
        <v>2</v>
      </c>
      <c r="AI1616" t="n">
        <v>2</v>
      </c>
      <c r="AJ1616" t="n">
        <v>8</v>
      </c>
      <c r="AK1616" t="n">
        <v>9</v>
      </c>
      <c r="AL1616" t="n">
        <v>3</v>
      </c>
      <c r="AM1616" t="n">
        <v>3</v>
      </c>
      <c r="AN1616" t="n">
        <v>0</v>
      </c>
      <c r="AO1616" t="n">
        <v>0</v>
      </c>
      <c r="AP1616" t="inlineStr">
        <is>
          <t>No</t>
        </is>
      </c>
      <c r="AQ1616" t="inlineStr">
        <is>
          <t>Yes</t>
        </is>
      </c>
      <c r="AR1616">
        <f>HYPERLINK("http://catalog.hathitrust.org/Record/004496422","HathiTrust Record")</f>
        <v/>
      </c>
      <c r="AS1616">
        <f>HYPERLINK("https://creighton-primo.hosted.exlibrisgroup.com/primo-explore/search?tab=default_tab&amp;search_scope=EVERYTHING&amp;vid=01CRU&amp;lang=en_US&amp;offset=0&amp;query=any,contains,991001114209702656","Catalog Record")</f>
        <v/>
      </c>
      <c r="AT1616">
        <f>HYPERLINK("http://www.worldcat.org/oclc/16523567","WorldCat Record")</f>
        <v/>
      </c>
      <c r="AU1616" t="inlineStr">
        <is>
          <t>1020769691:eng</t>
        </is>
      </c>
      <c r="AV1616" t="inlineStr">
        <is>
          <t>16523567</t>
        </is>
      </c>
      <c r="AW1616" t="inlineStr">
        <is>
          <t>991001114209702656</t>
        </is>
      </c>
      <c r="AX1616" t="inlineStr">
        <is>
          <t>991001114209702656</t>
        </is>
      </c>
      <c r="AY1616" t="inlineStr">
        <is>
          <t>2272183550002656</t>
        </is>
      </c>
      <c r="AZ1616" t="inlineStr">
        <is>
          <t>BOOK</t>
        </is>
      </c>
      <c r="BB1616" t="inlineStr">
        <is>
          <t>9780582285040</t>
        </is>
      </c>
      <c r="BC1616" t="inlineStr">
        <is>
          <t>32285001305134</t>
        </is>
      </c>
      <c r="BD1616" t="inlineStr">
        <is>
          <t>893432605</t>
        </is>
      </c>
    </row>
    <row r="1617">
      <c r="A1617" t="inlineStr">
        <is>
          <t>No</t>
        </is>
      </c>
      <c r="B1617" t="inlineStr">
        <is>
          <t>LC3986.G7 H44 1987</t>
        </is>
      </c>
      <c r="C1617" t="inlineStr">
        <is>
          <t>0                      LC 3986000G  7                  H  44          1987</t>
        </is>
      </c>
      <c r="D1617" t="inlineStr">
        <is>
          <t>Meeting special needs in ordinary schools : an overview / Seamus Hegarty.</t>
        </is>
      </c>
      <c r="F1617" t="inlineStr">
        <is>
          <t>No</t>
        </is>
      </c>
      <c r="G1617" t="inlineStr">
        <is>
          <t>1</t>
        </is>
      </c>
      <c r="H1617" t="inlineStr">
        <is>
          <t>No</t>
        </is>
      </c>
      <c r="I1617" t="inlineStr">
        <is>
          <t>No</t>
        </is>
      </c>
      <c r="J1617" t="inlineStr">
        <is>
          <t>0</t>
        </is>
      </c>
      <c r="K1617" t="inlineStr">
        <is>
          <t>Hegarty, Seamus.</t>
        </is>
      </c>
      <c r="L1617" t="inlineStr">
        <is>
          <t>London : Cassell, 1987.</t>
        </is>
      </c>
      <c r="M1617" t="inlineStr">
        <is>
          <t>1987</t>
        </is>
      </c>
      <c r="O1617" t="inlineStr">
        <is>
          <t>eng</t>
        </is>
      </c>
      <c r="P1617" t="inlineStr">
        <is>
          <t>enk</t>
        </is>
      </c>
      <c r="Q1617" t="inlineStr">
        <is>
          <t>Special needs in ordinary schools</t>
        </is>
      </c>
      <c r="R1617" t="inlineStr">
        <is>
          <t xml:space="preserve">LC </t>
        </is>
      </c>
      <c r="S1617" t="n">
        <v>4</v>
      </c>
      <c r="T1617" t="n">
        <v>4</v>
      </c>
      <c r="U1617" t="inlineStr">
        <is>
          <t>1997-12-02</t>
        </is>
      </c>
      <c r="V1617" t="inlineStr">
        <is>
          <t>1997-12-02</t>
        </is>
      </c>
      <c r="W1617" t="inlineStr">
        <is>
          <t>1992-09-01</t>
        </is>
      </c>
      <c r="X1617" t="inlineStr">
        <is>
          <t>1992-09-01</t>
        </is>
      </c>
      <c r="Y1617" t="n">
        <v>240</v>
      </c>
      <c r="Z1617" t="n">
        <v>127</v>
      </c>
      <c r="AA1617" t="n">
        <v>199</v>
      </c>
      <c r="AB1617" t="n">
        <v>2</v>
      </c>
      <c r="AC1617" t="n">
        <v>2</v>
      </c>
      <c r="AD1617" t="n">
        <v>6</v>
      </c>
      <c r="AE1617" t="n">
        <v>11</v>
      </c>
      <c r="AF1617" t="n">
        <v>3</v>
      </c>
      <c r="AG1617" t="n">
        <v>6</v>
      </c>
      <c r="AH1617" t="n">
        <v>1</v>
      </c>
      <c r="AI1617" t="n">
        <v>2</v>
      </c>
      <c r="AJ1617" t="n">
        <v>3</v>
      </c>
      <c r="AK1617" t="n">
        <v>6</v>
      </c>
      <c r="AL1617" t="n">
        <v>1</v>
      </c>
      <c r="AM1617" t="n">
        <v>1</v>
      </c>
      <c r="AN1617" t="n">
        <v>0</v>
      </c>
      <c r="AO1617" t="n">
        <v>0</v>
      </c>
      <c r="AP1617" t="inlineStr">
        <is>
          <t>No</t>
        </is>
      </c>
      <c r="AQ1617" t="inlineStr">
        <is>
          <t>No</t>
        </is>
      </c>
      <c r="AS1617">
        <f>HYPERLINK("https://creighton-primo.hosted.exlibrisgroup.com/primo-explore/search?tab=default_tab&amp;search_scope=EVERYTHING&amp;vid=01CRU&amp;lang=en_US&amp;offset=0&amp;query=any,contains,991001010399702656","Catalog Record")</f>
        <v/>
      </c>
      <c r="AT1617">
        <f>HYPERLINK("http://www.worldcat.org/oclc/20057518","WorldCat Record")</f>
        <v/>
      </c>
      <c r="AU1617" t="inlineStr">
        <is>
          <t>93860:eng</t>
        </is>
      </c>
      <c r="AV1617" t="inlineStr">
        <is>
          <t>20057518</t>
        </is>
      </c>
      <c r="AW1617" t="inlineStr">
        <is>
          <t>991001010399702656</t>
        </is>
      </c>
      <c r="AX1617" t="inlineStr">
        <is>
          <t>991001010399702656</t>
        </is>
      </c>
      <c r="AY1617" t="inlineStr">
        <is>
          <t>2265896020002656</t>
        </is>
      </c>
      <c r="AZ1617" t="inlineStr">
        <is>
          <t>BOOK</t>
        </is>
      </c>
      <c r="BB1617" t="inlineStr">
        <is>
          <t>9780304313860</t>
        </is>
      </c>
      <c r="BC1617" t="inlineStr">
        <is>
          <t>32285001305191</t>
        </is>
      </c>
      <c r="BD1617" t="inlineStr">
        <is>
          <t>893596110</t>
        </is>
      </c>
    </row>
    <row r="1618">
      <c r="A1618" t="inlineStr">
        <is>
          <t>No</t>
        </is>
      </c>
      <c r="B1618" t="inlineStr">
        <is>
          <t>LC3986.G7 H63 1984</t>
        </is>
      </c>
      <c r="C1618" t="inlineStr">
        <is>
          <t>0                      LC 3986000G  7                  H  63          1984</t>
        </is>
      </c>
      <c r="D1618" t="inlineStr">
        <is>
          <t>Learning together : teaching pupils with special educational needs in the ordinary school / Ann Hodgson, Louise Clunies-Ross, Seamus Hegarty.</t>
        </is>
      </c>
      <c r="F1618" t="inlineStr">
        <is>
          <t>No</t>
        </is>
      </c>
      <c r="G1618" t="inlineStr">
        <is>
          <t>1</t>
        </is>
      </c>
      <c r="H1618" t="inlineStr">
        <is>
          <t>No</t>
        </is>
      </c>
      <c r="I1618" t="inlineStr">
        <is>
          <t>No</t>
        </is>
      </c>
      <c r="J1618" t="inlineStr">
        <is>
          <t>0</t>
        </is>
      </c>
      <c r="K1618" t="inlineStr">
        <is>
          <t>Hodgson, Ann.</t>
        </is>
      </c>
      <c r="L1618" t="inlineStr">
        <is>
          <t>Windsor : NFER-Nelson, c1984, 1985 printing.</t>
        </is>
      </c>
      <c r="M1618" t="inlineStr">
        <is>
          <t>1984</t>
        </is>
      </c>
      <c r="O1618" t="inlineStr">
        <is>
          <t>eng</t>
        </is>
      </c>
      <c r="P1618" t="inlineStr">
        <is>
          <t>enk</t>
        </is>
      </c>
      <c r="R1618" t="inlineStr">
        <is>
          <t xml:space="preserve">LC </t>
        </is>
      </c>
      <c r="S1618" t="n">
        <v>8</v>
      </c>
      <c r="T1618" t="n">
        <v>8</v>
      </c>
      <c r="U1618" t="inlineStr">
        <is>
          <t>2004-03-04</t>
        </is>
      </c>
      <c r="V1618" t="inlineStr">
        <is>
          <t>2004-03-04</t>
        </is>
      </c>
      <c r="W1618" t="inlineStr">
        <is>
          <t>1992-09-01</t>
        </is>
      </c>
      <c r="X1618" t="inlineStr">
        <is>
          <t>1992-09-01</t>
        </is>
      </c>
      <c r="Y1618" t="n">
        <v>214</v>
      </c>
      <c r="Z1618" t="n">
        <v>109</v>
      </c>
      <c r="AA1618" t="n">
        <v>112</v>
      </c>
      <c r="AB1618" t="n">
        <v>1</v>
      </c>
      <c r="AC1618" t="n">
        <v>1</v>
      </c>
      <c r="AD1618" t="n">
        <v>0</v>
      </c>
      <c r="AE1618" t="n">
        <v>0</v>
      </c>
      <c r="AF1618" t="n">
        <v>0</v>
      </c>
      <c r="AG1618" t="n">
        <v>0</v>
      </c>
      <c r="AH1618" t="n">
        <v>0</v>
      </c>
      <c r="AI1618" t="n">
        <v>0</v>
      </c>
      <c r="AJ1618" t="n">
        <v>0</v>
      </c>
      <c r="AK1618" t="n">
        <v>0</v>
      </c>
      <c r="AL1618" t="n">
        <v>0</v>
      </c>
      <c r="AM1618" t="n">
        <v>0</v>
      </c>
      <c r="AN1618" t="n">
        <v>0</v>
      </c>
      <c r="AO1618" t="n">
        <v>0</v>
      </c>
      <c r="AP1618" t="inlineStr">
        <is>
          <t>No</t>
        </is>
      </c>
      <c r="AQ1618" t="inlineStr">
        <is>
          <t>No</t>
        </is>
      </c>
      <c r="AS1618">
        <f>HYPERLINK("https://creighton-primo.hosted.exlibrisgroup.com/primo-explore/search?tab=default_tab&amp;search_scope=EVERYTHING&amp;vid=01CRU&amp;lang=en_US&amp;offset=0&amp;query=any,contains,991000608739702656","Catalog Record")</f>
        <v/>
      </c>
      <c r="AT1618">
        <f>HYPERLINK("http://www.worldcat.org/oclc/14241818","WorldCat Record")</f>
        <v/>
      </c>
      <c r="AU1618" t="inlineStr">
        <is>
          <t>291193894:eng</t>
        </is>
      </c>
      <c r="AV1618" t="inlineStr">
        <is>
          <t>14241818</t>
        </is>
      </c>
      <c r="AW1618" t="inlineStr">
        <is>
          <t>991000608739702656</t>
        </is>
      </c>
      <c r="AX1618" t="inlineStr">
        <is>
          <t>991000608739702656</t>
        </is>
      </c>
      <c r="AY1618" t="inlineStr">
        <is>
          <t>2267528370002656</t>
        </is>
      </c>
      <c r="AZ1618" t="inlineStr">
        <is>
          <t>BOOK</t>
        </is>
      </c>
      <c r="BB1618" t="inlineStr">
        <is>
          <t>9780700506620</t>
        </is>
      </c>
      <c r="BC1618" t="inlineStr">
        <is>
          <t>32285001305209</t>
        </is>
      </c>
      <c r="BD1618" t="inlineStr">
        <is>
          <t>893438413</t>
        </is>
      </c>
    </row>
    <row r="1619">
      <c r="A1619" t="inlineStr">
        <is>
          <t>No</t>
        </is>
      </c>
      <c r="B1619" t="inlineStr">
        <is>
          <t>LC3993 .D38 1985</t>
        </is>
      </c>
      <c r="C1619" t="inlineStr">
        <is>
          <t>0                      LC 3993000D  38          1985</t>
        </is>
      </c>
      <c r="D1619" t="inlineStr">
        <is>
          <t>Education of the gifted and talented / Gary A. Davis, Sylvia B. Rimm.</t>
        </is>
      </c>
      <c r="F1619" t="inlineStr">
        <is>
          <t>No</t>
        </is>
      </c>
      <c r="G1619" t="inlineStr">
        <is>
          <t>1</t>
        </is>
      </c>
      <c r="H1619" t="inlineStr">
        <is>
          <t>No</t>
        </is>
      </c>
      <c r="I1619" t="inlineStr">
        <is>
          <t>No</t>
        </is>
      </c>
      <c r="J1619" t="inlineStr">
        <is>
          <t>0</t>
        </is>
      </c>
      <c r="K1619" t="inlineStr">
        <is>
          <t>Davis, Gary A., 1938-</t>
        </is>
      </c>
      <c r="L1619" t="inlineStr">
        <is>
          <t>Englewood Cliffs, N.J. : Prentice-Hall, c1985.</t>
        </is>
      </c>
      <c r="M1619" t="inlineStr">
        <is>
          <t>1985</t>
        </is>
      </c>
      <c r="O1619" t="inlineStr">
        <is>
          <t>eng</t>
        </is>
      </c>
      <c r="P1619" t="inlineStr">
        <is>
          <t>nju</t>
        </is>
      </c>
      <c r="R1619" t="inlineStr">
        <is>
          <t xml:space="preserve">LC </t>
        </is>
      </c>
      <c r="S1619" t="n">
        <v>5</v>
      </c>
      <c r="T1619" t="n">
        <v>5</v>
      </c>
      <c r="U1619" t="inlineStr">
        <is>
          <t>2004-03-04</t>
        </is>
      </c>
      <c r="V1619" t="inlineStr">
        <is>
          <t>2004-03-04</t>
        </is>
      </c>
      <c r="W1619" t="inlineStr">
        <is>
          <t>1990-03-01</t>
        </is>
      </c>
      <c r="X1619" t="inlineStr">
        <is>
          <t>1990-03-01</t>
        </is>
      </c>
      <c r="Y1619" t="n">
        <v>369</v>
      </c>
      <c r="Z1619" t="n">
        <v>284</v>
      </c>
      <c r="AA1619" t="n">
        <v>746</v>
      </c>
      <c r="AB1619" t="n">
        <v>2</v>
      </c>
      <c r="AC1619" t="n">
        <v>9</v>
      </c>
      <c r="AD1619" t="n">
        <v>7</v>
      </c>
      <c r="AE1619" t="n">
        <v>35</v>
      </c>
      <c r="AF1619" t="n">
        <v>2</v>
      </c>
      <c r="AG1619" t="n">
        <v>15</v>
      </c>
      <c r="AH1619" t="n">
        <v>2</v>
      </c>
      <c r="AI1619" t="n">
        <v>3</v>
      </c>
      <c r="AJ1619" t="n">
        <v>4</v>
      </c>
      <c r="AK1619" t="n">
        <v>15</v>
      </c>
      <c r="AL1619" t="n">
        <v>1</v>
      </c>
      <c r="AM1619" t="n">
        <v>8</v>
      </c>
      <c r="AN1619" t="n">
        <v>0</v>
      </c>
      <c r="AO1619" t="n">
        <v>0</v>
      </c>
      <c r="AP1619" t="inlineStr">
        <is>
          <t>No</t>
        </is>
      </c>
      <c r="AQ1619" t="inlineStr">
        <is>
          <t>No</t>
        </is>
      </c>
      <c r="AS1619">
        <f>HYPERLINK("https://creighton-primo.hosted.exlibrisgroup.com/primo-explore/search?tab=default_tab&amp;search_scope=EVERYTHING&amp;vid=01CRU&amp;lang=en_US&amp;offset=0&amp;query=any,contains,991000430539702656","Catalog Record")</f>
        <v/>
      </c>
      <c r="AT1619">
        <f>HYPERLINK("http://www.worldcat.org/oclc/10778556","WorldCat Record")</f>
        <v/>
      </c>
      <c r="AU1619" t="inlineStr">
        <is>
          <t>600805:eng</t>
        </is>
      </c>
      <c r="AV1619" t="inlineStr">
        <is>
          <t>10778556</t>
        </is>
      </c>
      <c r="AW1619" t="inlineStr">
        <is>
          <t>991000430539702656</t>
        </is>
      </c>
      <c r="AX1619" t="inlineStr">
        <is>
          <t>991000430539702656</t>
        </is>
      </c>
      <c r="AY1619" t="inlineStr">
        <is>
          <t>2268060530002656</t>
        </is>
      </c>
      <c r="AZ1619" t="inlineStr">
        <is>
          <t>BOOK</t>
        </is>
      </c>
      <c r="BB1619" t="inlineStr">
        <is>
          <t>9780132365970</t>
        </is>
      </c>
      <c r="BC1619" t="inlineStr">
        <is>
          <t>32285000074939</t>
        </is>
      </c>
      <c r="BD1619" t="inlineStr">
        <is>
          <t>893345651</t>
        </is>
      </c>
    </row>
    <row r="1620">
      <c r="A1620" t="inlineStr">
        <is>
          <t>No</t>
        </is>
      </c>
      <c r="B1620" t="inlineStr">
        <is>
          <t>LC3993 .L43 1985</t>
        </is>
      </c>
      <c r="C1620" t="inlineStr">
        <is>
          <t>0                      LC 3993000L  43          1985</t>
        </is>
      </c>
      <c r="D1620" t="inlineStr">
        <is>
          <t>Helping the child of exceptional ability / Susan Leyden.</t>
        </is>
      </c>
      <c r="F1620" t="inlineStr">
        <is>
          <t>No</t>
        </is>
      </c>
      <c r="G1620" t="inlineStr">
        <is>
          <t>1</t>
        </is>
      </c>
      <c r="H1620" t="inlineStr">
        <is>
          <t>No</t>
        </is>
      </c>
      <c r="I1620" t="inlineStr">
        <is>
          <t>No</t>
        </is>
      </c>
      <c r="J1620" t="inlineStr">
        <is>
          <t>0</t>
        </is>
      </c>
      <c r="K1620" t="inlineStr">
        <is>
          <t>Leyden, Susan, 1941-</t>
        </is>
      </c>
      <c r="L1620" t="inlineStr">
        <is>
          <t>London ; Dover, N.H. : Croom Helm, c1985.</t>
        </is>
      </c>
      <c r="M1620" t="inlineStr">
        <is>
          <t>1985</t>
        </is>
      </c>
      <c r="O1620" t="inlineStr">
        <is>
          <t>eng</t>
        </is>
      </c>
      <c r="P1620" t="inlineStr">
        <is>
          <t>enk</t>
        </is>
      </c>
      <c r="Q1620" t="inlineStr">
        <is>
          <t>Croom Helm special education series</t>
        </is>
      </c>
      <c r="R1620" t="inlineStr">
        <is>
          <t xml:space="preserve">LC </t>
        </is>
      </c>
      <c r="S1620" t="n">
        <v>5</v>
      </c>
      <c r="T1620" t="n">
        <v>5</v>
      </c>
      <c r="U1620" t="inlineStr">
        <is>
          <t>2006-05-30</t>
        </is>
      </c>
      <c r="V1620" t="inlineStr">
        <is>
          <t>2006-05-30</t>
        </is>
      </c>
      <c r="W1620" t="inlineStr">
        <is>
          <t>1990-07-19</t>
        </is>
      </c>
      <c r="X1620" t="inlineStr">
        <is>
          <t>1990-07-19</t>
        </is>
      </c>
      <c r="Y1620" t="n">
        <v>296</v>
      </c>
      <c r="Z1620" t="n">
        <v>161</v>
      </c>
      <c r="AA1620" t="n">
        <v>188</v>
      </c>
      <c r="AB1620" t="n">
        <v>4</v>
      </c>
      <c r="AC1620" t="n">
        <v>4</v>
      </c>
      <c r="AD1620" t="n">
        <v>3</v>
      </c>
      <c r="AE1620" t="n">
        <v>3</v>
      </c>
      <c r="AF1620" t="n">
        <v>0</v>
      </c>
      <c r="AG1620" t="n">
        <v>0</v>
      </c>
      <c r="AH1620" t="n">
        <v>0</v>
      </c>
      <c r="AI1620" t="n">
        <v>0</v>
      </c>
      <c r="AJ1620" t="n">
        <v>0</v>
      </c>
      <c r="AK1620" t="n">
        <v>0</v>
      </c>
      <c r="AL1620" t="n">
        <v>3</v>
      </c>
      <c r="AM1620" t="n">
        <v>3</v>
      </c>
      <c r="AN1620" t="n">
        <v>0</v>
      </c>
      <c r="AO1620" t="n">
        <v>0</v>
      </c>
      <c r="AP1620" t="inlineStr">
        <is>
          <t>No</t>
        </is>
      </c>
      <c r="AQ1620" t="inlineStr">
        <is>
          <t>No</t>
        </is>
      </c>
      <c r="AS1620">
        <f>HYPERLINK("https://creighton-primo.hosted.exlibrisgroup.com/primo-explore/search?tab=default_tab&amp;search_scope=EVERYTHING&amp;vid=01CRU&amp;lang=en_US&amp;offset=0&amp;query=any,contains,991000588219702656","Catalog Record")</f>
        <v/>
      </c>
      <c r="AT1620">
        <f>HYPERLINK("http://www.worldcat.org/oclc/11782957","WorldCat Record")</f>
        <v/>
      </c>
      <c r="AU1620" t="inlineStr">
        <is>
          <t>4596926:eng</t>
        </is>
      </c>
      <c r="AV1620" t="inlineStr">
        <is>
          <t>11782957</t>
        </is>
      </c>
      <c r="AW1620" t="inlineStr">
        <is>
          <t>991000588219702656</t>
        </is>
      </c>
      <c r="AX1620" t="inlineStr">
        <is>
          <t>991000588219702656</t>
        </is>
      </c>
      <c r="AY1620" t="inlineStr">
        <is>
          <t>2254849260002656</t>
        </is>
      </c>
      <c r="AZ1620" t="inlineStr">
        <is>
          <t>BOOK</t>
        </is>
      </c>
      <c r="BB1620" t="inlineStr">
        <is>
          <t>9780709916352</t>
        </is>
      </c>
      <c r="BC1620" t="inlineStr">
        <is>
          <t>32285000239847</t>
        </is>
      </c>
      <c r="BD1620" t="inlineStr">
        <is>
          <t>893502605</t>
        </is>
      </c>
    </row>
    <row r="1621">
      <c r="A1621" t="inlineStr">
        <is>
          <t>No</t>
        </is>
      </c>
      <c r="B1621" t="inlineStr">
        <is>
          <t>LC3993 .M29</t>
        </is>
      </c>
      <c r="C1621" t="inlineStr">
        <is>
          <t>0                      LC 3993000M  29</t>
        </is>
      </c>
      <c r="D1621" t="inlineStr">
        <is>
          <t>Curriculum development for the gifted / C. June Maker.</t>
        </is>
      </c>
      <c r="F1621" t="inlineStr">
        <is>
          <t>No</t>
        </is>
      </c>
      <c r="G1621" t="inlineStr">
        <is>
          <t>1</t>
        </is>
      </c>
      <c r="H1621" t="inlineStr">
        <is>
          <t>No</t>
        </is>
      </c>
      <c r="I1621" t="inlineStr">
        <is>
          <t>No</t>
        </is>
      </c>
      <c r="J1621" t="inlineStr">
        <is>
          <t>0</t>
        </is>
      </c>
      <c r="K1621" t="inlineStr">
        <is>
          <t>Maker, C. June.</t>
        </is>
      </c>
      <c r="L1621" t="inlineStr">
        <is>
          <t>Rockville, Md. : Aspen Systems Corp., 1982.</t>
        </is>
      </c>
      <c r="M1621" t="inlineStr">
        <is>
          <t>1982</t>
        </is>
      </c>
      <c r="O1621" t="inlineStr">
        <is>
          <t>eng</t>
        </is>
      </c>
      <c r="P1621" t="inlineStr">
        <is>
          <t>mdu</t>
        </is>
      </c>
      <c r="R1621" t="inlineStr">
        <is>
          <t xml:space="preserve">LC </t>
        </is>
      </c>
      <c r="S1621" t="n">
        <v>2</v>
      </c>
      <c r="T1621" t="n">
        <v>2</v>
      </c>
      <c r="U1621" t="inlineStr">
        <is>
          <t>1994-04-07</t>
        </is>
      </c>
      <c r="V1621" t="inlineStr">
        <is>
          <t>1994-04-07</t>
        </is>
      </c>
      <c r="W1621" t="inlineStr">
        <is>
          <t>1990-07-11</t>
        </is>
      </c>
      <c r="X1621" t="inlineStr">
        <is>
          <t>1990-07-11</t>
        </is>
      </c>
      <c r="Y1621" t="n">
        <v>453</v>
      </c>
      <c r="Z1621" t="n">
        <v>388</v>
      </c>
      <c r="AA1621" t="n">
        <v>405</v>
      </c>
      <c r="AB1621" t="n">
        <v>6</v>
      </c>
      <c r="AC1621" t="n">
        <v>6</v>
      </c>
      <c r="AD1621" t="n">
        <v>16</v>
      </c>
      <c r="AE1621" t="n">
        <v>16</v>
      </c>
      <c r="AF1621" t="n">
        <v>4</v>
      </c>
      <c r="AG1621" t="n">
        <v>4</v>
      </c>
      <c r="AH1621" t="n">
        <v>2</v>
      </c>
      <c r="AI1621" t="n">
        <v>2</v>
      </c>
      <c r="AJ1621" t="n">
        <v>6</v>
      </c>
      <c r="AK1621" t="n">
        <v>6</v>
      </c>
      <c r="AL1621" t="n">
        <v>5</v>
      </c>
      <c r="AM1621" t="n">
        <v>5</v>
      </c>
      <c r="AN1621" t="n">
        <v>0</v>
      </c>
      <c r="AO1621" t="n">
        <v>0</v>
      </c>
      <c r="AP1621" t="inlineStr">
        <is>
          <t>No</t>
        </is>
      </c>
      <c r="AQ1621" t="inlineStr">
        <is>
          <t>No</t>
        </is>
      </c>
      <c r="AS1621">
        <f>HYPERLINK("https://creighton-primo.hosted.exlibrisgroup.com/primo-explore/search?tab=default_tab&amp;search_scope=EVERYTHING&amp;vid=01CRU&amp;lang=en_US&amp;offset=0&amp;query=any,contains,991005167689702656","Catalog Record")</f>
        <v/>
      </c>
      <c r="AT1621">
        <f>HYPERLINK("http://www.worldcat.org/oclc/7836948","WorldCat Record")</f>
        <v/>
      </c>
      <c r="AU1621" t="inlineStr">
        <is>
          <t>1173631098:eng</t>
        </is>
      </c>
      <c r="AV1621" t="inlineStr">
        <is>
          <t>7836948</t>
        </is>
      </c>
      <c r="AW1621" t="inlineStr">
        <is>
          <t>991005167689702656</t>
        </is>
      </c>
      <c r="AX1621" t="inlineStr">
        <is>
          <t>991005167689702656</t>
        </is>
      </c>
      <c r="AY1621" t="inlineStr">
        <is>
          <t>2256485260002656</t>
        </is>
      </c>
      <c r="AZ1621" t="inlineStr">
        <is>
          <t>BOOK</t>
        </is>
      </c>
      <c r="BB1621" t="inlineStr">
        <is>
          <t>9780894433474</t>
        </is>
      </c>
      <c r="BC1621" t="inlineStr">
        <is>
          <t>32285000223841</t>
        </is>
      </c>
      <c r="BD1621" t="inlineStr">
        <is>
          <t>893600734</t>
        </is>
      </c>
    </row>
    <row r="1622">
      <c r="A1622" t="inlineStr">
        <is>
          <t>No</t>
        </is>
      </c>
      <c r="B1622" t="inlineStr">
        <is>
          <t>LC3993 .M293 1982</t>
        </is>
      </c>
      <c r="C1622" t="inlineStr">
        <is>
          <t>0                      LC 3993000M  293         1982</t>
        </is>
      </c>
      <c r="D1622" t="inlineStr">
        <is>
          <t>Teaching models in education of the gifted / C. June Maker.</t>
        </is>
      </c>
      <c r="F1622" t="inlineStr">
        <is>
          <t>No</t>
        </is>
      </c>
      <c r="G1622" t="inlineStr">
        <is>
          <t>1</t>
        </is>
      </c>
      <c r="H1622" t="inlineStr">
        <is>
          <t>No</t>
        </is>
      </c>
      <c r="I1622" t="inlineStr">
        <is>
          <t>No</t>
        </is>
      </c>
      <c r="J1622" t="inlineStr">
        <is>
          <t>0</t>
        </is>
      </c>
      <c r="K1622" t="inlineStr">
        <is>
          <t>Maker, C. June.</t>
        </is>
      </c>
      <c r="L1622" t="inlineStr">
        <is>
          <t>Rockville, Md. : Aspen Systems Corp., 1982.</t>
        </is>
      </c>
      <c r="M1622" t="inlineStr">
        <is>
          <t>1982</t>
        </is>
      </c>
      <c r="O1622" t="inlineStr">
        <is>
          <t>eng</t>
        </is>
      </c>
      <c r="P1622" t="inlineStr">
        <is>
          <t>mdu</t>
        </is>
      </c>
      <c r="R1622" t="inlineStr">
        <is>
          <t xml:space="preserve">LC </t>
        </is>
      </c>
      <c r="S1622" t="n">
        <v>2</v>
      </c>
      <c r="T1622" t="n">
        <v>2</v>
      </c>
      <c r="U1622" t="inlineStr">
        <is>
          <t>2008-02-23</t>
        </is>
      </c>
      <c r="V1622" t="inlineStr">
        <is>
          <t>2008-02-23</t>
        </is>
      </c>
      <c r="W1622" t="inlineStr">
        <is>
          <t>1990-03-01</t>
        </is>
      </c>
      <c r="X1622" t="inlineStr">
        <is>
          <t>1990-03-01</t>
        </is>
      </c>
      <c r="Y1622" t="n">
        <v>432</v>
      </c>
      <c r="Z1622" t="n">
        <v>385</v>
      </c>
      <c r="AA1622" t="n">
        <v>567</v>
      </c>
      <c r="AB1622" t="n">
        <v>6</v>
      </c>
      <c r="AC1622" t="n">
        <v>8</v>
      </c>
      <c r="AD1622" t="n">
        <v>15</v>
      </c>
      <c r="AE1622" t="n">
        <v>25</v>
      </c>
      <c r="AF1622" t="n">
        <v>6</v>
      </c>
      <c r="AG1622" t="n">
        <v>10</v>
      </c>
      <c r="AH1622" t="n">
        <v>2</v>
      </c>
      <c r="AI1622" t="n">
        <v>2</v>
      </c>
      <c r="AJ1622" t="n">
        <v>4</v>
      </c>
      <c r="AK1622" t="n">
        <v>10</v>
      </c>
      <c r="AL1622" t="n">
        <v>5</v>
      </c>
      <c r="AM1622" t="n">
        <v>7</v>
      </c>
      <c r="AN1622" t="n">
        <v>0</v>
      </c>
      <c r="AO1622" t="n">
        <v>0</v>
      </c>
      <c r="AP1622" t="inlineStr">
        <is>
          <t>No</t>
        </is>
      </c>
      <c r="AQ1622" t="inlineStr">
        <is>
          <t>Yes</t>
        </is>
      </c>
      <c r="AR1622">
        <f>HYPERLINK("http://catalog.hathitrust.org/Record/000766688","HathiTrust Record")</f>
        <v/>
      </c>
      <c r="AS1622">
        <f>HYPERLINK("https://creighton-primo.hosted.exlibrisgroup.com/primo-explore/search?tab=default_tab&amp;search_scope=EVERYTHING&amp;vid=01CRU&amp;lang=en_US&amp;offset=0&amp;query=any,contains,991005210959702656","Catalog Record")</f>
        <v/>
      </c>
      <c r="AT1622">
        <f>HYPERLINK("http://www.worldcat.org/oclc/8168915","WorldCat Record")</f>
        <v/>
      </c>
      <c r="AU1622" t="inlineStr">
        <is>
          <t>547111:eng</t>
        </is>
      </c>
      <c r="AV1622" t="inlineStr">
        <is>
          <t>8168915</t>
        </is>
      </c>
      <c r="AW1622" t="inlineStr">
        <is>
          <t>991005210959702656</t>
        </is>
      </c>
      <c r="AX1622" t="inlineStr">
        <is>
          <t>991005210959702656</t>
        </is>
      </c>
      <c r="AY1622" t="inlineStr">
        <is>
          <t>2271862010002656</t>
        </is>
      </c>
      <c r="AZ1622" t="inlineStr">
        <is>
          <t>BOOK</t>
        </is>
      </c>
      <c r="BB1622" t="inlineStr">
        <is>
          <t>9780894436826</t>
        </is>
      </c>
      <c r="BC1622" t="inlineStr">
        <is>
          <t>32285000074947</t>
        </is>
      </c>
      <c r="BD1622" t="inlineStr">
        <is>
          <t>893418554</t>
        </is>
      </c>
    </row>
    <row r="1623">
      <c r="A1623" t="inlineStr">
        <is>
          <t>No</t>
        </is>
      </c>
      <c r="B1623" t="inlineStr">
        <is>
          <t>LC3993 .P36</t>
        </is>
      </c>
      <c r="C1623" t="inlineStr">
        <is>
          <t>0                      LC 3993000P  36</t>
        </is>
      </c>
      <c r="D1623" t="inlineStr">
        <is>
          <t>The developmental education and guidance of talented learners / Philip A. Perrone, Robert A. Male.</t>
        </is>
      </c>
      <c r="F1623" t="inlineStr">
        <is>
          <t>No</t>
        </is>
      </c>
      <c r="G1623" t="inlineStr">
        <is>
          <t>1</t>
        </is>
      </c>
      <c r="H1623" t="inlineStr">
        <is>
          <t>No</t>
        </is>
      </c>
      <c r="I1623" t="inlineStr">
        <is>
          <t>No</t>
        </is>
      </c>
      <c r="J1623" t="inlineStr">
        <is>
          <t>0</t>
        </is>
      </c>
      <c r="K1623" t="inlineStr">
        <is>
          <t>Perrone, Philip A.</t>
        </is>
      </c>
      <c r="L1623" t="inlineStr">
        <is>
          <t>Rockville, Md. : Aspen Systems Corp., 1981.</t>
        </is>
      </c>
      <c r="M1623" t="inlineStr">
        <is>
          <t>1981</t>
        </is>
      </c>
      <c r="O1623" t="inlineStr">
        <is>
          <t>eng</t>
        </is>
      </c>
      <c r="P1623" t="inlineStr">
        <is>
          <t>mdu</t>
        </is>
      </c>
      <c r="R1623" t="inlineStr">
        <is>
          <t xml:space="preserve">LC </t>
        </is>
      </c>
      <c r="S1623" t="n">
        <v>2</v>
      </c>
      <c r="T1623" t="n">
        <v>2</v>
      </c>
      <c r="U1623" t="inlineStr">
        <is>
          <t>2006-05-30</t>
        </is>
      </c>
      <c r="V1623" t="inlineStr">
        <is>
          <t>2006-05-30</t>
        </is>
      </c>
      <c r="W1623" t="inlineStr">
        <is>
          <t>1990-03-01</t>
        </is>
      </c>
      <c r="X1623" t="inlineStr">
        <is>
          <t>1990-03-01</t>
        </is>
      </c>
      <c r="Y1623" t="n">
        <v>493</v>
      </c>
      <c r="Z1623" t="n">
        <v>433</v>
      </c>
      <c r="AA1623" t="n">
        <v>434</v>
      </c>
      <c r="AB1623" t="n">
        <v>6</v>
      </c>
      <c r="AC1623" t="n">
        <v>6</v>
      </c>
      <c r="AD1623" t="n">
        <v>18</v>
      </c>
      <c r="AE1623" t="n">
        <v>18</v>
      </c>
      <c r="AF1623" t="n">
        <v>5</v>
      </c>
      <c r="AG1623" t="n">
        <v>5</v>
      </c>
      <c r="AH1623" t="n">
        <v>2</v>
      </c>
      <c r="AI1623" t="n">
        <v>2</v>
      </c>
      <c r="AJ1623" t="n">
        <v>9</v>
      </c>
      <c r="AK1623" t="n">
        <v>9</v>
      </c>
      <c r="AL1623" t="n">
        <v>5</v>
      </c>
      <c r="AM1623" t="n">
        <v>5</v>
      </c>
      <c r="AN1623" t="n">
        <v>0</v>
      </c>
      <c r="AO1623" t="n">
        <v>0</v>
      </c>
      <c r="AP1623" t="inlineStr">
        <is>
          <t>No</t>
        </is>
      </c>
      <c r="AQ1623" t="inlineStr">
        <is>
          <t>Yes</t>
        </is>
      </c>
      <c r="AR1623">
        <f>HYPERLINK("http://catalog.hathitrust.org/Record/000101892","HathiTrust Record")</f>
        <v/>
      </c>
      <c r="AS1623">
        <f>HYPERLINK("https://creighton-primo.hosted.exlibrisgroup.com/primo-explore/search?tab=default_tab&amp;search_scope=EVERYTHING&amp;vid=01CRU&amp;lang=en_US&amp;offset=0&amp;query=any,contains,991005114019702656","Catalog Record")</f>
        <v/>
      </c>
      <c r="AT1623">
        <f>HYPERLINK("http://www.worldcat.org/oclc/7460509","WorldCat Record")</f>
        <v/>
      </c>
      <c r="AU1623" t="inlineStr">
        <is>
          <t>551547:eng</t>
        </is>
      </c>
      <c r="AV1623" t="inlineStr">
        <is>
          <t>7460509</t>
        </is>
      </c>
      <c r="AW1623" t="inlineStr">
        <is>
          <t>991005114019702656</t>
        </is>
      </c>
      <c r="AX1623" t="inlineStr">
        <is>
          <t>991005114019702656</t>
        </is>
      </c>
      <c r="AY1623" t="inlineStr">
        <is>
          <t>2264478660002656</t>
        </is>
      </c>
      <c r="AZ1623" t="inlineStr">
        <is>
          <t>BOOK</t>
        </is>
      </c>
      <c r="BB1623" t="inlineStr">
        <is>
          <t>9780894433597</t>
        </is>
      </c>
      <c r="BC1623" t="inlineStr">
        <is>
          <t>32285000074954</t>
        </is>
      </c>
      <c r="BD1623" t="inlineStr">
        <is>
          <t>893536386</t>
        </is>
      </c>
    </row>
    <row r="1624">
      <c r="A1624" t="inlineStr">
        <is>
          <t>No</t>
        </is>
      </c>
      <c r="B1624" t="inlineStr">
        <is>
          <t>LC3993 .T83 1988</t>
        </is>
      </c>
      <c r="C1624" t="inlineStr">
        <is>
          <t>0                      LC 3993000T  83          1988</t>
        </is>
      </c>
      <c r="D1624" t="inlineStr">
        <is>
          <t>Characteristics and identification of gifted and talented students / by Frederick B. Tuttle, Jr., Laurence A. Becker, Joan Sousa.</t>
        </is>
      </c>
      <c r="F1624" t="inlineStr">
        <is>
          <t>No</t>
        </is>
      </c>
      <c r="G1624" t="inlineStr">
        <is>
          <t>1</t>
        </is>
      </c>
      <c r="H1624" t="inlineStr">
        <is>
          <t>No</t>
        </is>
      </c>
      <c r="I1624" t="inlineStr">
        <is>
          <t>No</t>
        </is>
      </c>
      <c r="J1624" t="inlineStr">
        <is>
          <t>0</t>
        </is>
      </c>
      <c r="K1624" t="inlineStr">
        <is>
          <t>Tuttle, Frederick B.</t>
        </is>
      </c>
      <c r="L1624" t="inlineStr">
        <is>
          <t>Washington, D.C. : NEA Professional Library, National Education Association, c1988.</t>
        </is>
      </c>
      <c r="M1624" t="inlineStr">
        <is>
          <t>1988</t>
        </is>
      </c>
      <c r="N1624" t="inlineStr">
        <is>
          <t>3rd ed.</t>
        </is>
      </c>
      <c r="O1624" t="inlineStr">
        <is>
          <t>eng</t>
        </is>
      </c>
      <c r="P1624" t="inlineStr">
        <is>
          <t>dcu</t>
        </is>
      </c>
      <c r="R1624" t="inlineStr">
        <is>
          <t xml:space="preserve">LC </t>
        </is>
      </c>
      <c r="S1624" t="n">
        <v>9</v>
      </c>
      <c r="T1624" t="n">
        <v>9</v>
      </c>
      <c r="U1624" t="inlineStr">
        <is>
          <t>2008-02-23</t>
        </is>
      </c>
      <c r="V1624" t="inlineStr">
        <is>
          <t>2008-02-23</t>
        </is>
      </c>
      <c r="W1624" t="inlineStr">
        <is>
          <t>1992-05-27</t>
        </is>
      </c>
      <c r="X1624" t="inlineStr">
        <is>
          <t>1992-05-27</t>
        </is>
      </c>
      <c r="Y1624" t="n">
        <v>366</v>
      </c>
      <c r="Z1624" t="n">
        <v>348</v>
      </c>
      <c r="AA1624" t="n">
        <v>616</v>
      </c>
      <c r="AB1624" t="n">
        <v>7</v>
      </c>
      <c r="AC1624" t="n">
        <v>8</v>
      </c>
      <c r="AD1624" t="n">
        <v>16</v>
      </c>
      <c r="AE1624" t="n">
        <v>22</v>
      </c>
      <c r="AF1624" t="n">
        <v>7</v>
      </c>
      <c r="AG1624" t="n">
        <v>9</v>
      </c>
      <c r="AH1624" t="n">
        <v>1</v>
      </c>
      <c r="AI1624" t="n">
        <v>2</v>
      </c>
      <c r="AJ1624" t="n">
        <v>7</v>
      </c>
      <c r="AK1624" t="n">
        <v>11</v>
      </c>
      <c r="AL1624" t="n">
        <v>6</v>
      </c>
      <c r="AM1624" t="n">
        <v>7</v>
      </c>
      <c r="AN1624" t="n">
        <v>0</v>
      </c>
      <c r="AO1624" t="n">
        <v>0</v>
      </c>
      <c r="AP1624" t="inlineStr">
        <is>
          <t>No</t>
        </is>
      </c>
      <c r="AQ1624" t="inlineStr">
        <is>
          <t>No</t>
        </is>
      </c>
      <c r="AS1624">
        <f>HYPERLINK("https://creighton-primo.hosted.exlibrisgroup.com/primo-explore/search?tab=default_tab&amp;search_scope=EVERYTHING&amp;vid=01CRU&amp;lang=en_US&amp;offset=0&amp;query=any,contains,991001231919702656","Catalog Record")</f>
        <v/>
      </c>
      <c r="AT1624">
        <f>HYPERLINK("http://www.worldcat.org/oclc/17547606","WorldCat Record")</f>
        <v/>
      </c>
      <c r="AU1624" t="inlineStr">
        <is>
          <t>1075752:eng</t>
        </is>
      </c>
      <c r="AV1624" t="inlineStr">
        <is>
          <t>17547606</t>
        </is>
      </c>
      <c r="AW1624" t="inlineStr">
        <is>
          <t>991001231919702656</t>
        </is>
      </c>
      <c r="AX1624" t="inlineStr">
        <is>
          <t>991001231919702656</t>
        </is>
      </c>
      <c r="AY1624" t="inlineStr">
        <is>
          <t>2265199120002656</t>
        </is>
      </c>
      <c r="AZ1624" t="inlineStr">
        <is>
          <t>BOOK</t>
        </is>
      </c>
      <c r="BB1624" t="inlineStr">
        <is>
          <t>9780810607293</t>
        </is>
      </c>
      <c r="BC1624" t="inlineStr">
        <is>
          <t>32285001072890</t>
        </is>
      </c>
      <c r="BD1624" t="inlineStr">
        <is>
          <t>893702859</t>
        </is>
      </c>
    </row>
    <row r="1625">
      <c r="A1625" t="inlineStr">
        <is>
          <t>No</t>
        </is>
      </c>
      <c r="B1625" t="inlineStr">
        <is>
          <t>LC3993.9 .C66 1988</t>
        </is>
      </c>
      <c r="C1625" t="inlineStr">
        <is>
          <t>0                      LC 3993900C  66          1988</t>
        </is>
      </c>
      <c r="D1625" t="inlineStr">
        <is>
          <t>Comprehensive curriculum for gifted learners / Joyce VanTassel-Baska ... [et al.].</t>
        </is>
      </c>
      <c r="F1625" t="inlineStr">
        <is>
          <t>No</t>
        </is>
      </c>
      <c r="G1625" t="inlineStr">
        <is>
          <t>1</t>
        </is>
      </c>
      <c r="H1625" t="inlineStr">
        <is>
          <t>No</t>
        </is>
      </c>
      <c r="I1625" t="inlineStr">
        <is>
          <t>No</t>
        </is>
      </c>
      <c r="J1625" t="inlineStr">
        <is>
          <t>0</t>
        </is>
      </c>
      <c r="L1625" t="inlineStr">
        <is>
          <t>Boston : Allyn and Bacon, c1988.</t>
        </is>
      </c>
      <c r="M1625" t="inlineStr">
        <is>
          <t>1988</t>
        </is>
      </c>
      <c r="O1625" t="inlineStr">
        <is>
          <t>eng</t>
        </is>
      </c>
      <c r="P1625" t="inlineStr">
        <is>
          <t>mau</t>
        </is>
      </c>
      <c r="R1625" t="inlineStr">
        <is>
          <t xml:space="preserve">LC </t>
        </is>
      </c>
      <c r="S1625" t="n">
        <v>2</v>
      </c>
      <c r="T1625" t="n">
        <v>2</v>
      </c>
      <c r="U1625" t="inlineStr">
        <is>
          <t>2008-02-23</t>
        </is>
      </c>
      <c r="V1625" t="inlineStr">
        <is>
          <t>2008-02-23</t>
        </is>
      </c>
      <c r="W1625" t="inlineStr">
        <is>
          <t>1990-04-17</t>
        </is>
      </c>
      <c r="X1625" t="inlineStr">
        <is>
          <t>1990-04-17</t>
        </is>
      </c>
      <c r="Y1625" t="n">
        <v>347</v>
      </c>
      <c r="Z1625" t="n">
        <v>307</v>
      </c>
      <c r="AA1625" t="n">
        <v>544</v>
      </c>
      <c r="AB1625" t="n">
        <v>3</v>
      </c>
      <c r="AC1625" t="n">
        <v>7</v>
      </c>
      <c r="AD1625" t="n">
        <v>13</v>
      </c>
      <c r="AE1625" t="n">
        <v>28</v>
      </c>
      <c r="AF1625" t="n">
        <v>7</v>
      </c>
      <c r="AG1625" t="n">
        <v>13</v>
      </c>
      <c r="AH1625" t="n">
        <v>1</v>
      </c>
      <c r="AI1625" t="n">
        <v>4</v>
      </c>
      <c r="AJ1625" t="n">
        <v>5</v>
      </c>
      <c r="AK1625" t="n">
        <v>12</v>
      </c>
      <c r="AL1625" t="n">
        <v>2</v>
      </c>
      <c r="AM1625" t="n">
        <v>6</v>
      </c>
      <c r="AN1625" t="n">
        <v>0</v>
      </c>
      <c r="AO1625" t="n">
        <v>0</v>
      </c>
      <c r="AP1625" t="inlineStr">
        <is>
          <t>No</t>
        </is>
      </c>
      <c r="AQ1625" t="inlineStr">
        <is>
          <t>Yes</t>
        </is>
      </c>
      <c r="AR1625">
        <f>HYPERLINK("http://catalog.hathitrust.org/Record/000919248","HathiTrust Record")</f>
        <v/>
      </c>
      <c r="AS1625">
        <f>HYPERLINK("https://creighton-primo.hosted.exlibrisgroup.com/primo-explore/search?tab=default_tab&amp;search_scope=EVERYTHING&amp;vid=01CRU&amp;lang=en_US&amp;offset=0&amp;query=any,contains,991001149769702656","Catalog Record")</f>
        <v/>
      </c>
      <c r="AT1625">
        <f>HYPERLINK("http://www.worldcat.org/oclc/16804746","WorldCat Record")</f>
        <v/>
      </c>
      <c r="AU1625" t="inlineStr">
        <is>
          <t>2552117:eng</t>
        </is>
      </c>
      <c r="AV1625" t="inlineStr">
        <is>
          <t>16804746</t>
        </is>
      </c>
      <c r="AW1625" t="inlineStr">
        <is>
          <t>991001149769702656</t>
        </is>
      </c>
      <c r="AX1625" t="inlineStr">
        <is>
          <t>991001149769702656</t>
        </is>
      </c>
      <c r="AY1625" t="inlineStr">
        <is>
          <t>2272204210002656</t>
        </is>
      </c>
      <c r="AZ1625" t="inlineStr">
        <is>
          <t>BOOK</t>
        </is>
      </c>
      <c r="BB1625" t="inlineStr">
        <is>
          <t>9780205112593</t>
        </is>
      </c>
      <c r="BC1625" t="inlineStr">
        <is>
          <t>32285000102672</t>
        </is>
      </c>
      <c r="BD1625" t="inlineStr">
        <is>
          <t>893614819</t>
        </is>
      </c>
    </row>
    <row r="1626">
      <c r="A1626" t="inlineStr">
        <is>
          <t>No</t>
        </is>
      </c>
      <c r="B1626" t="inlineStr">
        <is>
          <t>LC3993.9 .D44 1986</t>
        </is>
      </c>
      <c r="C1626" t="inlineStr">
        <is>
          <t>0                      LC 3993900D  44          1986</t>
        </is>
      </c>
      <c r="D1626" t="inlineStr">
        <is>
          <t>Defensible programs for the gifted / edited by C. June Maker ; with special assistance by Michelle Ellis-Schwabe ; contributors, David C. Berliner ... [et al.].</t>
        </is>
      </c>
      <c r="F1626" t="inlineStr">
        <is>
          <t>No</t>
        </is>
      </c>
      <c r="G1626" t="inlineStr">
        <is>
          <t>1</t>
        </is>
      </c>
      <c r="H1626" t="inlineStr">
        <is>
          <t>No</t>
        </is>
      </c>
      <c r="I1626" t="inlineStr">
        <is>
          <t>No</t>
        </is>
      </c>
      <c r="J1626" t="inlineStr">
        <is>
          <t>0</t>
        </is>
      </c>
      <c r="L1626" t="inlineStr">
        <is>
          <t>Rockville, Md. : Aspen Publishers, 1986.</t>
        </is>
      </c>
      <c r="M1626" t="inlineStr">
        <is>
          <t>1986</t>
        </is>
      </c>
      <c r="O1626" t="inlineStr">
        <is>
          <t>eng</t>
        </is>
      </c>
      <c r="P1626" t="inlineStr">
        <is>
          <t>mdu</t>
        </is>
      </c>
      <c r="Q1626" t="inlineStr">
        <is>
          <t>Critical issues in gifted education</t>
        </is>
      </c>
      <c r="R1626" t="inlineStr">
        <is>
          <t xml:space="preserve">LC </t>
        </is>
      </c>
      <c r="S1626" t="n">
        <v>3</v>
      </c>
      <c r="T1626" t="n">
        <v>3</v>
      </c>
      <c r="U1626" t="inlineStr">
        <is>
          <t>2008-02-23</t>
        </is>
      </c>
      <c r="V1626" t="inlineStr">
        <is>
          <t>2008-02-23</t>
        </is>
      </c>
      <c r="W1626" t="inlineStr">
        <is>
          <t>1990-07-11</t>
        </is>
      </c>
      <c r="X1626" t="inlineStr">
        <is>
          <t>1990-07-11</t>
        </is>
      </c>
      <c r="Y1626" t="n">
        <v>513</v>
      </c>
      <c r="Z1626" t="n">
        <v>463</v>
      </c>
      <c r="AA1626" t="n">
        <v>514</v>
      </c>
      <c r="AB1626" t="n">
        <v>6</v>
      </c>
      <c r="AC1626" t="n">
        <v>8</v>
      </c>
      <c r="AD1626" t="n">
        <v>25</v>
      </c>
      <c r="AE1626" t="n">
        <v>28</v>
      </c>
      <c r="AF1626" t="n">
        <v>9</v>
      </c>
      <c r="AG1626" t="n">
        <v>10</v>
      </c>
      <c r="AH1626" t="n">
        <v>3</v>
      </c>
      <c r="AI1626" t="n">
        <v>3</v>
      </c>
      <c r="AJ1626" t="n">
        <v>13</v>
      </c>
      <c r="AK1626" t="n">
        <v>14</v>
      </c>
      <c r="AL1626" t="n">
        <v>5</v>
      </c>
      <c r="AM1626" t="n">
        <v>7</v>
      </c>
      <c r="AN1626" t="n">
        <v>0</v>
      </c>
      <c r="AO1626" t="n">
        <v>0</v>
      </c>
      <c r="AP1626" t="inlineStr">
        <is>
          <t>No</t>
        </is>
      </c>
      <c r="AQ1626" t="inlineStr">
        <is>
          <t>No</t>
        </is>
      </c>
      <c r="AS1626">
        <f>HYPERLINK("https://creighton-primo.hosted.exlibrisgroup.com/primo-explore/search?tab=default_tab&amp;search_scope=EVERYTHING&amp;vid=01CRU&amp;lang=en_US&amp;offset=0&amp;query=any,contains,991000889339702656","Catalog Record")</f>
        <v/>
      </c>
      <c r="AT1626">
        <f>HYPERLINK("http://www.worldcat.org/oclc/13903247","WorldCat Record")</f>
        <v/>
      </c>
      <c r="AU1626" t="inlineStr">
        <is>
          <t>54835474:eng</t>
        </is>
      </c>
      <c r="AV1626" t="inlineStr">
        <is>
          <t>13903247</t>
        </is>
      </c>
      <c r="AW1626" t="inlineStr">
        <is>
          <t>991000889339702656</t>
        </is>
      </c>
      <c r="AX1626" t="inlineStr">
        <is>
          <t>991000889339702656</t>
        </is>
      </c>
      <c r="AY1626" t="inlineStr">
        <is>
          <t>2270037000002656</t>
        </is>
      </c>
      <c r="AZ1626" t="inlineStr">
        <is>
          <t>BOOK</t>
        </is>
      </c>
      <c r="BB1626" t="inlineStr">
        <is>
          <t>9780871893772</t>
        </is>
      </c>
      <c r="BC1626" t="inlineStr">
        <is>
          <t>32285000223890</t>
        </is>
      </c>
      <c r="BD1626" t="inlineStr">
        <is>
          <t>893351697</t>
        </is>
      </c>
    </row>
    <row r="1627">
      <c r="A1627" t="inlineStr">
        <is>
          <t>No</t>
        </is>
      </c>
      <c r="B1627" t="inlineStr">
        <is>
          <t>LC3993.9 .G74 1988</t>
        </is>
      </c>
      <c r="C1627" t="inlineStr">
        <is>
          <t>0                      LC 3993900G  74          1988</t>
        </is>
      </c>
      <c r="D1627" t="inlineStr">
        <is>
          <t>Educating the gifted : a sourcebook / M. Jean Greenlaw, Margaret E. McIntosh.</t>
        </is>
      </c>
      <c r="F1627" t="inlineStr">
        <is>
          <t>No</t>
        </is>
      </c>
      <c r="G1627" t="inlineStr">
        <is>
          <t>1</t>
        </is>
      </c>
      <c r="H1627" t="inlineStr">
        <is>
          <t>No</t>
        </is>
      </c>
      <c r="I1627" t="inlineStr">
        <is>
          <t>No</t>
        </is>
      </c>
      <c r="J1627" t="inlineStr">
        <is>
          <t>0</t>
        </is>
      </c>
      <c r="K1627" t="inlineStr">
        <is>
          <t>Greenlaw, M. Jean.</t>
        </is>
      </c>
      <c r="L1627" t="inlineStr">
        <is>
          <t>Chicago : American Library Association, 1988.</t>
        </is>
      </c>
      <c r="M1627" t="inlineStr">
        <is>
          <t>1988</t>
        </is>
      </c>
      <c r="O1627" t="inlineStr">
        <is>
          <t>eng</t>
        </is>
      </c>
      <c r="P1627" t="inlineStr">
        <is>
          <t>ilu</t>
        </is>
      </c>
      <c r="R1627" t="inlineStr">
        <is>
          <t xml:space="preserve">LC </t>
        </is>
      </c>
      <c r="S1627" t="n">
        <v>2</v>
      </c>
      <c r="T1627" t="n">
        <v>2</v>
      </c>
      <c r="U1627" t="inlineStr">
        <is>
          <t>2000-11-06</t>
        </is>
      </c>
      <c r="V1627" t="inlineStr">
        <is>
          <t>2000-11-06</t>
        </is>
      </c>
      <c r="W1627" t="inlineStr">
        <is>
          <t>1990-07-11</t>
        </is>
      </c>
      <c r="X1627" t="inlineStr">
        <is>
          <t>1990-07-11</t>
        </is>
      </c>
      <c r="Y1627" t="n">
        <v>566</v>
      </c>
      <c r="Z1627" t="n">
        <v>501</v>
      </c>
      <c r="AA1627" t="n">
        <v>503</v>
      </c>
      <c r="AB1627" t="n">
        <v>7</v>
      </c>
      <c r="AC1627" t="n">
        <v>7</v>
      </c>
      <c r="AD1627" t="n">
        <v>21</v>
      </c>
      <c r="AE1627" t="n">
        <v>21</v>
      </c>
      <c r="AF1627" t="n">
        <v>5</v>
      </c>
      <c r="AG1627" t="n">
        <v>5</v>
      </c>
      <c r="AH1627" t="n">
        <v>3</v>
      </c>
      <c r="AI1627" t="n">
        <v>3</v>
      </c>
      <c r="AJ1627" t="n">
        <v>11</v>
      </c>
      <c r="AK1627" t="n">
        <v>11</v>
      </c>
      <c r="AL1627" t="n">
        <v>6</v>
      </c>
      <c r="AM1627" t="n">
        <v>6</v>
      </c>
      <c r="AN1627" t="n">
        <v>0</v>
      </c>
      <c r="AO1627" t="n">
        <v>0</v>
      </c>
      <c r="AP1627" t="inlineStr">
        <is>
          <t>No</t>
        </is>
      </c>
      <c r="AQ1627" t="inlineStr">
        <is>
          <t>Yes</t>
        </is>
      </c>
      <c r="AR1627">
        <f>HYPERLINK("http://catalog.hathitrust.org/Record/000913063","HathiTrust Record")</f>
        <v/>
      </c>
      <c r="AS1627">
        <f>HYPERLINK("https://creighton-primo.hosted.exlibrisgroup.com/primo-explore/search?tab=default_tab&amp;search_scope=EVERYTHING&amp;vid=01CRU&amp;lang=en_US&amp;offset=0&amp;query=any,contains,991001136479702656","Catalog Record")</f>
        <v/>
      </c>
      <c r="AT1627">
        <f>HYPERLINK("http://www.worldcat.org/oclc/16714356","WorldCat Record")</f>
        <v/>
      </c>
      <c r="AU1627" t="inlineStr">
        <is>
          <t>204182120:eng</t>
        </is>
      </c>
      <c r="AV1627" t="inlineStr">
        <is>
          <t>16714356</t>
        </is>
      </c>
      <c r="AW1627" t="inlineStr">
        <is>
          <t>991001136479702656</t>
        </is>
      </c>
      <c r="AX1627" t="inlineStr">
        <is>
          <t>991001136479702656</t>
        </is>
      </c>
      <c r="AY1627" t="inlineStr">
        <is>
          <t>2260690390002656</t>
        </is>
      </c>
      <c r="AZ1627" t="inlineStr">
        <is>
          <t>BOOK</t>
        </is>
      </c>
      <c r="BB1627" t="inlineStr">
        <is>
          <t>9780838904831</t>
        </is>
      </c>
      <c r="BC1627" t="inlineStr">
        <is>
          <t>32285000223908</t>
        </is>
      </c>
      <c r="BD1627" t="inlineStr">
        <is>
          <t>893503130</t>
        </is>
      </c>
    </row>
    <row r="1628">
      <c r="A1628" t="inlineStr">
        <is>
          <t>No</t>
        </is>
      </c>
      <c r="B1628" t="inlineStr">
        <is>
          <t>LC3993.9 .S4</t>
        </is>
      </c>
      <c r="C1628" t="inlineStr">
        <is>
          <t>0                      LC 3993900S  4</t>
        </is>
      </c>
      <c r="D1628" t="inlineStr">
        <is>
          <t>Psychoeducational development of gifted and talented learners / Donald F. Sellin, Jack W. Birch.</t>
        </is>
      </c>
      <c r="F1628" t="inlineStr">
        <is>
          <t>No</t>
        </is>
      </c>
      <c r="G1628" t="inlineStr">
        <is>
          <t>1</t>
        </is>
      </c>
      <c r="H1628" t="inlineStr">
        <is>
          <t>No</t>
        </is>
      </c>
      <c r="I1628" t="inlineStr">
        <is>
          <t>No</t>
        </is>
      </c>
      <c r="J1628" t="inlineStr">
        <is>
          <t>0</t>
        </is>
      </c>
      <c r="K1628" t="inlineStr">
        <is>
          <t>Sellin, Donald F., 1934-</t>
        </is>
      </c>
      <c r="L1628" t="inlineStr">
        <is>
          <t>Rockville, Md. : Aspen Systems Corp., 1981.</t>
        </is>
      </c>
      <c r="M1628" t="inlineStr">
        <is>
          <t>1981</t>
        </is>
      </c>
      <c r="O1628" t="inlineStr">
        <is>
          <t>eng</t>
        </is>
      </c>
      <c r="P1628" t="inlineStr">
        <is>
          <t>mdu</t>
        </is>
      </c>
      <c r="R1628" t="inlineStr">
        <is>
          <t xml:space="preserve">LC </t>
        </is>
      </c>
      <c r="S1628" t="n">
        <v>3</v>
      </c>
      <c r="T1628" t="n">
        <v>3</v>
      </c>
      <c r="U1628" t="inlineStr">
        <is>
          <t>1996-11-07</t>
        </is>
      </c>
      <c r="V1628" t="inlineStr">
        <is>
          <t>1996-11-07</t>
        </is>
      </c>
      <c r="W1628" t="inlineStr">
        <is>
          <t>1992-09-01</t>
        </is>
      </c>
      <c r="X1628" t="inlineStr">
        <is>
          <t>1992-09-01</t>
        </is>
      </c>
      <c r="Y1628" t="n">
        <v>328</v>
      </c>
      <c r="Z1628" t="n">
        <v>289</v>
      </c>
      <c r="AA1628" t="n">
        <v>294</v>
      </c>
      <c r="AB1628" t="n">
        <v>4</v>
      </c>
      <c r="AC1628" t="n">
        <v>4</v>
      </c>
      <c r="AD1628" t="n">
        <v>11</v>
      </c>
      <c r="AE1628" t="n">
        <v>11</v>
      </c>
      <c r="AF1628" t="n">
        <v>4</v>
      </c>
      <c r="AG1628" t="n">
        <v>4</v>
      </c>
      <c r="AH1628" t="n">
        <v>2</v>
      </c>
      <c r="AI1628" t="n">
        <v>2</v>
      </c>
      <c r="AJ1628" t="n">
        <v>5</v>
      </c>
      <c r="AK1628" t="n">
        <v>5</v>
      </c>
      <c r="AL1628" t="n">
        <v>3</v>
      </c>
      <c r="AM1628" t="n">
        <v>3</v>
      </c>
      <c r="AN1628" t="n">
        <v>0</v>
      </c>
      <c r="AO1628" t="n">
        <v>0</v>
      </c>
      <c r="AP1628" t="inlineStr">
        <is>
          <t>No</t>
        </is>
      </c>
      <c r="AQ1628" t="inlineStr">
        <is>
          <t>No</t>
        </is>
      </c>
      <c r="AS1628">
        <f>HYPERLINK("https://creighton-primo.hosted.exlibrisgroup.com/primo-explore/search?tab=default_tab&amp;search_scope=EVERYTHING&amp;vid=01CRU&amp;lang=en_US&amp;offset=0&amp;query=any,contains,991005114069702656","Catalog Record")</f>
        <v/>
      </c>
      <c r="AT1628">
        <f>HYPERLINK("http://www.worldcat.org/oclc/7460523","WorldCat Record")</f>
        <v/>
      </c>
      <c r="AU1628" t="inlineStr">
        <is>
          <t>27263207:eng</t>
        </is>
      </c>
      <c r="AV1628" t="inlineStr">
        <is>
          <t>7460523</t>
        </is>
      </c>
      <c r="AW1628" t="inlineStr">
        <is>
          <t>991005114069702656</t>
        </is>
      </c>
      <c r="AX1628" t="inlineStr">
        <is>
          <t>991005114069702656</t>
        </is>
      </c>
      <c r="AY1628" t="inlineStr">
        <is>
          <t>2264476550002656</t>
        </is>
      </c>
      <c r="AZ1628" t="inlineStr">
        <is>
          <t>BOOK</t>
        </is>
      </c>
      <c r="BB1628" t="inlineStr">
        <is>
          <t>9780894433627</t>
        </is>
      </c>
      <c r="BC1628" t="inlineStr">
        <is>
          <t>32285001305571</t>
        </is>
      </c>
      <c r="BD1628" t="inlineStr">
        <is>
          <t>893353702</t>
        </is>
      </c>
    </row>
    <row r="1629">
      <c r="A1629" t="inlineStr">
        <is>
          <t>No</t>
        </is>
      </c>
      <c r="B1629" t="inlineStr">
        <is>
          <t>LC3993.9 .S57 1987</t>
        </is>
      </c>
      <c r="C1629" t="inlineStr">
        <is>
          <t>0                      LC 3993900S  57          1987</t>
        </is>
      </c>
      <c r="D1629" t="inlineStr">
        <is>
          <t>Creative teaching of the gifted / Dorothy Sisk.</t>
        </is>
      </c>
      <c r="F1629" t="inlineStr">
        <is>
          <t>No</t>
        </is>
      </c>
      <c r="G1629" t="inlineStr">
        <is>
          <t>1</t>
        </is>
      </c>
      <c r="H1629" t="inlineStr">
        <is>
          <t>No</t>
        </is>
      </c>
      <c r="I1629" t="inlineStr">
        <is>
          <t>No</t>
        </is>
      </c>
      <c r="J1629" t="inlineStr">
        <is>
          <t>0</t>
        </is>
      </c>
      <c r="K1629" t="inlineStr">
        <is>
          <t>Sisk, Dorothy A.</t>
        </is>
      </c>
      <c r="L1629" t="inlineStr">
        <is>
          <t>New York : McGraw-Hill, c1987.</t>
        </is>
      </c>
      <c r="M1629" t="inlineStr">
        <is>
          <t>1987</t>
        </is>
      </c>
      <c r="O1629" t="inlineStr">
        <is>
          <t>eng</t>
        </is>
      </c>
      <c r="P1629" t="inlineStr">
        <is>
          <t>nyu</t>
        </is>
      </c>
      <c r="R1629" t="inlineStr">
        <is>
          <t xml:space="preserve">LC </t>
        </is>
      </c>
      <c r="S1629" t="n">
        <v>7</v>
      </c>
      <c r="T1629" t="n">
        <v>7</v>
      </c>
      <c r="U1629" t="inlineStr">
        <is>
          <t>1996-11-07</t>
        </is>
      </c>
      <c r="V1629" t="inlineStr">
        <is>
          <t>1996-11-07</t>
        </is>
      </c>
      <c r="W1629" t="inlineStr">
        <is>
          <t>1990-02-13</t>
        </is>
      </c>
      <c r="X1629" t="inlineStr">
        <is>
          <t>1990-02-13</t>
        </is>
      </c>
      <c r="Y1629" t="n">
        <v>326</v>
      </c>
      <c r="Z1629" t="n">
        <v>235</v>
      </c>
      <c r="AA1629" t="n">
        <v>237</v>
      </c>
      <c r="AB1629" t="n">
        <v>2</v>
      </c>
      <c r="AC1629" t="n">
        <v>2</v>
      </c>
      <c r="AD1629" t="n">
        <v>11</v>
      </c>
      <c r="AE1629" t="n">
        <v>11</v>
      </c>
      <c r="AF1629" t="n">
        <v>6</v>
      </c>
      <c r="AG1629" t="n">
        <v>6</v>
      </c>
      <c r="AH1629" t="n">
        <v>0</v>
      </c>
      <c r="AI1629" t="n">
        <v>0</v>
      </c>
      <c r="AJ1629" t="n">
        <v>6</v>
      </c>
      <c r="AK1629" t="n">
        <v>6</v>
      </c>
      <c r="AL1629" t="n">
        <v>1</v>
      </c>
      <c r="AM1629" t="n">
        <v>1</v>
      </c>
      <c r="AN1629" t="n">
        <v>0</v>
      </c>
      <c r="AO1629" t="n">
        <v>0</v>
      </c>
      <c r="AP1629" t="inlineStr">
        <is>
          <t>No</t>
        </is>
      </c>
      <c r="AQ1629" t="inlineStr">
        <is>
          <t>Yes</t>
        </is>
      </c>
      <c r="AR1629">
        <f>HYPERLINK("http://catalog.hathitrust.org/Record/000806499","HathiTrust Record")</f>
        <v/>
      </c>
      <c r="AS1629">
        <f>HYPERLINK("https://creighton-primo.hosted.exlibrisgroup.com/primo-explore/search?tab=default_tab&amp;search_scope=EVERYTHING&amp;vid=01CRU&amp;lang=en_US&amp;offset=0&amp;query=any,contains,991000849539702656","Catalog Record")</f>
        <v/>
      </c>
      <c r="AT1629">
        <f>HYPERLINK("http://www.worldcat.org/oclc/13581499","WorldCat Record")</f>
        <v/>
      </c>
      <c r="AU1629" t="inlineStr">
        <is>
          <t>144008796:eng</t>
        </is>
      </c>
      <c r="AV1629" t="inlineStr">
        <is>
          <t>13581499</t>
        </is>
      </c>
      <c r="AW1629" t="inlineStr">
        <is>
          <t>991000849539702656</t>
        </is>
      </c>
      <c r="AX1629" t="inlineStr">
        <is>
          <t>991000849539702656</t>
        </is>
      </c>
      <c r="AY1629" t="inlineStr">
        <is>
          <t>2257380900002656</t>
        </is>
      </c>
      <c r="AZ1629" t="inlineStr">
        <is>
          <t>BOOK</t>
        </is>
      </c>
      <c r="BB1629" t="inlineStr">
        <is>
          <t>9780070577015</t>
        </is>
      </c>
      <c r="BC1629" t="inlineStr">
        <is>
          <t>32285000051549</t>
        </is>
      </c>
      <c r="BD1629" t="inlineStr">
        <is>
          <t>893708767</t>
        </is>
      </c>
    </row>
    <row r="1630">
      <c r="A1630" t="inlineStr">
        <is>
          <t>No</t>
        </is>
      </c>
      <c r="B1630" t="inlineStr">
        <is>
          <t>LC3993.9 .S95 1985</t>
        </is>
      </c>
      <c r="C1630" t="inlineStr">
        <is>
          <t>0                      LC 3993900S  95          1985</t>
        </is>
      </c>
      <c r="D1630" t="inlineStr">
        <is>
          <t>Teaching gifted children and adolescents / Raymond H. Swassing.</t>
        </is>
      </c>
      <c r="F1630" t="inlineStr">
        <is>
          <t>No</t>
        </is>
      </c>
      <c r="G1630" t="inlineStr">
        <is>
          <t>1</t>
        </is>
      </c>
      <c r="H1630" t="inlineStr">
        <is>
          <t>No</t>
        </is>
      </c>
      <c r="I1630" t="inlineStr">
        <is>
          <t>No</t>
        </is>
      </c>
      <c r="J1630" t="inlineStr">
        <is>
          <t>0</t>
        </is>
      </c>
      <c r="K1630" t="inlineStr">
        <is>
          <t>Swassing, Raymond H.</t>
        </is>
      </c>
      <c r="L1630" t="inlineStr">
        <is>
          <t>Columbus : C.E. Merrill Pub. Co., c1985.</t>
        </is>
      </c>
      <c r="M1630" t="inlineStr">
        <is>
          <t>1985</t>
        </is>
      </c>
      <c r="O1630" t="inlineStr">
        <is>
          <t>eng</t>
        </is>
      </c>
      <c r="P1630" t="inlineStr">
        <is>
          <t>ohu</t>
        </is>
      </c>
      <c r="R1630" t="inlineStr">
        <is>
          <t xml:space="preserve">LC </t>
        </is>
      </c>
      <c r="S1630" t="n">
        <v>7</v>
      </c>
      <c r="T1630" t="n">
        <v>7</v>
      </c>
      <c r="U1630" t="inlineStr">
        <is>
          <t>1994-12-04</t>
        </is>
      </c>
      <c r="V1630" t="inlineStr">
        <is>
          <t>1994-12-04</t>
        </is>
      </c>
      <c r="W1630" t="inlineStr">
        <is>
          <t>1992-09-01</t>
        </is>
      </c>
      <c r="X1630" t="inlineStr">
        <is>
          <t>1992-09-01</t>
        </is>
      </c>
      <c r="Y1630" t="n">
        <v>201</v>
      </c>
      <c r="Z1630" t="n">
        <v>150</v>
      </c>
      <c r="AA1630" t="n">
        <v>158</v>
      </c>
      <c r="AB1630" t="n">
        <v>2</v>
      </c>
      <c r="AC1630" t="n">
        <v>2</v>
      </c>
      <c r="AD1630" t="n">
        <v>4</v>
      </c>
      <c r="AE1630" t="n">
        <v>4</v>
      </c>
      <c r="AF1630" t="n">
        <v>1</v>
      </c>
      <c r="AG1630" t="n">
        <v>1</v>
      </c>
      <c r="AH1630" t="n">
        <v>2</v>
      </c>
      <c r="AI1630" t="n">
        <v>2</v>
      </c>
      <c r="AJ1630" t="n">
        <v>1</v>
      </c>
      <c r="AK1630" t="n">
        <v>1</v>
      </c>
      <c r="AL1630" t="n">
        <v>1</v>
      </c>
      <c r="AM1630" t="n">
        <v>1</v>
      </c>
      <c r="AN1630" t="n">
        <v>0</v>
      </c>
      <c r="AO1630" t="n">
        <v>0</v>
      </c>
      <c r="AP1630" t="inlineStr">
        <is>
          <t>No</t>
        </is>
      </c>
      <c r="AQ1630" t="inlineStr">
        <is>
          <t>Yes</t>
        </is>
      </c>
      <c r="AR1630">
        <f>HYPERLINK("http://catalog.hathitrust.org/Record/012282402","HathiTrust Record")</f>
        <v/>
      </c>
      <c r="AS1630">
        <f>HYPERLINK("https://creighton-primo.hosted.exlibrisgroup.com/primo-explore/search?tab=default_tab&amp;search_scope=EVERYTHING&amp;vid=01CRU&amp;lang=en_US&amp;offset=0&amp;query=any,contains,991000634639702656","Catalog Record")</f>
        <v/>
      </c>
      <c r="AT1630">
        <f>HYPERLINK("http://www.worldcat.org/oclc/12079697","WorldCat Record")</f>
        <v/>
      </c>
      <c r="AU1630" t="inlineStr">
        <is>
          <t>4685604:eng</t>
        </is>
      </c>
      <c r="AV1630" t="inlineStr">
        <is>
          <t>12079697</t>
        </is>
      </c>
      <c r="AW1630" t="inlineStr">
        <is>
          <t>991000634639702656</t>
        </is>
      </c>
      <c r="AX1630" t="inlineStr">
        <is>
          <t>991000634639702656</t>
        </is>
      </c>
      <c r="AY1630" t="inlineStr">
        <is>
          <t>2269386680002656</t>
        </is>
      </c>
      <c r="AZ1630" t="inlineStr">
        <is>
          <t>BOOK</t>
        </is>
      </c>
      <c r="BB1630" t="inlineStr">
        <is>
          <t>9780675201315</t>
        </is>
      </c>
      <c r="BC1630" t="inlineStr">
        <is>
          <t>32285001305597</t>
        </is>
      </c>
      <c r="BD1630" t="inlineStr">
        <is>
          <t>893897069</t>
        </is>
      </c>
    </row>
    <row r="1631">
      <c r="A1631" t="inlineStr">
        <is>
          <t>No</t>
        </is>
      </c>
      <c r="B1631" t="inlineStr">
        <is>
          <t>LC3993.9 .T98 2006</t>
        </is>
      </c>
      <c r="C1631" t="inlineStr">
        <is>
          <t>0                      LC 3993900T  98          2006</t>
        </is>
      </c>
      <c r="D1631" t="inlineStr">
        <is>
          <t>The Twice-exceptional dilemma.</t>
        </is>
      </c>
      <c r="F1631" t="inlineStr">
        <is>
          <t>No</t>
        </is>
      </c>
      <c r="G1631" t="inlineStr">
        <is>
          <t>1</t>
        </is>
      </c>
      <c r="H1631" t="inlineStr">
        <is>
          <t>No</t>
        </is>
      </c>
      <c r="I1631" t="inlineStr">
        <is>
          <t>No</t>
        </is>
      </c>
      <c r="J1631" t="inlineStr">
        <is>
          <t>0</t>
        </is>
      </c>
      <c r="L1631" t="inlineStr">
        <is>
          <t>[Washington, D.C.] : National Education Association, c2006.</t>
        </is>
      </c>
      <c r="M1631" t="inlineStr">
        <is>
          <t>2006</t>
        </is>
      </c>
      <c r="N1631" t="inlineStr">
        <is>
          <t>1st ed.</t>
        </is>
      </c>
      <c r="O1631" t="inlineStr">
        <is>
          <t>eng</t>
        </is>
      </c>
      <c r="P1631" t="inlineStr">
        <is>
          <t>dcu</t>
        </is>
      </c>
      <c r="R1631" t="inlineStr">
        <is>
          <t xml:space="preserve">LC </t>
        </is>
      </c>
      <c r="S1631" t="n">
        <v>1</v>
      </c>
      <c r="T1631" t="n">
        <v>1</v>
      </c>
      <c r="U1631" t="inlineStr">
        <is>
          <t>2007-01-30</t>
        </is>
      </c>
      <c r="V1631" t="inlineStr">
        <is>
          <t>2007-01-30</t>
        </is>
      </c>
      <c r="W1631" t="inlineStr">
        <is>
          <t>2007-01-30</t>
        </is>
      </c>
      <c r="X1631" t="inlineStr">
        <is>
          <t>2007-01-30</t>
        </is>
      </c>
      <c r="Y1631" t="n">
        <v>148</v>
      </c>
      <c r="Z1631" t="n">
        <v>139</v>
      </c>
      <c r="AA1631" t="n">
        <v>140</v>
      </c>
      <c r="AB1631" t="n">
        <v>2</v>
      </c>
      <c r="AC1631" t="n">
        <v>2</v>
      </c>
      <c r="AD1631" t="n">
        <v>7</v>
      </c>
      <c r="AE1631" t="n">
        <v>7</v>
      </c>
      <c r="AF1631" t="n">
        <v>5</v>
      </c>
      <c r="AG1631" t="n">
        <v>5</v>
      </c>
      <c r="AH1631" t="n">
        <v>0</v>
      </c>
      <c r="AI1631" t="n">
        <v>0</v>
      </c>
      <c r="AJ1631" t="n">
        <v>4</v>
      </c>
      <c r="AK1631" t="n">
        <v>4</v>
      </c>
      <c r="AL1631" t="n">
        <v>1</v>
      </c>
      <c r="AM1631" t="n">
        <v>1</v>
      </c>
      <c r="AN1631" t="n">
        <v>0</v>
      </c>
      <c r="AO1631" t="n">
        <v>0</v>
      </c>
      <c r="AP1631" t="inlineStr">
        <is>
          <t>No</t>
        </is>
      </c>
      <c r="AQ1631" t="inlineStr">
        <is>
          <t>No</t>
        </is>
      </c>
      <c r="AS1631">
        <f>HYPERLINK("https://creighton-primo.hosted.exlibrisgroup.com/primo-explore/search?tab=default_tab&amp;search_scope=EVERYTHING&amp;vid=01CRU&amp;lang=en_US&amp;offset=0&amp;query=any,contains,991005003489702656","Catalog Record")</f>
        <v/>
      </c>
      <c r="AT1631">
        <f>HYPERLINK("http://www.worldcat.org/oclc/77273474","WorldCat Record")</f>
        <v/>
      </c>
      <c r="AU1631" t="inlineStr">
        <is>
          <t>62934834:eng</t>
        </is>
      </c>
      <c r="AV1631" t="inlineStr">
        <is>
          <t>77273474</t>
        </is>
      </c>
      <c r="AW1631" t="inlineStr">
        <is>
          <t>991005003489702656</t>
        </is>
      </c>
      <c r="AX1631" t="inlineStr">
        <is>
          <t>991005003489702656</t>
        </is>
      </c>
      <c r="AY1631" t="inlineStr">
        <is>
          <t>2272517780002656</t>
        </is>
      </c>
      <c r="AZ1631" t="inlineStr">
        <is>
          <t>BOOK</t>
        </is>
      </c>
      <c r="BC1631" t="inlineStr">
        <is>
          <t>32285005273585</t>
        </is>
      </c>
      <c r="BD1631" t="inlineStr">
        <is>
          <t>893776681</t>
        </is>
      </c>
    </row>
    <row r="1632">
      <c r="A1632" t="inlineStr">
        <is>
          <t>No</t>
        </is>
      </c>
      <c r="B1632" t="inlineStr">
        <is>
          <t>LC4015 .G37 1992</t>
        </is>
      </c>
      <c r="C1632" t="inlineStr">
        <is>
          <t>0                      LC 4015000G  37          1992</t>
        </is>
      </c>
      <c r="D1632" t="inlineStr">
        <is>
          <t>The exceptional student in the regular classroom / Bill R. Gearheart, Mel W. Weishahn, Carol J. Gearheart.</t>
        </is>
      </c>
      <c r="F1632" t="inlineStr">
        <is>
          <t>No</t>
        </is>
      </c>
      <c r="G1632" t="inlineStr">
        <is>
          <t>1</t>
        </is>
      </c>
      <c r="H1632" t="inlineStr">
        <is>
          <t>No</t>
        </is>
      </c>
      <c r="I1632" t="inlineStr">
        <is>
          <t>No</t>
        </is>
      </c>
      <c r="J1632" t="inlineStr">
        <is>
          <t>0</t>
        </is>
      </c>
      <c r="K1632" t="inlineStr">
        <is>
          <t>Gearheart, Bill R. (Bill Ray), 1928-</t>
        </is>
      </c>
      <c r="L1632" t="inlineStr">
        <is>
          <t>New York : Merrill ; Toronto : Maxwell Macmillan Canada ; New York : Maxwell Macmillan International, c1992.</t>
        </is>
      </c>
      <c r="M1632" t="inlineStr">
        <is>
          <t>1992</t>
        </is>
      </c>
      <c r="N1632" t="inlineStr">
        <is>
          <t>5th ed.</t>
        </is>
      </c>
      <c r="O1632" t="inlineStr">
        <is>
          <t>eng</t>
        </is>
      </c>
      <c r="P1632" t="inlineStr">
        <is>
          <t>nyu</t>
        </is>
      </c>
      <c r="R1632" t="inlineStr">
        <is>
          <t xml:space="preserve">LC </t>
        </is>
      </c>
      <c r="S1632" t="n">
        <v>15</v>
      </c>
      <c r="T1632" t="n">
        <v>15</v>
      </c>
      <c r="U1632" t="inlineStr">
        <is>
          <t>1999-03-30</t>
        </is>
      </c>
      <c r="V1632" t="inlineStr">
        <is>
          <t>1999-03-30</t>
        </is>
      </c>
      <c r="W1632" t="inlineStr">
        <is>
          <t>1992-04-02</t>
        </is>
      </c>
      <c r="X1632" t="inlineStr">
        <is>
          <t>1992-04-02</t>
        </is>
      </c>
      <c r="Y1632" t="n">
        <v>228</v>
      </c>
      <c r="Z1632" t="n">
        <v>182</v>
      </c>
      <c r="AA1632" t="n">
        <v>568</v>
      </c>
      <c r="AB1632" t="n">
        <v>1</v>
      </c>
      <c r="AC1632" t="n">
        <v>7</v>
      </c>
      <c r="AD1632" t="n">
        <v>1</v>
      </c>
      <c r="AE1632" t="n">
        <v>19</v>
      </c>
      <c r="AF1632" t="n">
        <v>0</v>
      </c>
      <c r="AG1632" t="n">
        <v>5</v>
      </c>
      <c r="AH1632" t="n">
        <v>1</v>
      </c>
      <c r="AI1632" t="n">
        <v>3</v>
      </c>
      <c r="AJ1632" t="n">
        <v>1</v>
      </c>
      <c r="AK1632" t="n">
        <v>9</v>
      </c>
      <c r="AL1632" t="n">
        <v>0</v>
      </c>
      <c r="AM1632" t="n">
        <v>6</v>
      </c>
      <c r="AN1632" t="n">
        <v>0</v>
      </c>
      <c r="AO1632" t="n">
        <v>0</v>
      </c>
      <c r="AP1632" t="inlineStr">
        <is>
          <t>No</t>
        </is>
      </c>
      <c r="AQ1632" t="inlineStr">
        <is>
          <t>Yes</t>
        </is>
      </c>
      <c r="AR1632">
        <f>HYPERLINK("http://catalog.hathitrust.org/Record/008326234","HathiTrust Record")</f>
        <v/>
      </c>
      <c r="AS1632">
        <f>HYPERLINK("https://creighton-primo.hosted.exlibrisgroup.com/primo-explore/search?tab=default_tab&amp;search_scope=EVERYTHING&amp;vid=01CRU&amp;lang=en_US&amp;offset=0&amp;query=any,contains,991001905789702656","Catalog Record")</f>
        <v/>
      </c>
      <c r="AT1632">
        <f>HYPERLINK("http://www.worldcat.org/oclc/24067560","WorldCat Record")</f>
        <v/>
      </c>
      <c r="AU1632" t="inlineStr">
        <is>
          <t>10844627:eng</t>
        </is>
      </c>
      <c r="AV1632" t="inlineStr">
        <is>
          <t>24067560</t>
        </is>
      </c>
      <c r="AW1632" t="inlineStr">
        <is>
          <t>991001905789702656</t>
        </is>
      </c>
      <c r="AX1632" t="inlineStr">
        <is>
          <t>991001905789702656</t>
        </is>
      </c>
      <c r="AY1632" t="inlineStr">
        <is>
          <t>2258383750002656</t>
        </is>
      </c>
      <c r="AZ1632" t="inlineStr">
        <is>
          <t>BOOK</t>
        </is>
      </c>
      <c r="BB1632" t="inlineStr">
        <is>
          <t>9780023412202</t>
        </is>
      </c>
      <c r="BC1632" t="inlineStr">
        <is>
          <t>32285001008498</t>
        </is>
      </c>
      <c r="BD1632" t="inlineStr">
        <is>
          <t>893691016</t>
        </is>
      </c>
    </row>
    <row r="1633">
      <c r="A1633" t="inlineStr">
        <is>
          <t>No</t>
        </is>
      </c>
      <c r="B1633" t="inlineStr">
        <is>
          <t>LC4015 .J7</t>
        </is>
      </c>
      <c r="C1633" t="inlineStr">
        <is>
          <t>0                      LC 4015000J  7</t>
        </is>
      </c>
      <c r="D1633" t="inlineStr">
        <is>
          <t>The acorn people / Ron Jones; illustrated by Tom Parker.</t>
        </is>
      </c>
      <c r="F1633" t="inlineStr">
        <is>
          <t>No</t>
        </is>
      </c>
      <c r="G1633" t="inlineStr">
        <is>
          <t>1</t>
        </is>
      </c>
      <c r="H1633" t="inlineStr">
        <is>
          <t>No</t>
        </is>
      </c>
      <c r="I1633" t="inlineStr">
        <is>
          <t>No</t>
        </is>
      </c>
      <c r="J1633" t="inlineStr">
        <is>
          <t>0</t>
        </is>
      </c>
      <c r="K1633" t="inlineStr">
        <is>
          <t>Jones, Ron.</t>
        </is>
      </c>
      <c r="L1633" t="inlineStr">
        <is>
          <t>New York : Bantam, 1977, c1976.</t>
        </is>
      </c>
      <c r="M1633" t="inlineStr">
        <is>
          <t>1977</t>
        </is>
      </c>
      <c r="O1633" t="inlineStr">
        <is>
          <t>eng</t>
        </is>
      </c>
      <c r="P1633" t="inlineStr">
        <is>
          <t>nyu</t>
        </is>
      </c>
      <c r="R1633" t="inlineStr">
        <is>
          <t xml:space="preserve">LC </t>
        </is>
      </c>
      <c r="S1633" t="n">
        <v>3</v>
      </c>
      <c r="T1633" t="n">
        <v>3</v>
      </c>
      <c r="U1633" t="inlineStr">
        <is>
          <t>2004-03-04</t>
        </is>
      </c>
      <c r="V1633" t="inlineStr">
        <is>
          <t>2004-03-04</t>
        </is>
      </c>
      <c r="W1633" t="inlineStr">
        <is>
          <t>1995-06-30</t>
        </is>
      </c>
      <c r="X1633" t="inlineStr">
        <is>
          <t>1995-06-30</t>
        </is>
      </c>
      <c r="Y1633" t="n">
        <v>316</v>
      </c>
      <c r="Z1633" t="n">
        <v>306</v>
      </c>
      <c r="AA1633" t="n">
        <v>1051</v>
      </c>
      <c r="AB1633" t="n">
        <v>4</v>
      </c>
      <c r="AC1633" t="n">
        <v>13</v>
      </c>
      <c r="AD1633" t="n">
        <v>3</v>
      </c>
      <c r="AE1633" t="n">
        <v>9</v>
      </c>
      <c r="AF1633" t="n">
        <v>0</v>
      </c>
      <c r="AG1633" t="n">
        <v>2</v>
      </c>
      <c r="AH1633" t="n">
        <v>0</v>
      </c>
      <c r="AI1633" t="n">
        <v>1</v>
      </c>
      <c r="AJ1633" t="n">
        <v>2</v>
      </c>
      <c r="AK1633" t="n">
        <v>2</v>
      </c>
      <c r="AL1633" t="n">
        <v>1</v>
      </c>
      <c r="AM1633" t="n">
        <v>4</v>
      </c>
      <c r="AN1633" t="n">
        <v>0</v>
      </c>
      <c r="AO1633" t="n">
        <v>0</v>
      </c>
      <c r="AP1633" t="inlineStr">
        <is>
          <t>No</t>
        </is>
      </c>
      <c r="AQ1633" t="inlineStr">
        <is>
          <t>Yes</t>
        </is>
      </c>
      <c r="AR1633">
        <f>HYPERLINK("http://catalog.hathitrust.org/Record/102006210","HathiTrust Record")</f>
        <v/>
      </c>
      <c r="AS1633">
        <f>HYPERLINK("https://creighton-primo.hosted.exlibrisgroup.com/primo-explore/search?tab=default_tab&amp;search_scope=EVERYTHING&amp;vid=01CRU&amp;lang=en_US&amp;offset=0&amp;query=any,contains,991004471039702656","Catalog Record")</f>
        <v/>
      </c>
      <c r="AT1633">
        <f>HYPERLINK("http://www.worldcat.org/oclc/3597539","WorldCat Record")</f>
        <v/>
      </c>
      <c r="AU1633" t="inlineStr">
        <is>
          <t>434241:eng</t>
        </is>
      </c>
      <c r="AV1633" t="inlineStr">
        <is>
          <t>3597539</t>
        </is>
      </c>
      <c r="AW1633" t="inlineStr">
        <is>
          <t>991004471039702656</t>
        </is>
      </c>
      <c r="AX1633" t="inlineStr">
        <is>
          <t>991004471039702656</t>
        </is>
      </c>
      <c r="AY1633" t="inlineStr">
        <is>
          <t>2266815920002656</t>
        </is>
      </c>
      <c r="AZ1633" t="inlineStr">
        <is>
          <t>BOOK</t>
        </is>
      </c>
      <c r="BB1633" t="inlineStr">
        <is>
          <t>9780553112658</t>
        </is>
      </c>
      <c r="BC1633" t="inlineStr">
        <is>
          <t>32285002021763</t>
        </is>
      </c>
      <c r="BD1633" t="inlineStr">
        <is>
          <t>893519689</t>
        </is>
      </c>
    </row>
    <row r="1634">
      <c r="A1634" t="inlineStr">
        <is>
          <t>No</t>
        </is>
      </c>
      <c r="B1634" t="inlineStr">
        <is>
          <t>LC4015 .S675</t>
        </is>
      </c>
      <c r="C1634" t="inlineStr">
        <is>
          <t>0                      LC 4015000S  675</t>
        </is>
      </c>
      <c r="D1634" t="inlineStr">
        <is>
          <t>Special education and development : perspectives on young children with special needs / edited by Samuel J. Meisels.</t>
        </is>
      </c>
      <c r="F1634" t="inlineStr">
        <is>
          <t>No</t>
        </is>
      </c>
      <c r="G1634" t="inlineStr">
        <is>
          <t>1</t>
        </is>
      </c>
      <c r="H1634" t="inlineStr">
        <is>
          <t>No</t>
        </is>
      </c>
      <c r="I1634" t="inlineStr">
        <is>
          <t>No</t>
        </is>
      </c>
      <c r="J1634" t="inlineStr">
        <is>
          <t>0</t>
        </is>
      </c>
      <c r="L1634" t="inlineStr">
        <is>
          <t>Baltimore : University Park Press, c1979.</t>
        </is>
      </c>
      <c r="M1634" t="inlineStr">
        <is>
          <t>1979</t>
        </is>
      </c>
      <c r="O1634" t="inlineStr">
        <is>
          <t>eng</t>
        </is>
      </c>
      <c r="P1634" t="inlineStr">
        <is>
          <t>mdu</t>
        </is>
      </c>
      <c r="R1634" t="inlineStr">
        <is>
          <t xml:space="preserve">LC </t>
        </is>
      </c>
      <c r="S1634" t="n">
        <v>3</v>
      </c>
      <c r="T1634" t="n">
        <v>3</v>
      </c>
      <c r="U1634" t="inlineStr">
        <is>
          <t>2008-07-11</t>
        </is>
      </c>
      <c r="V1634" t="inlineStr">
        <is>
          <t>2008-07-11</t>
        </is>
      </c>
      <c r="W1634" t="inlineStr">
        <is>
          <t>1992-09-02</t>
        </is>
      </c>
      <c r="X1634" t="inlineStr">
        <is>
          <t>1992-09-02</t>
        </is>
      </c>
      <c r="Y1634" t="n">
        <v>483</v>
      </c>
      <c r="Z1634" t="n">
        <v>401</v>
      </c>
      <c r="AA1634" t="n">
        <v>402</v>
      </c>
      <c r="AB1634" t="n">
        <v>5</v>
      </c>
      <c r="AC1634" t="n">
        <v>5</v>
      </c>
      <c r="AD1634" t="n">
        <v>20</v>
      </c>
      <c r="AE1634" t="n">
        <v>20</v>
      </c>
      <c r="AF1634" t="n">
        <v>9</v>
      </c>
      <c r="AG1634" t="n">
        <v>9</v>
      </c>
      <c r="AH1634" t="n">
        <v>3</v>
      </c>
      <c r="AI1634" t="n">
        <v>3</v>
      </c>
      <c r="AJ1634" t="n">
        <v>9</v>
      </c>
      <c r="AK1634" t="n">
        <v>9</v>
      </c>
      <c r="AL1634" t="n">
        <v>4</v>
      </c>
      <c r="AM1634" t="n">
        <v>4</v>
      </c>
      <c r="AN1634" t="n">
        <v>0</v>
      </c>
      <c r="AO1634" t="n">
        <v>0</v>
      </c>
      <c r="AP1634" t="inlineStr">
        <is>
          <t>No</t>
        </is>
      </c>
      <c r="AQ1634" t="inlineStr">
        <is>
          <t>Yes</t>
        </is>
      </c>
      <c r="AR1634">
        <f>HYPERLINK("http://catalog.hathitrust.org/Record/000726420","HathiTrust Record")</f>
        <v/>
      </c>
      <c r="AS1634">
        <f>HYPERLINK("https://creighton-primo.hosted.exlibrisgroup.com/primo-explore/search?tab=default_tab&amp;search_scope=EVERYTHING&amp;vid=01CRU&amp;lang=en_US&amp;offset=0&amp;query=any,contains,991004721809702656","Catalog Record")</f>
        <v/>
      </c>
      <c r="AT1634">
        <f>HYPERLINK("http://www.worldcat.org/oclc/4804674","WorldCat Record")</f>
        <v/>
      </c>
      <c r="AU1634" t="inlineStr">
        <is>
          <t>890161724:eng</t>
        </is>
      </c>
      <c r="AV1634" t="inlineStr">
        <is>
          <t>4804674</t>
        </is>
      </c>
      <c r="AW1634" t="inlineStr">
        <is>
          <t>991004721809702656</t>
        </is>
      </c>
      <c r="AX1634" t="inlineStr">
        <is>
          <t>991004721809702656</t>
        </is>
      </c>
      <c r="AY1634" t="inlineStr">
        <is>
          <t>2270322370002656</t>
        </is>
      </c>
      <c r="AZ1634" t="inlineStr">
        <is>
          <t>BOOK</t>
        </is>
      </c>
      <c r="BB1634" t="inlineStr">
        <is>
          <t>9780839113515</t>
        </is>
      </c>
      <c r="BC1634" t="inlineStr">
        <is>
          <t>32285001306074</t>
        </is>
      </c>
      <c r="BD1634" t="inlineStr">
        <is>
          <t>893789023</t>
        </is>
      </c>
    </row>
    <row r="1635">
      <c r="A1635" t="inlineStr">
        <is>
          <t>No</t>
        </is>
      </c>
      <c r="B1635" t="inlineStr">
        <is>
          <t>LC4019 .C65 1994</t>
        </is>
      </c>
      <c r="C1635" t="inlineStr">
        <is>
          <t>0                      LC 4019000C  65          1994</t>
        </is>
      </c>
      <c r="D1635" t="inlineStr">
        <is>
          <t>Creating schools for all our students : what 12 schools have to say : Working Forum on Inclusive Schools.</t>
        </is>
      </c>
      <c r="F1635" t="inlineStr">
        <is>
          <t>No</t>
        </is>
      </c>
      <c r="G1635" t="inlineStr">
        <is>
          <t>1</t>
        </is>
      </c>
      <c r="H1635" t="inlineStr">
        <is>
          <t>No</t>
        </is>
      </c>
      <c r="I1635" t="inlineStr">
        <is>
          <t>No</t>
        </is>
      </c>
      <c r="J1635" t="inlineStr">
        <is>
          <t>0</t>
        </is>
      </c>
      <c r="L1635" t="inlineStr">
        <is>
          <t>Reston, Va. : Council for Exceptional Children, c1994.</t>
        </is>
      </c>
      <c r="M1635" t="inlineStr">
        <is>
          <t>1994</t>
        </is>
      </c>
      <c r="O1635" t="inlineStr">
        <is>
          <t>eng</t>
        </is>
      </c>
      <c r="P1635" t="inlineStr">
        <is>
          <t>vau</t>
        </is>
      </c>
      <c r="R1635" t="inlineStr">
        <is>
          <t xml:space="preserve">LC </t>
        </is>
      </c>
      <c r="S1635" t="n">
        <v>7</v>
      </c>
      <c r="T1635" t="n">
        <v>7</v>
      </c>
      <c r="U1635" t="inlineStr">
        <is>
          <t>2004-02-09</t>
        </is>
      </c>
      <c r="V1635" t="inlineStr">
        <is>
          <t>2004-02-09</t>
        </is>
      </c>
      <c r="W1635" t="inlineStr">
        <is>
          <t>1994-12-21</t>
        </is>
      </c>
      <c r="X1635" t="inlineStr">
        <is>
          <t>1994-12-21</t>
        </is>
      </c>
      <c r="Y1635" t="n">
        <v>336</v>
      </c>
      <c r="Z1635" t="n">
        <v>312</v>
      </c>
      <c r="AA1635" t="n">
        <v>319</v>
      </c>
      <c r="AB1635" t="n">
        <v>5</v>
      </c>
      <c r="AC1635" t="n">
        <v>5</v>
      </c>
      <c r="AD1635" t="n">
        <v>13</v>
      </c>
      <c r="AE1635" t="n">
        <v>14</v>
      </c>
      <c r="AF1635" t="n">
        <v>4</v>
      </c>
      <c r="AG1635" t="n">
        <v>5</v>
      </c>
      <c r="AH1635" t="n">
        <v>0</v>
      </c>
      <c r="AI1635" t="n">
        <v>0</v>
      </c>
      <c r="AJ1635" t="n">
        <v>6</v>
      </c>
      <c r="AK1635" t="n">
        <v>7</v>
      </c>
      <c r="AL1635" t="n">
        <v>4</v>
      </c>
      <c r="AM1635" t="n">
        <v>4</v>
      </c>
      <c r="AN1635" t="n">
        <v>0</v>
      </c>
      <c r="AO1635" t="n">
        <v>0</v>
      </c>
      <c r="AP1635" t="inlineStr">
        <is>
          <t>No</t>
        </is>
      </c>
      <c r="AQ1635" t="inlineStr">
        <is>
          <t>No</t>
        </is>
      </c>
      <c r="AS1635">
        <f>HYPERLINK("https://creighton-primo.hosted.exlibrisgroup.com/primo-explore/search?tab=default_tab&amp;search_scope=EVERYTHING&amp;vid=01CRU&amp;lang=en_US&amp;offset=0&amp;query=any,contains,991002394159702656","Catalog Record")</f>
        <v/>
      </c>
      <c r="AT1635">
        <f>HYPERLINK("http://www.worldcat.org/oclc/31077602","WorldCat Record")</f>
        <v/>
      </c>
      <c r="AU1635" t="inlineStr">
        <is>
          <t>2533313037:eng</t>
        </is>
      </c>
      <c r="AV1635" t="inlineStr">
        <is>
          <t>31077602</t>
        </is>
      </c>
      <c r="AW1635" t="inlineStr">
        <is>
          <t>991002394159702656</t>
        </is>
      </c>
      <c r="AX1635" t="inlineStr">
        <is>
          <t>991002394159702656</t>
        </is>
      </c>
      <c r="AY1635" t="inlineStr">
        <is>
          <t>2272279630002656</t>
        </is>
      </c>
      <c r="AZ1635" t="inlineStr">
        <is>
          <t>BOOK</t>
        </is>
      </c>
      <c r="BB1635" t="inlineStr">
        <is>
          <t>9780865862555</t>
        </is>
      </c>
      <c r="BC1635" t="inlineStr">
        <is>
          <t>32285001973659</t>
        </is>
      </c>
      <c r="BD1635" t="inlineStr">
        <is>
          <t>893792411</t>
        </is>
      </c>
    </row>
    <row r="1636">
      <c r="A1636" t="inlineStr">
        <is>
          <t>No</t>
        </is>
      </c>
      <c r="B1636" t="inlineStr">
        <is>
          <t>LC4019 .I48</t>
        </is>
      </c>
      <c r="C1636" t="inlineStr">
        <is>
          <t>0                      LC 4019000I  48</t>
        </is>
      </c>
      <c r="D1636" t="inlineStr">
        <is>
          <t>Implementing learning in the least restrictive environment : handicapped children in the mainstream / edited by John W. Schifani, Robert M. Anderson, and Sara J. Odle.</t>
        </is>
      </c>
      <c r="F1636" t="inlineStr">
        <is>
          <t>No</t>
        </is>
      </c>
      <c r="G1636" t="inlineStr">
        <is>
          <t>1</t>
        </is>
      </c>
      <c r="H1636" t="inlineStr">
        <is>
          <t>No</t>
        </is>
      </c>
      <c r="I1636" t="inlineStr">
        <is>
          <t>No</t>
        </is>
      </c>
      <c r="J1636" t="inlineStr">
        <is>
          <t>0</t>
        </is>
      </c>
      <c r="L1636" t="inlineStr">
        <is>
          <t>Baltimore : University Park Press, c1980.</t>
        </is>
      </c>
      <c r="M1636" t="inlineStr">
        <is>
          <t>1980</t>
        </is>
      </c>
      <c r="O1636" t="inlineStr">
        <is>
          <t>eng</t>
        </is>
      </c>
      <c r="P1636" t="inlineStr">
        <is>
          <t>mdu</t>
        </is>
      </c>
      <c r="R1636" t="inlineStr">
        <is>
          <t xml:space="preserve">LC </t>
        </is>
      </c>
      <c r="S1636" t="n">
        <v>3</v>
      </c>
      <c r="T1636" t="n">
        <v>3</v>
      </c>
      <c r="U1636" t="inlineStr">
        <is>
          <t>2001-11-11</t>
        </is>
      </c>
      <c r="V1636" t="inlineStr">
        <is>
          <t>2001-11-11</t>
        </is>
      </c>
      <c r="W1636" t="inlineStr">
        <is>
          <t>1992-09-02</t>
        </is>
      </c>
      <c r="X1636" t="inlineStr">
        <is>
          <t>1992-09-02</t>
        </is>
      </c>
      <c r="Y1636" t="n">
        <v>427</v>
      </c>
      <c r="Z1636" t="n">
        <v>352</v>
      </c>
      <c r="AA1636" t="n">
        <v>353</v>
      </c>
      <c r="AB1636" t="n">
        <v>5</v>
      </c>
      <c r="AC1636" t="n">
        <v>5</v>
      </c>
      <c r="AD1636" t="n">
        <v>15</v>
      </c>
      <c r="AE1636" t="n">
        <v>15</v>
      </c>
      <c r="AF1636" t="n">
        <v>9</v>
      </c>
      <c r="AG1636" t="n">
        <v>9</v>
      </c>
      <c r="AH1636" t="n">
        <v>1</v>
      </c>
      <c r="AI1636" t="n">
        <v>1</v>
      </c>
      <c r="AJ1636" t="n">
        <v>5</v>
      </c>
      <c r="AK1636" t="n">
        <v>5</v>
      </c>
      <c r="AL1636" t="n">
        <v>4</v>
      </c>
      <c r="AM1636" t="n">
        <v>4</v>
      </c>
      <c r="AN1636" t="n">
        <v>0</v>
      </c>
      <c r="AO1636" t="n">
        <v>0</v>
      </c>
      <c r="AP1636" t="inlineStr">
        <is>
          <t>No</t>
        </is>
      </c>
      <c r="AQ1636" t="inlineStr">
        <is>
          <t>No</t>
        </is>
      </c>
      <c r="AS1636">
        <f>HYPERLINK("https://creighton-primo.hosted.exlibrisgroup.com/primo-explore/search?tab=default_tab&amp;search_scope=EVERYTHING&amp;vid=01CRU&amp;lang=en_US&amp;offset=0&amp;query=any,contains,991004885199702656","Catalog Record")</f>
        <v/>
      </c>
      <c r="AT1636">
        <f>HYPERLINK("http://www.worldcat.org/oclc/5831435","WorldCat Record")</f>
        <v/>
      </c>
      <c r="AU1636" t="inlineStr">
        <is>
          <t>890928496:eng</t>
        </is>
      </c>
      <c r="AV1636" t="inlineStr">
        <is>
          <t>5831435</t>
        </is>
      </c>
      <c r="AW1636" t="inlineStr">
        <is>
          <t>991004885199702656</t>
        </is>
      </c>
      <c r="AX1636" t="inlineStr">
        <is>
          <t>991004885199702656</t>
        </is>
      </c>
      <c r="AY1636" t="inlineStr">
        <is>
          <t>2263281010002656</t>
        </is>
      </c>
      <c r="AZ1636" t="inlineStr">
        <is>
          <t>BOOK</t>
        </is>
      </c>
      <c r="BB1636" t="inlineStr">
        <is>
          <t>9780839115380</t>
        </is>
      </c>
      <c r="BC1636" t="inlineStr">
        <is>
          <t>32285001306405</t>
        </is>
      </c>
      <c r="BD1636" t="inlineStr">
        <is>
          <t>893625202</t>
        </is>
      </c>
    </row>
    <row r="1637">
      <c r="A1637" t="inlineStr">
        <is>
          <t>No</t>
        </is>
      </c>
      <c r="B1637" t="inlineStr">
        <is>
          <t>LC4019 .K38 2004</t>
        </is>
      </c>
      <c r="C1637" t="inlineStr">
        <is>
          <t>0                      LC 4019000K  38          2004</t>
        </is>
      </c>
      <c r="D1637" t="inlineStr">
        <is>
          <t>The positive side of special education : minimizing its fads, fancies, and follies / Kenneth A. Kavale, Mark P. Mostert.</t>
        </is>
      </c>
      <c r="F1637" t="inlineStr">
        <is>
          <t>No</t>
        </is>
      </c>
      <c r="G1637" t="inlineStr">
        <is>
          <t>1</t>
        </is>
      </c>
      <c r="H1637" t="inlineStr">
        <is>
          <t>No</t>
        </is>
      </c>
      <c r="I1637" t="inlineStr">
        <is>
          <t>No</t>
        </is>
      </c>
      <c r="J1637" t="inlineStr">
        <is>
          <t>0</t>
        </is>
      </c>
      <c r="K1637" t="inlineStr">
        <is>
          <t>Kavale, Kenneth A., 1946-</t>
        </is>
      </c>
      <c r="L1637" t="inlineStr">
        <is>
          <t>Lanham, Md. : ScarecrowEducation, 2004.</t>
        </is>
      </c>
      <c r="M1637" t="inlineStr">
        <is>
          <t>2004</t>
        </is>
      </c>
      <c r="O1637" t="inlineStr">
        <is>
          <t>eng</t>
        </is>
      </c>
      <c r="P1637" t="inlineStr">
        <is>
          <t>mdu</t>
        </is>
      </c>
      <c r="R1637" t="inlineStr">
        <is>
          <t xml:space="preserve">LC </t>
        </is>
      </c>
      <c r="S1637" t="n">
        <v>1</v>
      </c>
      <c r="T1637" t="n">
        <v>1</v>
      </c>
      <c r="U1637" t="inlineStr">
        <is>
          <t>2006-07-24</t>
        </is>
      </c>
      <c r="V1637" t="inlineStr">
        <is>
          <t>2006-07-24</t>
        </is>
      </c>
      <c r="W1637" t="inlineStr">
        <is>
          <t>2006-07-24</t>
        </is>
      </c>
      <c r="X1637" t="inlineStr">
        <is>
          <t>2006-07-24</t>
        </is>
      </c>
      <c r="Y1637" t="n">
        <v>647</v>
      </c>
      <c r="Z1637" t="n">
        <v>577</v>
      </c>
      <c r="AA1637" t="n">
        <v>578</v>
      </c>
      <c r="AB1637" t="n">
        <v>6</v>
      </c>
      <c r="AC1637" t="n">
        <v>6</v>
      </c>
      <c r="AD1637" t="n">
        <v>29</v>
      </c>
      <c r="AE1637" t="n">
        <v>29</v>
      </c>
      <c r="AF1637" t="n">
        <v>13</v>
      </c>
      <c r="AG1637" t="n">
        <v>13</v>
      </c>
      <c r="AH1637" t="n">
        <v>4</v>
      </c>
      <c r="AI1637" t="n">
        <v>4</v>
      </c>
      <c r="AJ1637" t="n">
        <v>13</v>
      </c>
      <c r="AK1637" t="n">
        <v>13</v>
      </c>
      <c r="AL1637" t="n">
        <v>5</v>
      </c>
      <c r="AM1637" t="n">
        <v>5</v>
      </c>
      <c r="AN1637" t="n">
        <v>0</v>
      </c>
      <c r="AO1637" t="n">
        <v>0</v>
      </c>
      <c r="AP1637" t="inlineStr">
        <is>
          <t>No</t>
        </is>
      </c>
      <c r="AQ1637" t="inlineStr">
        <is>
          <t>No</t>
        </is>
      </c>
      <c r="AS1637">
        <f>HYPERLINK("https://creighton-primo.hosted.exlibrisgroup.com/primo-explore/search?tab=default_tab&amp;search_scope=EVERYTHING&amp;vid=01CRU&amp;lang=en_US&amp;offset=0&amp;query=any,contains,991004853849702656","Catalog Record")</f>
        <v/>
      </c>
      <c r="AT1637">
        <f>HYPERLINK("http://www.worldcat.org/oclc/53814504","WorldCat Record")</f>
        <v/>
      </c>
      <c r="AU1637" t="inlineStr">
        <is>
          <t>12387948:eng</t>
        </is>
      </c>
      <c r="AV1637" t="inlineStr">
        <is>
          <t>53814504</t>
        </is>
      </c>
      <c r="AW1637" t="inlineStr">
        <is>
          <t>991004853849702656</t>
        </is>
      </c>
      <c r="AX1637" t="inlineStr">
        <is>
          <t>991004853849702656</t>
        </is>
      </c>
      <c r="AY1637" t="inlineStr">
        <is>
          <t>2271796470002656</t>
        </is>
      </c>
      <c r="AZ1637" t="inlineStr">
        <is>
          <t>BOOK</t>
        </is>
      </c>
      <c r="BB1637" t="inlineStr">
        <is>
          <t>9781578860975</t>
        </is>
      </c>
      <c r="BC1637" t="inlineStr">
        <is>
          <t>32285005197388</t>
        </is>
      </c>
      <c r="BD1637" t="inlineStr">
        <is>
          <t>893870190</t>
        </is>
      </c>
    </row>
    <row r="1638">
      <c r="A1638" t="inlineStr">
        <is>
          <t>No</t>
        </is>
      </c>
      <c r="B1638" t="inlineStr">
        <is>
          <t>LC4019 .R63 1983</t>
        </is>
      </c>
      <c r="C1638" t="inlineStr">
        <is>
          <t>0                      LC 4019000R  63          1983</t>
        </is>
      </c>
      <c r="D1638" t="inlineStr">
        <is>
          <t>The classroom teacher's guide to mainstreaming / by Arlyn J. Roffman.</t>
        </is>
      </c>
      <c r="F1638" t="inlineStr">
        <is>
          <t>No</t>
        </is>
      </c>
      <c r="G1638" t="inlineStr">
        <is>
          <t>1</t>
        </is>
      </c>
      <c r="H1638" t="inlineStr">
        <is>
          <t>No</t>
        </is>
      </c>
      <c r="I1638" t="inlineStr">
        <is>
          <t>No</t>
        </is>
      </c>
      <c r="J1638" t="inlineStr">
        <is>
          <t>0</t>
        </is>
      </c>
      <c r="K1638" t="inlineStr">
        <is>
          <t>Roffman, Arlyn J.</t>
        </is>
      </c>
      <c r="L1638" t="inlineStr">
        <is>
          <t>Springfield, Ill. : C.C. Thomas, c1983.</t>
        </is>
      </c>
      <c r="M1638" t="inlineStr">
        <is>
          <t>1983</t>
        </is>
      </c>
      <c r="O1638" t="inlineStr">
        <is>
          <t>eng</t>
        </is>
      </c>
      <c r="P1638" t="inlineStr">
        <is>
          <t>ilu</t>
        </is>
      </c>
      <c r="R1638" t="inlineStr">
        <is>
          <t xml:space="preserve">LC </t>
        </is>
      </c>
      <c r="S1638" t="n">
        <v>11</v>
      </c>
      <c r="T1638" t="n">
        <v>11</v>
      </c>
      <c r="U1638" t="inlineStr">
        <is>
          <t>2004-11-01</t>
        </is>
      </c>
      <c r="V1638" t="inlineStr">
        <is>
          <t>2004-11-01</t>
        </is>
      </c>
      <c r="W1638" t="inlineStr">
        <is>
          <t>1992-09-02</t>
        </is>
      </c>
      <c r="X1638" t="inlineStr">
        <is>
          <t>1992-09-02</t>
        </is>
      </c>
      <c r="Y1638" t="n">
        <v>269</v>
      </c>
      <c r="Z1638" t="n">
        <v>232</v>
      </c>
      <c r="AA1638" t="n">
        <v>238</v>
      </c>
      <c r="AB1638" t="n">
        <v>4</v>
      </c>
      <c r="AC1638" t="n">
        <v>4</v>
      </c>
      <c r="AD1638" t="n">
        <v>7</v>
      </c>
      <c r="AE1638" t="n">
        <v>7</v>
      </c>
      <c r="AF1638" t="n">
        <v>2</v>
      </c>
      <c r="AG1638" t="n">
        <v>2</v>
      </c>
      <c r="AH1638" t="n">
        <v>1</v>
      </c>
      <c r="AI1638" t="n">
        <v>1</v>
      </c>
      <c r="AJ1638" t="n">
        <v>2</v>
      </c>
      <c r="AK1638" t="n">
        <v>2</v>
      </c>
      <c r="AL1638" t="n">
        <v>3</v>
      </c>
      <c r="AM1638" t="n">
        <v>3</v>
      </c>
      <c r="AN1638" t="n">
        <v>0</v>
      </c>
      <c r="AO1638" t="n">
        <v>0</v>
      </c>
      <c r="AP1638" t="inlineStr">
        <is>
          <t>No</t>
        </is>
      </c>
      <c r="AQ1638" t="inlineStr">
        <is>
          <t>Yes</t>
        </is>
      </c>
      <c r="AR1638">
        <f>HYPERLINK("http://catalog.hathitrust.org/Record/000197776","HathiTrust Record")</f>
        <v/>
      </c>
      <c r="AS1638">
        <f>HYPERLINK("https://creighton-primo.hosted.exlibrisgroup.com/primo-explore/search?tab=default_tab&amp;search_scope=EVERYTHING&amp;vid=01CRU&amp;lang=en_US&amp;offset=0&amp;query=any,contains,991000082149702656","Catalog Record")</f>
        <v/>
      </c>
      <c r="AT1638">
        <f>HYPERLINK("http://www.worldcat.org/oclc/8845438","WorldCat Record")</f>
        <v/>
      </c>
      <c r="AU1638" t="inlineStr">
        <is>
          <t>43226354:eng</t>
        </is>
      </c>
      <c r="AV1638" t="inlineStr">
        <is>
          <t>8845438</t>
        </is>
      </c>
      <c r="AW1638" t="inlineStr">
        <is>
          <t>991000082149702656</t>
        </is>
      </c>
      <c r="AX1638" t="inlineStr">
        <is>
          <t>991000082149702656</t>
        </is>
      </c>
      <c r="AY1638" t="inlineStr">
        <is>
          <t>2254830540002656</t>
        </is>
      </c>
      <c r="AZ1638" t="inlineStr">
        <is>
          <t>BOOK</t>
        </is>
      </c>
      <c r="BB1638" t="inlineStr">
        <is>
          <t>9780398047863</t>
        </is>
      </c>
      <c r="BC1638" t="inlineStr">
        <is>
          <t>32285001306546</t>
        </is>
      </c>
      <c r="BD1638" t="inlineStr">
        <is>
          <t>893333189</t>
        </is>
      </c>
    </row>
    <row r="1639">
      <c r="A1639" t="inlineStr">
        <is>
          <t>No</t>
        </is>
      </c>
      <c r="B1639" t="inlineStr">
        <is>
          <t>LC4025 .K76</t>
        </is>
      </c>
      <c r="C1639" t="inlineStr">
        <is>
          <t>0                      LC 4025000K  76</t>
        </is>
      </c>
      <c r="D1639" t="inlineStr">
        <is>
          <t>Art instruction for handicapped children / [by] Ann Krone. --</t>
        </is>
      </c>
      <c r="F1639" t="inlineStr">
        <is>
          <t>No</t>
        </is>
      </c>
      <c r="G1639" t="inlineStr">
        <is>
          <t>1</t>
        </is>
      </c>
      <c r="H1639" t="inlineStr">
        <is>
          <t>No</t>
        </is>
      </c>
      <c r="I1639" t="inlineStr">
        <is>
          <t>No</t>
        </is>
      </c>
      <c r="J1639" t="inlineStr">
        <is>
          <t>0</t>
        </is>
      </c>
      <c r="K1639" t="inlineStr">
        <is>
          <t>Krone, Ann.</t>
        </is>
      </c>
      <c r="L1639" t="inlineStr">
        <is>
          <t>Denver, Colorado : Love Pub., 1978.</t>
        </is>
      </c>
      <c r="M1639" t="inlineStr">
        <is>
          <t>1978</t>
        </is>
      </c>
      <c r="O1639" t="inlineStr">
        <is>
          <t>eng</t>
        </is>
      </c>
      <c r="P1639" t="inlineStr">
        <is>
          <t>cou</t>
        </is>
      </c>
      <c r="R1639" t="inlineStr">
        <is>
          <t xml:space="preserve">LC </t>
        </is>
      </c>
      <c r="S1639" t="n">
        <v>2</v>
      </c>
      <c r="T1639" t="n">
        <v>2</v>
      </c>
      <c r="U1639" t="inlineStr">
        <is>
          <t>1999-12-06</t>
        </is>
      </c>
      <c r="V1639" t="inlineStr">
        <is>
          <t>1999-12-06</t>
        </is>
      </c>
      <c r="W1639" t="inlineStr">
        <is>
          <t>1992-09-02</t>
        </is>
      </c>
      <c r="X1639" t="inlineStr">
        <is>
          <t>1992-09-02</t>
        </is>
      </c>
      <c r="Y1639" t="n">
        <v>164</v>
      </c>
      <c r="Z1639" t="n">
        <v>140</v>
      </c>
      <c r="AA1639" t="n">
        <v>141</v>
      </c>
      <c r="AB1639" t="n">
        <v>1</v>
      </c>
      <c r="AC1639" t="n">
        <v>1</v>
      </c>
      <c r="AD1639" t="n">
        <v>2</v>
      </c>
      <c r="AE1639" t="n">
        <v>2</v>
      </c>
      <c r="AF1639" t="n">
        <v>1</v>
      </c>
      <c r="AG1639" t="n">
        <v>1</v>
      </c>
      <c r="AH1639" t="n">
        <v>0</v>
      </c>
      <c r="AI1639" t="n">
        <v>0</v>
      </c>
      <c r="AJ1639" t="n">
        <v>2</v>
      </c>
      <c r="AK1639" t="n">
        <v>2</v>
      </c>
      <c r="AL1639" t="n">
        <v>0</v>
      </c>
      <c r="AM1639" t="n">
        <v>0</v>
      </c>
      <c r="AN1639" t="n">
        <v>0</v>
      </c>
      <c r="AO1639" t="n">
        <v>0</v>
      </c>
      <c r="AP1639" t="inlineStr">
        <is>
          <t>No</t>
        </is>
      </c>
      <c r="AQ1639" t="inlineStr">
        <is>
          <t>No</t>
        </is>
      </c>
      <c r="AS1639">
        <f>HYPERLINK("https://creighton-primo.hosted.exlibrisgroup.com/primo-explore/search?tab=default_tab&amp;search_scope=EVERYTHING&amp;vid=01CRU&amp;lang=en_US&amp;offset=0&amp;query=any,contains,991004633339702656","Catalog Record")</f>
        <v/>
      </c>
      <c r="AT1639">
        <f>HYPERLINK("http://www.worldcat.org/oclc/4387666","WorldCat Record")</f>
        <v/>
      </c>
      <c r="AU1639" t="inlineStr">
        <is>
          <t>14737296:eng</t>
        </is>
      </c>
      <c r="AV1639" t="inlineStr">
        <is>
          <t>4387666</t>
        </is>
      </c>
      <c r="AW1639" t="inlineStr">
        <is>
          <t>991004633339702656</t>
        </is>
      </c>
      <c r="AX1639" t="inlineStr">
        <is>
          <t>991004633339702656</t>
        </is>
      </c>
      <c r="AY1639" t="inlineStr">
        <is>
          <t>2262449500002656</t>
        </is>
      </c>
      <c r="AZ1639" t="inlineStr">
        <is>
          <t>BOOK</t>
        </is>
      </c>
      <c r="BC1639" t="inlineStr">
        <is>
          <t>32285001306843</t>
        </is>
      </c>
      <c r="BD1639" t="inlineStr">
        <is>
          <t>893424017</t>
        </is>
      </c>
    </row>
    <row r="1640">
      <c r="A1640" t="inlineStr">
        <is>
          <t>No</t>
        </is>
      </c>
      <c r="B1640" t="inlineStr">
        <is>
          <t>LC4025 .S54</t>
        </is>
      </c>
      <c r="C1640" t="inlineStr">
        <is>
          <t>0                      LC 4025000S  54</t>
        </is>
      </c>
      <c r="D1640" t="inlineStr">
        <is>
          <t>Developing cognitive and creative skills through art : programs for children with communication disorders or learning disabilities / Rawley A. Silver.</t>
        </is>
      </c>
      <c r="F1640" t="inlineStr">
        <is>
          <t>No</t>
        </is>
      </c>
      <c r="G1640" t="inlineStr">
        <is>
          <t>1</t>
        </is>
      </c>
      <c r="H1640" t="inlineStr">
        <is>
          <t>No</t>
        </is>
      </c>
      <c r="I1640" t="inlineStr">
        <is>
          <t>No</t>
        </is>
      </c>
      <c r="J1640" t="inlineStr">
        <is>
          <t>0</t>
        </is>
      </c>
      <c r="K1640" t="inlineStr">
        <is>
          <t>Silver, Rawley A.</t>
        </is>
      </c>
      <c r="L1640" t="inlineStr">
        <is>
          <t>Baltimore : University Park Press, c1978.</t>
        </is>
      </c>
      <c r="M1640" t="inlineStr">
        <is>
          <t>1978</t>
        </is>
      </c>
      <c r="O1640" t="inlineStr">
        <is>
          <t>eng</t>
        </is>
      </c>
      <c r="P1640" t="inlineStr">
        <is>
          <t>mdu</t>
        </is>
      </c>
      <c r="R1640" t="inlineStr">
        <is>
          <t xml:space="preserve">LC </t>
        </is>
      </c>
      <c r="S1640" t="n">
        <v>3</v>
      </c>
      <c r="T1640" t="n">
        <v>3</v>
      </c>
      <c r="U1640" t="inlineStr">
        <is>
          <t>2009-03-11</t>
        </is>
      </c>
      <c r="V1640" t="inlineStr">
        <is>
          <t>2009-03-11</t>
        </is>
      </c>
      <c r="W1640" t="inlineStr">
        <is>
          <t>1992-09-02</t>
        </is>
      </c>
      <c r="X1640" t="inlineStr">
        <is>
          <t>1992-09-02</t>
        </is>
      </c>
      <c r="Y1640" t="n">
        <v>423</v>
      </c>
      <c r="Z1640" t="n">
        <v>351</v>
      </c>
      <c r="AA1640" t="n">
        <v>398</v>
      </c>
      <c r="AB1640" t="n">
        <v>5</v>
      </c>
      <c r="AC1640" t="n">
        <v>6</v>
      </c>
      <c r="AD1640" t="n">
        <v>9</v>
      </c>
      <c r="AE1640" t="n">
        <v>13</v>
      </c>
      <c r="AF1640" t="n">
        <v>2</v>
      </c>
      <c r="AG1640" t="n">
        <v>5</v>
      </c>
      <c r="AH1640" t="n">
        <v>1</v>
      </c>
      <c r="AI1640" t="n">
        <v>1</v>
      </c>
      <c r="AJ1640" t="n">
        <v>4</v>
      </c>
      <c r="AK1640" t="n">
        <v>5</v>
      </c>
      <c r="AL1640" t="n">
        <v>3</v>
      </c>
      <c r="AM1640" t="n">
        <v>4</v>
      </c>
      <c r="AN1640" t="n">
        <v>0</v>
      </c>
      <c r="AO1640" t="n">
        <v>0</v>
      </c>
      <c r="AP1640" t="inlineStr">
        <is>
          <t>No</t>
        </is>
      </c>
      <c r="AQ1640" t="inlineStr">
        <is>
          <t>No</t>
        </is>
      </c>
      <c r="AS1640">
        <f>HYPERLINK("https://creighton-primo.hosted.exlibrisgroup.com/primo-explore/search?tab=default_tab&amp;search_scope=EVERYTHING&amp;vid=01CRU&amp;lang=en_US&amp;offset=0&amp;query=any,contains,991004528259702656","Catalog Record")</f>
        <v/>
      </c>
      <c r="AT1640">
        <f>HYPERLINK("http://www.worldcat.org/oclc/3844313","WorldCat Record")</f>
        <v/>
      </c>
      <c r="AU1640" t="inlineStr">
        <is>
          <t>7507665:eng</t>
        </is>
      </c>
      <c r="AV1640" t="inlineStr">
        <is>
          <t>3844313</t>
        </is>
      </c>
      <c r="AW1640" t="inlineStr">
        <is>
          <t>991004528259702656</t>
        </is>
      </c>
      <c r="AX1640" t="inlineStr">
        <is>
          <t>991004528259702656</t>
        </is>
      </c>
      <c r="AY1640" t="inlineStr">
        <is>
          <t>2264691530002656</t>
        </is>
      </c>
      <c r="AZ1640" t="inlineStr">
        <is>
          <t>BOOK</t>
        </is>
      </c>
      <c r="BB1640" t="inlineStr">
        <is>
          <t>9780839112488</t>
        </is>
      </c>
      <c r="BC1640" t="inlineStr">
        <is>
          <t>32285001306850</t>
        </is>
      </c>
      <c r="BD1640" t="inlineStr">
        <is>
          <t>893247685</t>
        </is>
      </c>
    </row>
    <row r="1641">
      <c r="A1641" t="inlineStr">
        <is>
          <t>No</t>
        </is>
      </c>
      <c r="B1641" t="inlineStr">
        <is>
          <t>LC4031 .C18 1987</t>
        </is>
      </c>
      <c r="C1641" t="inlineStr">
        <is>
          <t>0                      LC 4031000C  18          1987</t>
        </is>
      </c>
      <c r="D1641" t="inlineStr">
        <is>
          <t>Educating disabled people for the 21st century / by Edward J. Cain, Jr. and Florence M. Taber.</t>
        </is>
      </c>
      <c r="F1641" t="inlineStr">
        <is>
          <t>No</t>
        </is>
      </c>
      <c r="G1641" t="inlineStr">
        <is>
          <t>1</t>
        </is>
      </c>
      <c r="H1641" t="inlineStr">
        <is>
          <t>No</t>
        </is>
      </c>
      <c r="I1641" t="inlineStr">
        <is>
          <t>No</t>
        </is>
      </c>
      <c r="J1641" t="inlineStr">
        <is>
          <t>0</t>
        </is>
      </c>
      <c r="K1641" t="inlineStr">
        <is>
          <t>Cain, Edward J., 1944-</t>
        </is>
      </c>
      <c r="L1641" t="inlineStr">
        <is>
          <t>San Diego, CA : College-Hill Press, c1987.</t>
        </is>
      </c>
      <c r="M1641" t="inlineStr">
        <is>
          <t>1987</t>
        </is>
      </c>
      <c r="O1641" t="inlineStr">
        <is>
          <t>eng</t>
        </is>
      </c>
      <c r="P1641" t="inlineStr">
        <is>
          <t>cau</t>
        </is>
      </c>
      <c r="R1641" t="inlineStr">
        <is>
          <t xml:space="preserve">LC </t>
        </is>
      </c>
      <c r="S1641" t="n">
        <v>6</v>
      </c>
      <c r="T1641" t="n">
        <v>6</v>
      </c>
      <c r="U1641" t="inlineStr">
        <is>
          <t>2001-11-11</t>
        </is>
      </c>
      <c r="V1641" t="inlineStr">
        <is>
          <t>2001-11-11</t>
        </is>
      </c>
      <c r="W1641" t="inlineStr">
        <is>
          <t>1992-09-03</t>
        </is>
      </c>
      <c r="X1641" t="inlineStr">
        <is>
          <t>1992-09-03</t>
        </is>
      </c>
      <c r="Y1641" t="n">
        <v>278</v>
      </c>
      <c r="Z1641" t="n">
        <v>235</v>
      </c>
      <c r="AA1641" t="n">
        <v>242</v>
      </c>
      <c r="AB1641" t="n">
        <v>3</v>
      </c>
      <c r="AC1641" t="n">
        <v>3</v>
      </c>
      <c r="AD1641" t="n">
        <v>6</v>
      </c>
      <c r="AE1641" t="n">
        <v>6</v>
      </c>
      <c r="AF1641" t="n">
        <v>0</v>
      </c>
      <c r="AG1641" t="n">
        <v>0</v>
      </c>
      <c r="AH1641" t="n">
        <v>2</v>
      </c>
      <c r="AI1641" t="n">
        <v>2</v>
      </c>
      <c r="AJ1641" t="n">
        <v>4</v>
      </c>
      <c r="AK1641" t="n">
        <v>4</v>
      </c>
      <c r="AL1641" t="n">
        <v>1</v>
      </c>
      <c r="AM1641" t="n">
        <v>1</v>
      </c>
      <c r="AN1641" t="n">
        <v>0</v>
      </c>
      <c r="AO1641" t="n">
        <v>0</v>
      </c>
      <c r="AP1641" t="inlineStr">
        <is>
          <t>No</t>
        </is>
      </c>
      <c r="AQ1641" t="inlineStr">
        <is>
          <t>Yes</t>
        </is>
      </c>
      <c r="AR1641">
        <f>HYPERLINK("http://catalog.hathitrust.org/Record/000839053","HathiTrust Record")</f>
        <v/>
      </c>
      <c r="AS1641">
        <f>HYPERLINK("https://creighton-primo.hosted.exlibrisgroup.com/primo-explore/search?tab=default_tab&amp;search_scope=EVERYTHING&amp;vid=01CRU&amp;lang=en_US&amp;offset=0&amp;query=any,contains,991001055419702656","Catalog Record")</f>
        <v/>
      </c>
      <c r="AT1641">
        <f>HYPERLINK("http://www.worldcat.org/oclc/15695724","WorldCat Record")</f>
        <v/>
      </c>
      <c r="AU1641" t="inlineStr">
        <is>
          <t>10709372:eng</t>
        </is>
      </c>
      <c r="AV1641" t="inlineStr">
        <is>
          <t>15695724</t>
        </is>
      </c>
      <c r="AW1641" t="inlineStr">
        <is>
          <t>991001055419702656</t>
        </is>
      </c>
      <c r="AX1641" t="inlineStr">
        <is>
          <t>991001055419702656</t>
        </is>
      </c>
      <c r="AY1641" t="inlineStr">
        <is>
          <t>2263924770002656</t>
        </is>
      </c>
      <c r="AZ1641" t="inlineStr">
        <is>
          <t>BOOK</t>
        </is>
      </c>
      <c r="BB1641" t="inlineStr">
        <is>
          <t>9780316123815</t>
        </is>
      </c>
      <c r="BC1641" t="inlineStr">
        <is>
          <t>32285001307023</t>
        </is>
      </c>
      <c r="BD1641" t="inlineStr">
        <is>
          <t>893522252</t>
        </is>
      </c>
    </row>
    <row r="1642">
      <c r="A1642" t="inlineStr">
        <is>
          <t>No</t>
        </is>
      </c>
      <c r="B1642" t="inlineStr">
        <is>
          <t>LC4031 .F34 1985</t>
        </is>
      </c>
      <c r="C1642" t="inlineStr">
        <is>
          <t>0                      LC 4031000F  34          1985</t>
        </is>
      </c>
      <c r="D1642" t="inlineStr">
        <is>
          <t>Young children with special needs / Nancy H. Fallen, Warren Umansky.</t>
        </is>
      </c>
      <c r="F1642" t="inlineStr">
        <is>
          <t>No</t>
        </is>
      </c>
      <c r="G1642" t="inlineStr">
        <is>
          <t>1</t>
        </is>
      </c>
      <c r="H1642" t="inlineStr">
        <is>
          <t>No</t>
        </is>
      </c>
      <c r="I1642" t="inlineStr">
        <is>
          <t>No</t>
        </is>
      </c>
      <c r="J1642" t="inlineStr">
        <is>
          <t>0</t>
        </is>
      </c>
      <c r="K1642" t="inlineStr">
        <is>
          <t>Fallen, Nancy H.</t>
        </is>
      </c>
      <c r="L1642" t="inlineStr">
        <is>
          <t>Columbus : C. E. Merrill, 1985.</t>
        </is>
      </c>
      <c r="M1642" t="inlineStr">
        <is>
          <t>1985</t>
        </is>
      </c>
      <c r="N1642" t="inlineStr">
        <is>
          <t>2nd ed.</t>
        </is>
      </c>
      <c r="O1642" t="inlineStr">
        <is>
          <t>eng</t>
        </is>
      </c>
      <c r="P1642" t="inlineStr">
        <is>
          <t>ohu</t>
        </is>
      </c>
      <c r="R1642" t="inlineStr">
        <is>
          <t xml:space="preserve">LC </t>
        </is>
      </c>
      <c r="S1642" t="n">
        <v>4</v>
      </c>
      <c r="T1642" t="n">
        <v>4</v>
      </c>
      <c r="U1642" t="inlineStr">
        <is>
          <t>2000-03-19</t>
        </is>
      </c>
      <c r="V1642" t="inlineStr">
        <is>
          <t>2000-03-19</t>
        </is>
      </c>
      <c r="W1642" t="inlineStr">
        <is>
          <t>1991-12-10</t>
        </is>
      </c>
      <c r="X1642" t="inlineStr">
        <is>
          <t>1991-12-10</t>
        </is>
      </c>
      <c r="Y1642" t="n">
        <v>237</v>
      </c>
      <c r="Z1642" t="n">
        <v>184</v>
      </c>
      <c r="AA1642" t="n">
        <v>380</v>
      </c>
      <c r="AB1642" t="n">
        <v>3</v>
      </c>
      <c r="AC1642" t="n">
        <v>3</v>
      </c>
      <c r="AD1642" t="n">
        <v>9</v>
      </c>
      <c r="AE1642" t="n">
        <v>11</v>
      </c>
      <c r="AF1642" t="n">
        <v>4</v>
      </c>
      <c r="AG1642" t="n">
        <v>4</v>
      </c>
      <c r="AH1642" t="n">
        <v>1</v>
      </c>
      <c r="AI1642" t="n">
        <v>2</v>
      </c>
      <c r="AJ1642" t="n">
        <v>5</v>
      </c>
      <c r="AK1642" t="n">
        <v>7</v>
      </c>
      <c r="AL1642" t="n">
        <v>2</v>
      </c>
      <c r="AM1642" t="n">
        <v>2</v>
      </c>
      <c r="AN1642" t="n">
        <v>0</v>
      </c>
      <c r="AO1642" t="n">
        <v>0</v>
      </c>
      <c r="AP1642" t="inlineStr">
        <is>
          <t>No</t>
        </is>
      </c>
      <c r="AQ1642" t="inlineStr">
        <is>
          <t>No</t>
        </is>
      </c>
      <c r="AS1642">
        <f>HYPERLINK("https://creighton-primo.hosted.exlibrisgroup.com/primo-explore/search?tab=default_tab&amp;search_scope=EVERYTHING&amp;vid=01CRU&amp;lang=en_US&amp;offset=0&amp;query=any,contains,991000556519702656","Catalog Record")</f>
        <v/>
      </c>
      <c r="AT1642">
        <f>HYPERLINK("http://www.worldcat.org/oclc/11563552","WorldCat Record")</f>
        <v/>
      </c>
      <c r="AU1642" t="inlineStr">
        <is>
          <t>9657370240:eng</t>
        </is>
      </c>
      <c r="AV1642" t="inlineStr">
        <is>
          <t>11563552</t>
        </is>
      </c>
      <c r="AW1642" t="inlineStr">
        <is>
          <t>991000556519702656</t>
        </is>
      </c>
      <c r="AX1642" t="inlineStr">
        <is>
          <t>991000556519702656</t>
        </is>
      </c>
      <c r="AY1642" t="inlineStr">
        <is>
          <t>2260425470002656</t>
        </is>
      </c>
      <c r="AZ1642" t="inlineStr">
        <is>
          <t>BOOK</t>
        </is>
      </c>
      <c r="BB1642" t="inlineStr">
        <is>
          <t>9780675204002</t>
        </is>
      </c>
      <c r="BC1642" t="inlineStr">
        <is>
          <t>32285000886563</t>
        </is>
      </c>
      <c r="BD1642" t="inlineStr">
        <is>
          <t>893878162</t>
        </is>
      </c>
    </row>
    <row r="1643">
      <c r="A1643" t="inlineStr">
        <is>
          <t>No</t>
        </is>
      </c>
      <c r="B1643" t="inlineStr">
        <is>
          <t>LC4031 .G42</t>
        </is>
      </c>
      <c r="C1643" t="inlineStr">
        <is>
          <t>0                      LC 4031000G  42</t>
        </is>
      </c>
      <c r="D1643" t="inlineStr">
        <is>
          <t>Organization and administration of educational programs for exceptional children, by B. R. Gearheart.</t>
        </is>
      </c>
      <c r="F1643" t="inlineStr">
        <is>
          <t>No</t>
        </is>
      </c>
      <c r="G1643" t="inlineStr">
        <is>
          <t>1</t>
        </is>
      </c>
      <c r="H1643" t="inlineStr">
        <is>
          <t>No</t>
        </is>
      </c>
      <c r="I1643" t="inlineStr">
        <is>
          <t>No</t>
        </is>
      </c>
      <c r="J1643" t="inlineStr">
        <is>
          <t>0</t>
        </is>
      </c>
      <c r="K1643" t="inlineStr">
        <is>
          <t>Gearheart, Bill R. (Bill Ray), 1928-</t>
        </is>
      </c>
      <c r="L1643" t="inlineStr">
        <is>
          <t>Springfield, Ill., Thomas [1974]</t>
        </is>
      </c>
      <c r="M1643" t="inlineStr">
        <is>
          <t>1974</t>
        </is>
      </c>
      <c r="O1643" t="inlineStr">
        <is>
          <t>eng</t>
        </is>
      </c>
      <c r="P1643" t="inlineStr">
        <is>
          <t>ilu</t>
        </is>
      </c>
      <c r="R1643" t="inlineStr">
        <is>
          <t xml:space="preserve">LC </t>
        </is>
      </c>
      <c r="S1643" t="n">
        <v>1</v>
      </c>
      <c r="T1643" t="n">
        <v>1</v>
      </c>
      <c r="U1643" t="inlineStr">
        <is>
          <t>2002-03-15</t>
        </is>
      </c>
      <c r="V1643" t="inlineStr">
        <is>
          <t>2002-03-15</t>
        </is>
      </c>
      <c r="W1643" t="inlineStr">
        <is>
          <t>1997-06-12</t>
        </is>
      </c>
      <c r="X1643" t="inlineStr">
        <is>
          <t>1997-06-12</t>
        </is>
      </c>
      <c r="Y1643" t="n">
        <v>263</v>
      </c>
      <c r="Z1643" t="n">
        <v>233</v>
      </c>
      <c r="AA1643" t="n">
        <v>329</v>
      </c>
      <c r="AB1643" t="n">
        <v>3</v>
      </c>
      <c r="AC1643" t="n">
        <v>3</v>
      </c>
      <c r="AD1643" t="n">
        <v>10</v>
      </c>
      <c r="AE1643" t="n">
        <v>12</v>
      </c>
      <c r="AF1643" t="n">
        <v>1</v>
      </c>
      <c r="AG1643" t="n">
        <v>3</v>
      </c>
      <c r="AH1643" t="n">
        <v>2</v>
      </c>
      <c r="AI1643" t="n">
        <v>2</v>
      </c>
      <c r="AJ1643" t="n">
        <v>6</v>
      </c>
      <c r="AK1643" t="n">
        <v>8</v>
      </c>
      <c r="AL1643" t="n">
        <v>2</v>
      </c>
      <c r="AM1643" t="n">
        <v>2</v>
      </c>
      <c r="AN1643" t="n">
        <v>0</v>
      </c>
      <c r="AO1643" t="n">
        <v>0</v>
      </c>
      <c r="AP1643" t="inlineStr">
        <is>
          <t>No</t>
        </is>
      </c>
      <c r="AQ1643" t="inlineStr">
        <is>
          <t>Yes</t>
        </is>
      </c>
      <c r="AR1643">
        <f>HYPERLINK("http://catalog.hathitrust.org/Record/000009464","HathiTrust Record")</f>
        <v/>
      </c>
      <c r="AS1643">
        <f>HYPERLINK("https://creighton-primo.hosted.exlibrisgroup.com/primo-explore/search?tab=default_tab&amp;search_scope=EVERYTHING&amp;vid=01CRU&amp;lang=en_US&amp;offset=0&amp;query=any,contains,991003128999702656","Catalog Record")</f>
        <v/>
      </c>
      <c r="AT1643">
        <f>HYPERLINK("http://www.worldcat.org/oclc/672229","WorldCat Record")</f>
        <v/>
      </c>
      <c r="AU1643" t="inlineStr">
        <is>
          <t>218578:eng</t>
        </is>
      </c>
      <c r="AV1643" t="inlineStr">
        <is>
          <t>672229</t>
        </is>
      </c>
      <c r="AW1643" t="inlineStr">
        <is>
          <t>991003128999702656</t>
        </is>
      </c>
      <c r="AX1643" t="inlineStr">
        <is>
          <t>991003128999702656</t>
        </is>
      </c>
      <c r="AY1643" t="inlineStr">
        <is>
          <t>2267850330002656</t>
        </is>
      </c>
      <c r="AZ1643" t="inlineStr">
        <is>
          <t>BOOK</t>
        </is>
      </c>
      <c r="BB1643" t="inlineStr">
        <is>
          <t>9780398029715</t>
        </is>
      </c>
      <c r="BC1643" t="inlineStr">
        <is>
          <t>32285002804317</t>
        </is>
      </c>
      <c r="BD1643" t="inlineStr">
        <is>
          <t>893323790</t>
        </is>
      </c>
    </row>
    <row r="1644">
      <c r="A1644" t="inlineStr">
        <is>
          <t>No</t>
        </is>
      </c>
      <c r="B1644" t="inlineStr">
        <is>
          <t>LC4031 .H66 1985</t>
        </is>
      </c>
      <c r="C1644" t="inlineStr">
        <is>
          <t>0                      LC 4031000H  66          1985</t>
        </is>
      </c>
      <c r="D1644" t="inlineStr">
        <is>
          <t>Attitudes toward handicapped students : professional, peer and parent reactions / Marcia D. Horne.</t>
        </is>
      </c>
      <c r="F1644" t="inlineStr">
        <is>
          <t>No</t>
        </is>
      </c>
      <c r="G1644" t="inlineStr">
        <is>
          <t>1</t>
        </is>
      </c>
      <c r="H1644" t="inlineStr">
        <is>
          <t>No</t>
        </is>
      </c>
      <c r="I1644" t="inlineStr">
        <is>
          <t>No</t>
        </is>
      </c>
      <c r="J1644" t="inlineStr">
        <is>
          <t>0</t>
        </is>
      </c>
      <c r="K1644" t="inlineStr">
        <is>
          <t>Horne, Marcia D.</t>
        </is>
      </c>
      <c r="L1644" t="inlineStr">
        <is>
          <t>Hillsdale, N.J. : Erlbaum, 1985.</t>
        </is>
      </c>
      <c r="M1644" t="inlineStr">
        <is>
          <t>1985</t>
        </is>
      </c>
      <c r="O1644" t="inlineStr">
        <is>
          <t>eng</t>
        </is>
      </c>
      <c r="P1644" t="inlineStr">
        <is>
          <t>nju</t>
        </is>
      </c>
      <c r="R1644" t="inlineStr">
        <is>
          <t xml:space="preserve">LC </t>
        </is>
      </c>
      <c r="S1644" t="n">
        <v>8</v>
      </c>
      <c r="T1644" t="n">
        <v>8</v>
      </c>
      <c r="U1644" t="inlineStr">
        <is>
          <t>2003-03-19</t>
        </is>
      </c>
      <c r="V1644" t="inlineStr">
        <is>
          <t>2003-03-19</t>
        </is>
      </c>
      <c r="W1644" t="inlineStr">
        <is>
          <t>1992-09-03</t>
        </is>
      </c>
      <c r="X1644" t="inlineStr">
        <is>
          <t>1992-09-03</t>
        </is>
      </c>
      <c r="Y1644" t="n">
        <v>536</v>
      </c>
      <c r="Z1644" t="n">
        <v>469</v>
      </c>
      <c r="AA1644" t="n">
        <v>493</v>
      </c>
      <c r="AB1644" t="n">
        <v>6</v>
      </c>
      <c r="AC1644" t="n">
        <v>6</v>
      </c>
      <c r="AD1644" t="n">
        <v>23</v>
      </c>
      <c r="AE1644" t="n">
        <v>23</v>
      </c>
      <c r="AF1644" t="n">
        <v>10</v>
      </c>
      <c r="AG1644" t="n">
        <v>10</v>
      </c>
      <c r="AH1644" t="n">
        <v>2</v>
      </c>
      <c r="AI1644" t="n">
        <v>2</v>
      </c>
      <c r="AJ1644" t="n">
        <v>11</v>
      </c>
      <c r="AK1644" t="n">
        <v>11</v>
      </c>
      <c r="AL1644" t="n">
        <v>5</v>
      </c>
      <c r="AM1644" t="n">
        <v>5</v>
      </c>
      <c r="AN1644" t="n">
        <v>0</v>
      </c>
      <c r="AO1644" t="n">
        <v>0</v>
      </c>
      <c r="AP1644" t="inlineStr">
        <is>
          <t>No</t>
        </is>
      </c>
      <c r="AQ1644" t="inlineStr">
        <is>
          <t>No</t>
        </is>
      </c>
      <c r="AS1644">
        <f>HYPERLINK("https://creighton-primo.hosted.exlibrisgroup.com/primo-explore/search?tab=default_tab&amp;search_scope=EVERYTHING&amp;vid=01CRU&amp;lang=en_US&amp;offset=0&amp;query=any,contains,991000612699702656","Catalog Record")</f>
        <v/>
      </c>
      <c r="AT1644">
        <f>HYPERLINK("http://www.worldcat.org/oclc/11917464","WorldCat Record")</f>
        <v/>
      </c>
      <c r="AU1644" t="inlineStr">
        <is>
          <t>373713802:eng</t>
        </is>
      </c>
      <c r="AV1644" t="inlineStr">
        <is>
          <t>11917464</t>
        </is>
      </c>
      <c r="AW1644" t="inlineStr">
        <is>
          <t>991000612699702656</t>
        </is>
      </c>
      <c r="AX1644" t="inlineStr">
        <is>
          <t>991000612699702656</t>
        </is>
      </c>
      <c r="AY1644" t="inlineStr">
        <is>
          <t>2267627780002656</t>
        </is>
      </c>
      <c r="AZ1644" t="inlineStr">
        <is>
          <t>BOOK</t>
        </is>
      </c>
      <c r="BB1644" t="inlineStr">
        <is>
          <t>9780898595840</t>
        </is>
      </c>
      <c r="BC1644" t="inlineStr">
        <is>
          <t>32285001307114</t>
        </is>
      </c>
      <c r="BD1644" t="inlineStr">
        <is>
          <t>893315096</t>
        </is>
      </c>
    </row>
    <row r="1645">
      <c r="A1645" t="inlineStr">
        <is>
          <t>No</t>
        </is>
      </c>
      <c r="B1645" t="inlineStr">
        <is>
          <t>LC4031 .I573 1992</t>
        </is>
      </c>
      <c r="C1645" t="inlineStr">
        <is>
          <t>0                      LC 4031000I  573         1992</t>
        </is>
      </c>
      <c r="D1645" t="inlineStr">
        <is>
          <t>Integrating transition planning into the IEP process / Lynda L. West ... [et al.] ; developed by Division on Career Development, a Division of the Council for Exceptional Children.</t>
        </is>
      </c>
      <c r="F1645" t="inlineStr">
        <is>
          <t>No</t>
        </is>
      </c>
      <c r="G1645" t="inlineStr">
        <is>
          <t>1</t>
        </is>
      </c>
      <c r="H1645" t="inlineStr">
        <is>
          <t>No</t>
        </is>
      </c>
      <c r="I1645" t="inlineStr">
        <is>
          <t>No</t>
        </is>
      </c>
      <c r="J1645" t="inlineStr">
        <is>
          <t>0</t>
        </is>
      </c>
      <c r="L1645" t="inlineStr">
        <is>
          <t>Reston, Va. : The Council, c1992.</t>
        </is>
      </c>
      <c r="M1645" t="inlineStr">
        <is>
          <t>1992</t>
        </is>
      </c>
      <c r="O1645" t="inlineStr">
        <is>
          <t>eng</t>
        </is>
      </c>
      <c r="P1645" t="inlineStr">
        <is>
          <t>vau</t>
        </is>
      </c>
      <c r="R1645" t="inlineStr">
        <is>
          <t xml:space="preserve">LC </t>
        </is>
      </c>
      <c r="S1645" t="n">
        <v>2</v>
      </c>
      <c r="T1645" t="n">
        <v>2</v>
      </c>
      <c r="U1645" t="inlineStr">
        <is>
          <t>1997-04-08</t>
        </is>
      </c>
      <c r="V1645" t="inlineStr">
        <is>
          <t>1997-04-08</t>
        </is>
      </c>
      <c r="W1645" t="inlineStr">
        <is>
          <t>1996-05-08</t>
        </is>
      </c>
      <c r="X1645" t="inlineStr">
        <is>
          <t>1996-05-08</t>
        </is>
      </c>
      <c r="Y1645" t="n">
        <v>155</v>
      </c>
      <c r="Z1645" t="n">
        <v>144</v>
      </c>
      <c r="AA1645" t="n">
        <v>277</v>
      </c>
      <c r="AB1645" t="n">
        <v>3</v>
      </c>
      <c r="AC1645" t="n">
        <v>4</v>
      </c>
      <c r="AD1645" t="n">
        <v>10</v>
      </c>
      <c r="AE1645" t="n">
        <v>15</v>
      </c>
      <c r="AF1645" t="n">
        <v>4</v>
      </c>
      <c r="AG1645" t="n">
        <v>7</v>
      </c>
      <c r="AH1645" t="n">
        <v>1</v>
      </c>
      <c r="AI1645" t="n">
        <v>2</v>
      </c>
      <c r="AJ1645" t="n">
        <v>6</v>
      </c>
      <c r="AK1645" t="n">
        <v>7</v>
      </c>
      <c r="AL1645" t="n">
        <v>2</v>
      </c>
      <c r="AM1645" t="n">
        <v>3</v>
      </c>
      <c r="AN1645" t="n">
        <v>0</v>
      </c>
      <c r="AO1645" t="n">
        <v>0</v>
      </c>
      <c r="AP1645" t="inlineStr">
        <is>
          <t>No</t>
        </is>
      </c>
      <c r="AQ1645" t="inlineStr">
        <is>
          <t>Yes</t>
        </is>
      </c>
      <c r="AR1645">
        <f>HYPERLINK("http://catalog.hathitrust.org/Record/101944351","HathiTrust Record")</f>
        <v/>
      </c>
      <c r="AS1645">
        <f>HYPERLINK("https://creighton-primo.hosted.exlibrisgroup.com/primo-explore/search?tab=default_tab&amp;search_scope=EVERYTHING&amp;vid=01CRU&amp;lang=en_US&amp;offset=0&amp;query=any,contains,991002049419702656","Catalog Record")</f>
        <v/>
      </c>
      <c r="AT1645">
        <f>HYPERLINK("http://www.worldcat.org/oclc/26159221","WorldCat Record")</f>
        <v/>
      </c>
      <c r="AU1645" t="inlineStr">
        <is>
          <t>476336551:eng</t>
        </is>
      </c>
      <c r="AV1645" t="inlineStr">
        <is>
          <t>26159221</t>
        </is>
      </c>
      <c r="AW1645" t="inlineStr">
        <is>
          <t>991002049419702656</t>
        </is>
      </c>
      <c r="AX1645" t="inlineStr">
        <is>
          <t>991002049419702656</t>
        </is>
      </c>
      <c r="AY1645" t="inlineStr">
        <is>
          <t>2257286390002656</t>
        </is>
      </c>
      <c r="AZ1645" t="inlineStr">
        <is>
          <t>BOOK</t>
        </is>
      </c>
      <c r="BB1645" t="inlineStr">
        <is>
          <t>9780865862227</t>
        </is>
      </c>
      <c r="BC1645" t="inlineStr">
        <is>
          <t>32285002165727</t>
        </is>
      </c>
      <c r="BD1645" t="inlineStr">
        <is>
          <t>893615634</t>
        </is>
      </c>
    </row>
    <row r="1646">
      <c r="A1646" t="inlineStr">
        <is>
          <t>No</t>
        </is>
      </c>
      <c r="B1646" t="inlineStr">
        <is>
          <t>LC4031 .M28</t>
        </is>
      </c>
      <c r="C1646" t="inlineStr">
        <is>
          <t>0                      LC 4031000M  28</t>
        </is>
      </c>
      <c r="D1646" t="inlineStr">
        <is>
          <t>Mainstreaming : controversy and consensus / edited by Patrick A. O'Donnell and Robert H. Bradfield.</t>
        </is>
      </c>
      <c r="F1646" t="inlineStr">
        <is>
          <t>No</t>
        </is>
      </c>
      <c r="G1646" t="inlineStr">
        <is>
          <t>1</t>
        </is>
      </c>
      <c r="H1646" t="inlineStr">
        <is>
          <t>No</t>
        </is>
      </c>
      <c r="I1646" t="inlineStr">
        <is>
          <t>No</t>
        </is>
      </c>
      <c r="J1646" t="inlineStr">
        <is>
          <t>0</t>
        </is>
      </c>
      <c r="L1646" t="inlineStr">
        <is>
          <t>San Rafael, Calif. : Academic Therapy Publications, c1976.</t>
        </is>
      </c>
      <c r="M1646" t="inlineStr">
        <is>
          <t>1976</t>
        </is>
      </c>
      <c r="O1646" t="inlineStr">
        <is>
          <t>eng</t>
        </is>
      </c>
      <c r="P1646" t="inlineStr">
        <is>
          <t>cau</t>
        </is>
      </c>
      <c r="R1646" t="inlineStr">
        <is>
          <t xml:space="preserve">LC </t>
        </is>
      </c>
      <c r="S1646" t="n">
        <v>7</v>
      </c>
      <c r="T1646" t="n">
        <v>7</v>
      </c>
      <c r="U1646" t="inlineStr">
        <is>
          <t>2001-11-11</t>
        </is>
      </c>
      <c r="V1646" t="inlineStr">
        <is>
          <t>2001-11-11</t>
        </is>
      </c>
      <c r="W1646" t="inlineStr">
        <is>
          <t>1990-10-22</t>
        </is>
      </c>
      <c r="X1646" t="inlineStr">
        <is>
          <t>1990-10-22</t>
        </is>
      </c>
      <c r="Y1646" t="n">
        <v>213</v>
      </c>
      <c r="Z1646" t="n">
        <v>191</v>
      </c>
      <c r="AA1646" t="n">
        <v>191</v>
      </c>
      <c r="AB1646" t="n">
        <v>2</v>
      </c>
      <c r="AC1646" t="n">
        <v>2</v>
      </c>
      <c r="AD1646" t="n">
        <v>4</v>
      </c>
      <c r="AE1646" t="n">
        <v>4</v>
      </c>
      <c r="AF1646" t="n">
        <v>1</v>
      </c>
      <c r="AG1646" t="n">
        <v>1</v>
      </c>
      <c r="AH1646" t="n">
        <v>1</v>
      </c>
      <c r="AI1646" t="n">
        <v>1</v>
      </c>
      <c r="AJ1646" t="n">
        <v>3</v>
      </c>
      <c r="AK1646" t="n">
        <v>3</v>
      </c>
      <c r="AL1646" t="n">
        <v>1</v>
      </c>
      <c r="AM1646" t="n">
        <v>1</v>
      </c>
      <c r="AN1646" t="n">
        <v>0</v>
      </c>
      <c r="AO1646" t="n">
        <v>0</v>
      </c>
      <c r="AP1646" t="inlineStr">
        <is>
          <t>No</t>
        </is>
      </c>
      <c r="AQ1646" t="inlineStr">
        <is>
          <t>No</t>
        </is>
      </c>
      <c r="AS1646">
        <f>HYPERLINK("https://creighton-primo.hosted.exlibrisgroup.com/primo-explore/search?tab=default_tab&amp;search_scope=EVERYTHING&amp;vid=01CRU&amp;lang=en_US&amp;offset=0&amp;query=any,contains,991004220839702656","Catalog Record")</f>
        <v/>
      </c>
      <c r="AT1646">
        <f>HYPERLINK("http://www.worldcat.org/oclc/2712103","WorldCat Record")</f>
        <v/>
      </c>
      <c r="AU1646" t="inlineStr">
        <is>
          <t>423732761:eng</t>
        </is>
      </c>
      <c r="AV1646" t="inlineStr">
        <is>
          <t>2712103</t>
        </is>
      </c>
      <c r="AW1646" t="inlineStr">
        <is>
          <t>991004220839702656</t>
        </is>
      </c>
      <c r="AX1646" t="inlineStr">
        <is>
          <t>991004220839702656</t>
        </is>
      </c>
      <c r="AY1646" t="inlineStr">
        <is>
          <t>2267162630002656</t>
        </is>
      </c>
      <c r="AZ1646" t="inlineStr">
        <is>
          <t>BOOK</t>
        </is>
      </c>
      <c r="BB1646" t="inlineStr">
        <is>
          <t>9780878791583</t>
        </is>
      </c>
      <c r="BC1646" t="inlineStr">
        <is>
          <t>32285000351261</t>
        </is>
      </c>
      <c r="BD1646" t="inlineStr">
        <is>
          <t>893618404</t>
        </is>
      </c>
    </row>
    <row r="1647">
      <c r="A1647" t="inlineStr">
        <is>
          <t>No</t>
        </is>
      </c>
      <c r="B1647" t="inlineStr">
        <is>
          <t>LC4031 .M33 1986</t>
        </is>
      </c>
      <c r="C1647" t="inlineStr">
        <is>
          <t>0                      LC 4031000M  33          1986</t>
        </is>
      </c>
      <c r="D1647" t="inlineStr">
        <is>
          <t>Teaching secondary students with mild learning and behavior problems : methods, materials, strategies / Lowell F. Masters, Allen A. Mori.</t>
        </is>
      </c>
      <c r="F1647" t="inlineStr">
        <is>
          <t>No</t>
        </is>
      </c>
      <c r="G1647" t="inlineStr">
        <is>
          <t>1</t>
        </is>
      </c>
      <c r="H1647" t="inlineStr">
        <is>
          <t>No</t>
        </is>
      </c>
      <c r="I1647" t="inlineStr">
        <is>
          <t>No</t>
        </is>
      </c>
      <c r="J1647" t="inlineStr">
        <is>
          <t>0</t>
        </is>
      </c>
      <c r="K1647" t="inlineStr">
        <is>
          <t>Masters, Lowell F.</t>
        </is>
      </c>
      <c r="L1647" t="inlineStr">
        <is>
          <t>Rockville, Md. : Aspen Systems Corp., 1986.</t>
        </is>
      </c>
      <c r="M1647" t="inlineStr">
        <is>
          <t>1986</t>
        </is>
      </c>
      <c r="O1647" t="inlineStr">
        <is>
          <t>eng</t>
        </is>
      </c>
      <c r="P1647" t="inlineStr">
        <is>
          <t>mdu</t>
        </is>
      </c>
      <c r="R1647" t="inlineStr">
        <is>
          <t xml:space="preserve">LC </t>
        </is>
      </c>
      <c r="S1647" t="n">
        <v>5</v>
      </c>
      <c r="T1647" t="n">
        <v>5</v>
      </c>
      <c r="U1647" t="inlineStr">
        <is>
          <t>2009-03-22</t>
        </is>
      </c>
      <c r="V1647" t="inlineStr">
        <is>
          <t>2009-03-22</t>
        </is>
      </c>
      <c r="W1647" t="inlineStr">
        <is>
          <t>1992-09-03</t>
        </is>
      </c>
      <c r="X1647" t="inlineStr">
        <is>
          <t>1992-09-03</t>
        </is>
      </c>
      <c r="Y1647" t="n">
        <v>316</v>
      </c>
      <c r="Z1647" t="n">
        <v>284</v>
      </c>
      <c r="AA1647" t="n">
        <v>486</v>
      </c>
      <c r="AB1647" t="n">
        <v>4</v>
      </c>
      <c r="AC1647" t="n">
        <v>7</v>
      </c>
      <c r="AD1647" t="n">
        <v>10</v>
      </c>
      <c r="AE1647" t="n">
        <v>22</v>
      </c>
      <c r="AF1647" t="n">
        <v>4</v>
      </c>
      <c r="AG1647" t="n">
        <v>7</v>
      </c>
      <c r="AH1647" t="n">
        <v>0</v>
      </c>
      <c r="AI1647" t="n">
        <v>2</v>
      </c>
      <c r="AJ1647" t="n">
        <v>6</v>
      </c>
      <c r="AK1647" t="n">
        <v>10</v>
      </c>
      <c r="AL1647" t="n">
        <v>3</v>
      </c>
      <c r="AM1647" t="n">
        <v>6</v>
      </c>
      <c r="AN1647" t="n">
        <v>0</v>
      </c>
      <c r="AO1647" t="n">
        <v>0</v>
      </c>
      <c r="AP1647" t="inlineStr">
        <is>
          <t>No</t>
        </is>
      </c>
      <c r="AQ1647" t="inlineStr">
        <is>
          <t>No</t>
        </is>
      </c>
      <c r="AS1647">
        <f>HYPERLINK("https://creighton-primo.hosted.exlibrisgroup.com/primo-explore/search?tab=default_tab&amp;search_scope=EVERYTHING&amp;vid=01CRU&amp;lang=en_US&amp;offset=0&amp;query=any,contains,991000650409702656","Catalog Record")</f>
        <v/>
      </c>
      <c r="AT1647">
        <f>HYPERLINK("http://www.worldcat.org/oclc/12162618","WorldCat Record")</f>
        <v/>
      </c>
      <c r="AU1647" t="inlineStr">
        <is>
          <t>2863322:eng</t>
        </is>
      </c>
      <c r="AV1647" t="inlineStr">
        <is>
          <t>12162618</t>
        </is>
      </c>
      <c r="AW1647" t="inlineStr">
        <is>
          <t>991000650409702656</t>
        </is>
      </c>
      <c r="AX1647" t="inlineStr">
        <is>
          <t>991000650409702656</t>
        </is>
      </c>
      <c r="AY1647" t="inlineStr">
        <is>
          <t>2271933190002656</t>
        </is>
      </c>
      <c r="AZ1647" t="inlineStr">
        <is>
          <t>BOOK</t>
        </is>
      </c>
      <c r="BB1647" t="inlineStr">
        <is>
          <t>9780871892348</t>
        </is>
      </c>
      <c r="BC1647" t="inlineStr">
        <is>
          <t>32285001307197</t>
        </is>
      </c>
      <c r="BD1647" t="inlineStr">
        <is>
          <t>893407398</t>
        </is>
      </c>
    </row>
    <row r="1648">
      <c r="A1648" t="inlineStr">
        <is>
          <t>No</t>
        </is>
      </c>
      <c r="B1648" t="inlineStr">
        <is>
          <t>LC4031 .M39 1991</t>
        </is>
      </c>
      <c r="C1648" t="inlineStr">
        <is>
          <t>0                      LC 4031000M  39          1991</t>
        </is>
      </c>
      <c r="D1648" t="inlineStr">
        <is>
          <t>Cognitive skills for community living : teaching students with moderate to severe disabilities / Sandra E. McClennen.</t>
        </is>
      </c>
      <c r="F1648" t="inlineStr">
        <is>
          <t>No</t>
        </is>
      </c>
      <c r="G1648" t="inlineStr">
        <is>
          <t>1</t>
        </is>
      </c>
      <c r="H1648" t="inlineStr">
        <is>
          <t>No</t>
        </is>
      </c>
      <c r="I1648" t="inlineStr">
        <is>
          <t>No</t>
        </is>
      </c>
      <c r="J1648" t="inlineStr">
        <is>
          <t>0</t>
        </is>
      </c>
      <c r="K1648" t="inlineStr">
        <is>
          <t>McClennen, Sandra E.</t>
        </is>
      </c>
      <c r="L1648" t="inlineStr">
        <is>
          <t>Austin, Tex. : PRO-ED, c1991.</t>
        </is>
      </c>
      <c r="M1648" t="inlineStr">
        <is>
          <t>1991</t>
        </is>
      </c>
      <c r="O1648" t="inlineStr">
        <is>
          <t>eng</t>
        </is>
      </c>
      <c r="P1648" t="inlineStr">
        <is>
          <t>txu</t>
        </is>
      </c>
      <c r="R1648" t="inlineStr">
        <is>
          <t xml:space="preserve">LC </t>
        </is>
      </c>
      <c r="S1648" t="n">
        <v>3</v>
      </c>
      <c r="T1648" t="n">
        <v>3</v>
      </c>
      <c r="U1648" t="inlineStr">
        <is>
          <t>2006-03-24</t>
        </is>
      </c>
      <c r="V1648" t="inlineStr">
        <is>
          <t>2006-03-24</t>
        </is>
      </c>
      <c r="W1648" t="inlineStr">
        <is>
          <t>1992-03-26</t>
        </is>
      </c>
      <c r="X1648" t="inlineStr">
        <is>
          <t>1992-03-26</t>
        </is>
      </c>
      <c r="Y1648" t="n">
        <v>212</v>
      </c>
      <c r="Z1648" t="n">
        <v>183</v>
      </c>
      <c r="AA1648" t="n">
        <v>183</v>
      </c>
      <c r="AB1648" t="n">
        <v>3</v>
      </c>
      <c r="AC1648" t="n">
        <v>3</v>
      </c>
      <c r="AD1648" t="n">
        <v>6</v>
      </c>
      <c r="AE1648" t="n">
        <v>6</v>
      </c>
      <c r="AF1648" t="n">
        <v>1</v>
      </c>
      <c r="AG1648" t="n">
        <v>1</v>
      </c>
      <c r="AH1648" t="n">
        <v>1</v>
      </c>
      <c r="AI1648" t="n">
        <v>1</v>
      </c>
      <c r="AJ1648" t="n">
        <v>3</v>
      </c>
      <c r="AK1648" t="n">
        <v>3</v>
      </c>
      <c r="AL1648" t="n">
        <v>2</v>
      </c>
      <c r="AM1648" t="n">
        <v>2</v>
      </c>
      <c r="AN1648" t="n">
        <v>0</v>
      </c>
      <c r="AO1648" t="n">
        <v>0</v>
      </c>
      <c r="AP1648" t="inlineStr">
        <is>
          <t>No</t>
        </is>
      </c>
      <c r="AQ1648" t="inlineStr">
        <is>
          <t>No</t>
        </is>
      </c>
      <c r="AS1648">
        <f>HYPERLINK("https://creighton-primo.hosted.exlibrisgroup.com/primo-explore/search?tab=default_tab&amp;search_scope=EVERYTHING&amp;vid=01CRU&amp;lang=en_US&amp;offset=0&amp;query=any,contains,991001823389702656","Catalog Record")</f>
        <v/>
      </c>
      <c r="AT1648">
        <f>HYPERLINK("http://www.worldcat.org/oclc/22907645","WorldCat Record")</f>
        <v/>
      </c>
      <c r="AU1648" t="inlineStr">
        <is>
          <t>476077336:eng</t>
        </is>
      </c>
      <c r="AV1648" t="inlineStr">
        <is>
          <t>22907645</t>
        </is>
      </c>
      <c r="AW1648" t="inlineStr">
        <is>
          <t>991001823389702656</t>
        </is>
      </c>
      <c r="AX1648" t="inlineStr">
        <is>
          <t>991001823389702656</t>
        </is>
      </c>
      <c r="AY1648" t="inlineStr">
        <is>
          <t>2264085630002656</t>
        </is>
      </c>
      <c r="AZ1648" t="inlineStr">
        <is>
          <t>BOOK</t>
        </is>
      </c>
      <c r="BB1648" t="inlineStr">
        <is>
          <t>9780890794593</t>
        </is>
      </c>
      <c r="BC1648" t="inlineStr">
        <is>
          <t>32285001006419</t>
        </is>
      </c>
      <c r="BD1648" t="inlineStr">
        <is>
          <t>893891865</t>
        </is>
      </c>
    </row>
    <row r="1649">
      <c r="A1649" t="inlineStr">
        <is>
          <t>No</t>
        </is>
      </c>
      <c r="B1649" t="inlineStr">
        <is>
          <t>LC4031 .S24 1986</t>
        </is>
      </c>
      <c r="C1649" t="inlineStr">
        <is>
          <t>0                      LC 4031000S  24          1986</t>
        </is>
      </c>
      <c r="D1649" t="inlineStr">
        <is>
          <t>Policy and management in special education / Daniel D. Sage, Leonard C. Burrello.</t>
        </is>
      </c>
      <c r="F1649" t="inlineStr">
        <is>
          <t>No</t>
        </is>
      </c>
      <c r="G1649" t="inlineStr">
        <is>
          <t>1</t>
        </is>
      </c>
      <c r="H1649" t="inlineStr">
        <is>
          <t>No</t>
        </is>
      </c>
      <c r="I1649" t="inlineStr">
        <is>
          <t>No</t>
        </is>
      </c>
      <c r="J1649" t="inlineStr">
        <is>
          <t>0</t>
        </is>
      </c>
      <c r="K1649" t="inlineStr">
        <is>
          <t>Sage, Daniel D.</t>
        </is>
      </c>
      <c r="L1649" t="inlineStr">
        <is>
          <t>Englewood Cliffs, N.J. : Prentice-Hall, c1986.</t>
        </is>
      </c>
      <c r="M1649" t="inlineStr">
        <is>
          <t>1986</t>
        </is>
      </c>
      <c r="O1649" t="inlineStr">
        <is>
          <t>eng</t>
        </is>
      </c>
      <c r="P1649" t="inlineStr">
        <is>
          <t>nju</t>
        </is>
      </c>
      <c r="R1649" t="inlineStr">
        <is>
          <t xml:space="preserve">LC </t>
        </is>
      </c>
      <c r="S1649" t="n">
        <v>1</v>
      </c>
      <c r="T1649" t="n">
        <v>1</v>
      </c>
      <c r="U1649" t="inlineStr">
        <is>
          <t>2003-12-11</t>
        </is>
      </c>
      <c r="V1649" t="inlineStr">
        <is>
          <t>2003-12-11</t>
        </is>
      </c>
      <c r="W1649" t="inlineStr">
        <is>
          <t>1992-09-03</t>
        </is>
      </c>
      <c r="X1649" t="inlineStr">
        <is>
          <t>1992-09-03</t>
        </is>
      </c>
      <c r="Y1649" t="n">
        <v>290</v>
      </c>
      <c r="Z1649" t="n">
        <v>253</v>
      </c>
      <c r="AA1649" t="n">
        <v>253</v>
      </c>
      <c r="AB1649" t="n">
        <v>2</v>
      </c>
      <c r="AC1649" t="n">
        <v>2</v>
      </c>
      <c r="AD1649" t="n">
        <v>9</v>
      </c>
      <c r="AE1649" t="n">
        <v>9</v>
      </c>
      <c r="AF1649" t="n">
        <v>5</v>
      </c>
      <c r="AG1649" t="n">
        <v>5</v>
      </c>
      <c r="AH1649" t="n">
        <v>0</v>
      </c>
      <c r="AI1649" t="n">
        <v>0</v>
      </c>
      <c r="AJ1649" t="n">
        <v>6</v>
      </c>
      <c r="AK1649" t="n">
        <v>6</v>
      </c>
      <c r="AL1649" t="n">
        <v>1</v>
      </c>
      <c r="AM1649" t="n">
        <v>1</v>
      </c>
      <c r="AN1649" t="n">
        <v>0</v>
      </c>
      <c r="AO1649" t="n">
        <v>0</v>
      </c>
      <c r="AP1649" t="inlineStr">
        <is>
          <t>No</t>
        </is>
      </c>
      <c r="AQ1649" t="inlineStr">
        <is>
          <t>No</t>
        </is>
      </c>
      <c r="AS1649">
        <f>HYPERLINK("https://creighton-primo.hosted.exlibrisgroup.com/primo-explore/search?tab=default_tab&amp;search_scope=EVERYTHING&amp;vid=01CRU&amp;lang=en_US&amp;offset=0&amp;query=any,contains,991000643239702656","Catalog Record")</f>
        <v/>
      </c>
      <c r="AT1649">
        <f>HYPERLINK("http://www.worldcat.org/oclc/12107844","WorldCat Record")</f>
        <v/>
      </c>
      <c r="AU1649" t="inlineStr">
        <is>
          <t>4860948:eng</t>
        </is>
      </c>
      <c r="AV1649" t="inlineStr">
        <is>
          <t>12107844</t>
        </is>
      </c>
      <c r="AW1649" t="inlineStr">
        <is>
          <t>991000643239702656</t>
        </is>
      </c>
      <c r="AX1649" t="inlineStr">
        <is>
          <t>991000643239702656</t>
        </is>
      </c>
      <c r="AY1649" t="inlineStr">
        <is>
          <t>2268386200002656</t>
        </is>
      </c>
      <c r="AZ1649" t="inlineStr">
        <is>
          <t>BOOK</t>
        </is>
      </c>
      <c r="BB1649" t="inlineStr">
        <is>
          <t>9780136848042</t>
        </is>
      </c>
      <c r="BC1649" t="inlineStr">
        <is>
          <t>32285001307247</t>
        </is>
      </c>
      <c r="BD1649" t="inlineStr">
        <is>
          <t>893878231</t>
        </is>
      </c>
    </row>
    <row r="1650">
      <c r="A1650" t="inlineStr">
        <is>
          <t>No</t>
        </is>
      </c>
      <c r="B1650" t="inlineStr">
        <is>
          <t>LC4036.G7 D47 1987</t>
        </is>
      </c>
      <c r="C1650" t="inlineStr">
        <is>
          <t>0                      LC 4036000G  7                  D  47          1987</t>
        </is>
      </c>
      <c r="D1650" t="inlineStr">
        <is>
          <t>Making the ordinary school special / Tony Dessent.</t>
        </is>
      </c>
      <c r="F1650" t="inlineStr">
        <is>
          <t>No</t>
        </is>
      </c>
      <c r="G1650" t="inlineStr">
        <is>
          <t>1</t>
        </is>
      </c>
      <c r="H1650" t="inlineStr">
        <is>
          <t>No</t>
        </is>
      </c>
      <c r="I1650" t="inlineStr">
        <is>
          <t>No</t>
        </is>
      </c>
      <c r="J1650" t="inlineStr">
        <is>
          <t>0</t>
        </is>
      </c>
      <c r="K1650" t="inlineStr">
        <is>
          <t>Dessent, Tony.</t>
        </is>
      </c>
      <c r="L1650" t="inlineStr">
        <is>
          <t>London ; New York : Falmer Press, 1987.</t>
        </is>
      </c>
      <c r="M1650" t="inlineStr">
        <is>
          <t>1987</t>
        </is>
      </c>
      <c r="O1650" t="inlineStr">
        <is>
          <t>eng</t>
        </is>
      </c>
      <c r="P1650" t="inlineStr">
        <is>
          <t>enk</t>
        </is>
      </c>
      <c r="R1650" t="inlineStr">
        <is>
          <t xml:space="preserve">LC </t>
        </is>
      </c>
      <c r="S1650" t="n">
        <v>8</v>
      </c>
      <c r="T1650" t="n">
        <v>8</v>
      </c>
      <c r="U1650" t="inlineStr">
        <is>
          <t>2002-11-11</t>
        </is>
      </c>
      <c r="V1650" t="inlineStr">
        <is>
          <t>2002-11-11</t>
        </is>
      </c>
      <c r="W1650" t="inlineStr">
        <is>
          <t>1991-11-08</t>
        </is>
      </c>
      <c r="X1650" t="inlineStr">
        <is>
          <t>1991-11-08</t>
        </is>
      </c>
      <c r="Y1650" t="n">
        <v>240</v>
      </c>
      <c r="Z1650" t="n">
        <v>123</v>
      </c>
      <c r="AA1650" t="n">
        <v>129</v>
      </c>
      <c r="AB1650" t="n">
        <v>2</v>
      </c>
      <c r="AC1650" t="n">
        <v>2</v>
      </c>
      <c r="AD1650" t="n">
        <v>5</v>
      </c>
      <c r="AE1650" t="n">
        <v>5</v>
      </c>
      <c r="AF1650" t="n">
        <v>1</v>
      </c>
      <c r="AG1650" t="n">
        <v>1</v>
      </c>
      <c r="AH1650" t="n">
        <v>1</v>
      </c>
      <c r="AI1650" t="n">
        <v>1</v>
      </c>
      <c r="AJ1650" t="n">
        <v>4</v>
      </c>
      <c r="AK1650" t="n">
        <v>4</v>
      </c>
      <c r="AL1650" t="n">
        <v>1</v>
      </c>
      <c r="AM1650" t="n">
        <v>1</v>
      </c>
      <c r="AN1650" t="n">
        <v>0</v>
      </c>
      <c r="AO1650" t="n">
        <v>0</v>
      </c>
      <c r="AP1650" t="inlineStr">
        <is>
          <t>No</t>
        </is>
      </c>
      <c r="AQ1650" t="inlineStr">
        <is>
          <t>No</t>
        </is>
      </c>
      <c r="AS1650">
        <f>HYPERLINK("https://creighton-primo.hosted.exlibrisgroup.com/primo-explore/search?tab=default_tab&amp;search_scope=EVERYTHING&amp;vid=01CRU&amp;lang=en_US&amp;offset=0&amp;query=any,contains,991001037619702656","Catalog Record")</f>
        <v/>
      </c>
      <c r="AT1650">
        <f>HYPERLINK("http://www.worldcat.org/oclc/15550168","WorldCat Record")</f>
        <v/>
      </c>
      <c r="AU1650" t="inlineStr">
        <is>
          <t>3089860:eng</t>
        </is>
      </c>
      <c r="AV1650" t="inlineStr">
        <is>
          <t>15550168</t>
        </is>
      </c>
      <c r="AW1650" t="inlineStr">
        <is>
          <t>991001037619702656</t>
        </is>
      </c>
      <c r="AX1650" t="inlineStr">
        <is>
          <t>991001037619702656</t>
        </is>
      </c>
      <c r="AY1650" t="inlineStr">
        <is>
          <t>2256380660002656</t>
        </is>
      </c>
      <c r="AZ1650" t="inlineStr">
        <is>
          <t>BOOK</t>
        </is>
      </c>
      <c r="BB1650" t="inlineStr">
        <is>
          <t>9781850002369</t>
        </is>
      </c>
      <c r="BC1650" t="inlineStr">
        <is>
          <t>32285000820794</t>
        </is>
      </c>
      <c r="BD1650" t="inlineStr">
        <is>
          <t>893690267</t>
        </is>
      </c>
    </row>
    <row r="1651">
      <c r="A1651" t="inlineStr">
        <is>
          <t>No</t>
        </is>
      </c>
      <c r="B1651" t="inlineStr">
        <is>
          <t>LC4036.G7 H43 1981</t>
        </is>
      </c>
      <c r="C1651" t="inlineStr">
        <is>
          <t>0                      LC 4036000G  7                  H  43          1981</t>
        </is>
      </c>
      <c r="D1651" t="inlineStr">
        <is>
          <t>Educating pupils with special needs in the ordinary school / Seamus Hegarty and Keith Pocklington with Dorothy Lucas.</t>
        </is>
      </c>
      <c r="F1651" t="inlineStr">
        <is>
          <t>No</t>
        </is>
      </c>
      <c r="G1651" t="inlineStr">
        <is>
          <t>1</t>
        </is>
      </c>
      <c r="H1651" t="inlineStr">
        <is>
          <t>No</t>
        </is>
      </c>
      <c r="I1651" t="inlineStr">
        <is>
          <t>No</t>
        </is>
      </c>
      <c r="J1651" t="inlineStr">
        <is>
          <t>0</t>
        </is>
      </c>
      <c r="K1651" t="inlineStr">
        <is>
          <t>Hegarty, Seamus.</t>
        </is>
      </c>
      <c r="L1651" t="inlineStr">
        <is>
          <t>Windsor, Berkshire : NFER-Nelson ; Atlantic Highlands, N.J. : Distributed by Humanities Press, 1981.</t>
        </is>
      </c>
      <c r="M1651" t="inlineStr">
        <is>
          <t>1981</t>
        </is>
      </c>
      <c r="O1651" t="inlineStr">
        <is>
          <t>eng</t>
        </is>
      </c>
      <c r="P1651" t="inlineStr">
        <is>
          <t>enk</t>
        </is>
      </c>
      <c r="R1651" t="inlineStr">
        <is>
          <t xml:space="preserve">LC </t>
        </is>
      </c>
      <c r="S1651" t="n">
        <v>11</v>
      </c>
      <c r="T1651" t="n">
        <v>11</v>
      </c>
      <c r="U1651" t="inlineStr">
        <is>
          <t>2002-06-24</t>
        </is>
      </c>
      <c r="V1651" t="inlineStr">
        <is>
          <t>2002-06-24</t>
        </is>
      </c>
      <c r="W1651" t="inlineStr">
        <is>
          <t>1990-02-08</t>
        </is>
      </c>
      <c r="X1651" t="inlineStr">
        <is>
          <t>1990-02-08</t>
        </is>
      </c>
      <c r="Y1651" t="n">
        <v>353</v>
      </c>
      <c r="Z1651" t="n">
        <v>200</v>
      </c>
      <c r="AA1651" t="n">
        <v>201</v>
      </c>
      <c r="AB1651" t="n">
        <v>1</v>
      </c>
      <c r="AC1651" t="n">
        <v>1</v>
      </c>
      <c r="AD1651" t="n">
        <v>8</v>
      </c>
      <c r="AE1651" t="n">
        <v>8</v>
      </c>
      <c r="AF1651" t="n">
        <v>2</v>
      </c>
      <c r="AG1651" t="n">
        <v>2</v>
      </c>
      <c r="AH1651" t="n">
        <v>3</v>
      </c>
      <c r="AI1651" t="n">
        <v>3</v>
      </c>
      <c r="AJ1651" t="n">
        <v>4</v>
      </c>
      <c r="AK1651" t="n">
        <v>4</v>
      </c>
      <c r="AL1651" t="n">
        <v>0</v>
      </c>
      <c r="AM1651" t="n">
        <v>0</v>
      </c>
      <c r="AN1651" t="n">
        <v>0</v>
      </c>
      <c r="AO1651" t="n">
        <v>0</v>
      </c>
      <c r="AP1651" t="inlineStr">
        <is>
          <t>No</t>
        </is>
      </c>
      <c r="AQ1651" t="inlineStr">
        <is>
          <t>Yes</t>
        </is>
      </c>
      <c r="AR1651">
        <f>HYPERLINK("http://catalog.hathitrust.org/Record/000192177","HathiTrust Record")</f>
        <v/>
      </c>
      <c r="AS1651">
        <f>HYPERLINK("https://creighton-primo.hosted.exlibrisgroup.com/primo-explore/search?tab=default_tab&amp;search_scope=EVERYTHING&amp;vid=01CRU&amp;lang=en_US&amp;offset=0&amp;query=any,contains,991005250229702656","Catalog Record")</f>
        <v/>
      </c>
      <c r="AT1651">
        <f>HYPERLINK("http://www.worldcat.org/oclc/8482955","WorldCat Record")</f>
        <v/>
      </c>
      <c r="AU1651" t="inlineStr">
        <is>
          <t>3901524082:eng</t>
        </is>
      </c>
      <c r="AV1651" t="inlineStr">
        <is>
          <t>8482955</t>
        </is>
      </c>
      <c r="AW1651" t="inlineStr">
        <is>
          <t>991005250229702656</t>
        </is>
      </c>
      <c r="AX1651" t="inlineStr">
        <is>
          <t>991005250229702656</t>
        </is>
      </c>
      <c r="AY1651" t="inlineStr">
        <is>
          <t>2264152530002656</t>
        </is>
      </c>
      <c r="AZ1651" t="inlineStr">
        <is>
          <t>BOOK</t>
        </is>
      </c>
      <c r="BB1651" t="inlineStr">
        <is>
          <t>9780856332340</t>
        </is>
      </c>
      <c r="BC1651" t="inlineStr">
        <is>
          <t>32285000008481</t>
        </is>
      </c>
      <c r="BD1651" t="inlineStr">
        <is>
          <t>893514335</t>
        </is>
      </c>
    </row>
    <row r="1652">
      <c r="A1652" t="inlineStr">
        <is>
          <t>No</t>
        </is>
      </c>
      <c r="B1652" t="inlineStr">
        <is>
          <t>LC4036.G7 I53 1987</t>
        </is>
      </c>
      <c r="C1652" t="inlineStr">
        <is>
          <t>0                      LC 4036000G  7                  I  53          1987</t>
        </is>
      </c>
      <c r="D1652" t="inlineStr">
        <is>
          <t>Including pupils with disabilities / edited by Tony Booth and Will Swann.</t>
        </is>
      </c>
      <c r="F1652" t="inlineStr">
        <is>
          <t>No</t>
        </is>
      </c>
      <c r="G1652" t="inlineStr">
        <is>
          <t>1</t>
        </is>
      </c>
      <c r="H1652" t="inlineStr">
        <is>
          <t>No</t>
        </is>
      </c>
      <c r="I1652" t="inlineStr">
        <is>
          <t>No</t>
        </is>
      </c>
      <c r="J1652" t="inlineStr">
        <is>
          <t>0</t>
        </is>
      </c>
      <c r="L1652" t="inlineStr">
        <is>
          <t>Milton Keynes [Buckinghamshire] ; Philadelphia : Open University Press, 1987.</t>
        </is>
      </c>
      <c r="M1652" t="inlineStr">
        <is>
          <t>1986</t>
        </is>
      </c>
      <c r="O1652" t="inlineStr">
        <is>
          <t>eng</t>
        </is>
      </c>
      <c r="P1652" t="inlineStr">
        <is>
          <t>enk</t>
        </is>
      </c>
      <c r="Q1652" t="inlineStr">
        <is>
          <t>Curricula for all</t>
        </is>
      </c>
      <c r="R1652" t="inlineStr">
        <is>
          <t xml:space="preserve">LC </t>
        </is>
      </c>
      <c r="S1652" t="n">
        <v>13</v>
      </c>
      <c r="T1652" t="n">
        <v>13</v>
      </c>
      <c r="U1652" t="inlineStr">
        <is>
          <t>2002-03-27</t>
        </is>
      </c>
      <c r="V1652" t="inlineStr">
        <is>
          <t>2002-03-27</t>
        </is>
      </c>
      <c r="W1652" t="inlineStr">
        <is>
          <t>1992-09-03</t>
        </is>
      </c>
      <c r="X1652" t="inlineStr">
        <is>
          <t>1992-09-03</t>
        </is>
      </c>
      <c r="Y1652" t="n">
        <v>257</v>
      </c>
      <c r="Z1652" t="n">
        <v>127</v>
      </c>
      <c r="AA1652" t="n">
        <v>131</v>
      </c>
      <c r="AB1652" t="n">
        <v>1</v>
      </c>
      <c r="AC1652" t="n">
        <v>1</v>
      </c>
      <c r="AD1652" t="n">
        <v>2</v>
      </c>
      <c r="AE1652" t="n">
        <v>2</v>
      </c>
      <c r="AF1652" t="n">
        <v>1</v>
      </c>
      <c r="AG1652" t="n">
        <v>1</v>
      </c>
      <c r="AH1652" t="n">
        <v>0</v>
      </c>
      <c r="AI1652" t="n">
        <v>0</v>
      </c>
      <c r="AJ1652" t="n">
        <v>2</v>
      </c>
      <c r="AK1652" t="n">
        <v>2</v>
      </c>
      <c r="AL1652" t="n">
        <v>0</v>
      </c>
      <c r="AM1652" t="n">
        <v>0</v>
      </c>
      <c r="AN1652" t="n">
        <v>0</v>
      </c>
      <c r="AO1652" t="n">
        <v>0</v>
      </c>
      <c r="AP1652" t="inlineStr">
        <is>
          <t>No</t>
        </is>
      </c>
      <c r="AQ1652" t="inlineStr">
        <is>
          <t>Yes</t>
        </is>
      </c>
      <c r="AR1652">
        <f>HYPERLINK("http://catalog.hathitrust.org/Record/000830550","HathiTrust Record")</f>
        <v/>
      </c>
      <c r="AS1652">
        <f>HYPERLINK("https://creighton-primo.hosted.exlibrisgroup.com/primo-explore/search?tab=default_tab&amp;search_scope=EVERYTHING&amp;vid=01CRU&amp;lang=en_US&amp;offset=0&amp;query=any,contains,991000935909702656","Catalog Record")</f>
        <v/>
      </c>
      <c r="AT1652">
        <f>HYPERLINK("http://www.worldcat.org/oclc/14359364","WorldCat Record")</f>
        <v/>
      </c>
      <c r="AU1652" t="inlineStr">
        <is>
          <t>355757190:eng</t>
        </is>
      </c>
      <c r="AV1652" t="inlineStr">
        <is>
          <t>14359364</t>
        </is>
      </c>
      <c r="AW1652" t="inlineStr">
        <is>
          <t>991000935909702656</t>
        </is>
      </c>
      <c r="AX1652" t="inlineStr">
        <is>
          <t>991000935909702656</t>
        </is>
      </c>
      <c r="AY1652" t="inlineStr">
        <is>
          <t>2258536220002656</t>
        </is>
      </c>
      <c r="AZ1652" t="inlineStr">
        <is>
          <t>BOOK</t>
        </is>
      </c>
      <c r="BB1652" t="inlineStr">
        <is>
          <t>9780335159772</t>
        </is>
      </c>
      <c r="BC1652" t="inlineStr">
        <is>
          <t>32285001307304</t>
        </is>
      </c>
      <c r="BD1652" t="inlineStr">
        <is>
          <t>893426187</t>
        </is>
      </c>
    </row>
    <row r="1653">
      <c r="A1653" t="inlineStr">
        <is>
          <t>No</t>
        </is>
      </c>
      <c r="B1653" t="inlineStr">
        <is>
          <t>LC4036.G7 P43 1986</t>
        </is>
      </c>
      <c r="C1653" t="inlineStr">
        <is>
          <t>0                      LC 4036000G  7                  P  43          1986</t>
        </is>
      </c>
      <c r="D1653" t="inlineStr">
        <is>
          <t>Special needs in the primary school : identification and intervention / Lea Pearson, Geoff Lindsay.</t>
        </is>
      </c>
      <c r="F1653" t="inlineStr">
        <is>
          <t>No</t>
        </is>
      </c>
      <c r="G1653" t="inlineStr">
        <is>
          <t>1</t>
        </is>
      </c>
      <c r="H1653" t="inlineStr">
        <is>
          <t>No</t>
        </is>
      </c>
      <c r="I1653" t="inlineStr">
        <is>
          <t>No</t>
        </is>
      </c>
      <c r="J1653" t="inlineStr">
        <is>
          <t>0</t>
        </is>
      </c>
      <c r="K1653" t="inlineStr">
        <is>
          <t>Pearson, Lea.</t>
        </is>
      </c>
      <c r="L1653" t="inlineStr">
        <is>
          <t>Windsor, Berkshire, England ; Philadelphia : NFER-Nelson, 1986.</t>
        </is>
      </c>
      <c r="M1653" t="inlineStr">
        <is>
          <t>1986</t>
        </is>
      </c>
      <c r="O1653" t="inlineStr">
        <is>
          <t>eng</t>
        </is>
      </c>
      <c r="P1653" t="inlineStr">
        <is>
          <t>enk</t>
        </is>
      </c>
      <c r="R1653" t="inlineStr">
        <is>
          <t xml:space="preserve">LC </t>
        </is>
      </c>
      <c r="S1653" t="n">
        <v>9</v>
      </c>
      <c r="T1653" t="n">
        <v>9</v>
      </c>
      <c r="U1653" t="inlineStr">
        <is>
          <t>1998-11-17</t>
        </is>
      </c>
      <c r="V1653" t="inlineStr">
        <is>
          <t>1998-11-17</t>
        </is>
      </c>
      <c r="W1653" t="inlineStr">
        <is>
          <t>1992-09-03</t>
        </is>
      </c>
      <c r="X1653" t="inlineStr">
        <is>
          <t>1992-09-03</t>
        </is>
      </c>
      <c r="Y1653" t="n">
        <v>176</v>
      </c>
      <c r="Z1653" t="n">
        <v>82</v>
      </c>
      <c r="AA1653" t="n">
        <v>82</v>
      </c>
      <c r="AB1653" t="n">
        <v>1</v>
      </c>
      <c r="AC1653" t="n">
        <v>1</v>
      </c>
      <c r="AD1653" t="n">
        <v>0</v>
      </c>
      <c r="AE1653" t="n">
        <v>0</v>
      </c>
      <c r="AF1653" t="n">
        <v>0</v>
      </c>
      <c r="AG1653" t="n">
        <v>0</v>
      </c>
      <c r="AH1653" t="n">
        <v>0</v>
      </c>
      <c r="AI1653" t="n">
        <v>0</v>
      </c>
      <c r="AJ1653" t="n">
        <v>0</v>
      </c>
      <c r="AK1653" t="n">
        <v>0</v>
      </c>
      <c r="AL1653" t="n">
        <v>0</v>
      </c>
      <c r="AM1653" t="n">
        <v>0</v>
      </c>
      <c r="AN1653" t="n">
        <v>0</v>
      </c>
      <c r="AO1653" t="n">
        <v>0</v>
      </c>
      <c r="AP1653" t="inlineStr">
        <is>
          <t>No</t>
        </is>
      </c>
      <c r="AQ1653" t="inlineStr">
        <is>
          <t>No</t>
        </is>
      </c>
      <c r="AS1653">
        <f>HYPERLINK("https://creighton-primo.hosted.exlibrisgroup.com/primo-explore/search?tab=default_tab&amp;search_scope=EVERYTHING&amp;vid=01CRU&amp;lang=en_US&amp;offset=0&amp;query=any,contains,991000804079702656","Catalog Record")</f>
        <v/>
      </c>
      <c r="AT1653">
        <f>HYPERLINK("http://www.worldcat.org/oclc/13270404","WorldCat Record")</f>
        <v/>
      </c>
      <c r="AU1653" t="inlineStr">
        <is>
          <t>151476324:eng</t>
        </is>
      </c>
      <c r="AV1653" t="inlineStr">
        <is>
          <t>13270404</t>
        </is>
      </c>
      <c r="AW1653" t="inlineStr">
        <is>
          <t>991000804079702656</t>
        </is>
      </c>
      <c r="AX1653" t="inlineStr">
        <is>
          <t>991000804079702656</t>
        </is>
      </c>
      <c r="AY1653" t="inlineStr">
        <is>
          <t>2271841450002656</t>
        </is>
      </c>
      <c r="AZ1653" t="inlineStr">
        <is>
          <t>BOOK</t>
        </is>
      </c>
      <c r="BB1653" t="inlineStr">
        <is>
          <t>9780700510054</t>
        </is>
      </c>
      <c r="BC1653" t="inlineStr">
        <is>
          <t>32285001307312</t>
        </is>
      </c>
      <c r="BD1653" t="inlineStr">
        <is>
          <t>893255750</t>
        </is>
      </c>
    </row>
    <row r="1654">
      <c r="A1654" t="inlineStr">
        <is>
          <t>No</t>
        </is>
      </c>
      <c r="B1654" t="inlineStr">
        <is>
          <t>LC405 .A2 1987</t>
        </is>
      </c>
      <c r="C1654" t="inlineStr">
        <is>
          <t>0                      LC 0405000A  2           1987</t>
        </is>
      </c>
      <c r="D1654" t="inlineStr">
        <is>
          <t>Religion in the curriculum : a report from the ASCD Panel on Religion in the Curriculum.</t>
        </is>
      </c>
      <c r="F1654" t="inlineStr">
        <is>
          <t>No</t>
        </is>
      </c>
      <c r="G1654" t="inlineStr">
        <is>
          <t>1</t>
        </is>
      </c>
      <c r="H1654" t="inlineStr">
        <is>
          <t>No</t>
        </is>
      </c>
      <c r="I1654" t="inlineStr">
        <is>
          <t>No</t>
        </is>
      </c>
      <c r="J1654" t="inlineStr">
        <is>
          <t>0</t>
        </is>
      </c>
      <c r="L1654" t="inlineStr">
        <is>
          <t>Alexandria, Va. : Association for Supervision and Curriculum Development, c1987.</t>
        </is>
      </c>
      <c r="M1654" t="inlineStr">
        <is>
          <t>1987</t>
        </is>
      </c>
      <c r="O1654" t="inlineStr">
        <is>
          <t>eng</t>
        </is>
      </c>
      <c r="P1654" t="inlineStr">
        <is>
          <t>vau</t>
        </is>
      </c>
      <c r="R1654" t="inlineStr">
        <is>
          <t xml:space="preserve">LC </t>
        </is>
      </c>
      <c r="S1654" t="n">
        <v>6</v>
      </c>
      <c r="T1654" t="n">
        <v>6</v>
      </c>
      <c r="U1654" t="inlineStr">
        <is>
          <t>2004-11-19</t>
        </is>
      </c>
      <c r="V1654" t="inlineStr">
        <is>
          <t>2004-11-19</t>
        </is>
      </c>
      <c r="W1654" t="inlineStr">
        <is>
          <t>1992-08-26</t>
        </is>
      </c>
      <c r="X1654" t="inlineStr">
        <is>
          <t>1992-08-26</t>
        </is>
      </c>
      <c r="Y1654" t="n">
        <v>306</v>
      </c>
      <c r="Z1654" t="n">
        <v>290</v>
      </c>
      <c r="AA1654" t="n">
        <v>294</v>
      </c>
      <c r="AB1654" t="n">
        <v>6</v>
      </c>
      <c r="AC1654" t="n">
        <v>6</v>
      </c>
      <c r="AD1654" t="n">
        <v>15</v>
      </c>
      <c r="AE1654" t="n">
        <v>15</v>
      </c>
      <c r="AF1654" t="n">
        <v>6</v>
      </c>
      <c r="AG1654" t="n">
        <v>6</v>
      </c>
      <c r="AH1654" t="n">
        <v>0</v>
      </c>
      <c r="AI1654" t="n">
        <v>0</v>
      </c>
      <c r="AJ1654" t="n">
        <v>8</v>
      </c>
      <c r="AK1654" t="n">
        <v>8</v>
      </c>
      <c r="AL1654" t="n">
        <v>5</v>
      </c>
      <c r="AM1654" t="n">
        <v>5</v>
      </c>
      <c r="AN1654" t="n">
        <v>0</v>
      </c>
      <c r="AO1654" t="n">
        <v>0</v>
      </c>
      <c r="AP1654" t="inlineStr">
        <is>
          <t>No</t>
        </is>
      </c>
      <c r="AQ1654" t="inlineStr">
        <is>
          <t>Yes</t>
        </is>
      </c>
      <c r="AR1654">
        <f>HYPERLINK("http://catalog.hathitrust.org/Record/009919778","HathiTrust Record")</f>
        <v/>
      </c>
      <c r="AS1654">
        <f>HYPERLINK("https://creighton-primo.hosted.exlibrisgroup.com/primo-explore/search?tab=default_tab&amp;search_scope=EVERYTHING&amp;vid=01CRU&amp;lang=en_US&amp;offset=0&amp;query=any,contains,991001134199702656","Catalog Record")</f>
        <v/>
      </c>
      <c r="AT1654">
        <f>HYPERLINK("http://www.worldcat.org/oclc/16694221","WorldCat Record")</f>
        <v/>
      </c>
      <c r="AU1654" t="inlineStr">
        <is>
          <t>919275666:eng</t>
        </is>
      </c>
      <c r="AV1654" t="inlineStr">
        <is>
          <t>16694221</t>
        </is>
      </c>
      <c r="AW1654" t="inlineStr">
        <is>
          <t>991001134199702656</t>
        </is>
      </c>
      <c r="AX1654" t="inlineStr">
        <is>
          <t>991001134199702656</t>
        </is>
      </c>
      <c r="AY1654" t="inlineStr">
        <is>
          <t>2254788680002656</t>
        </is>
      </c>
      <c r="AZ1654" t="inlineStr">
        <is>
          <t>BOOK</t>
        </is>
      </c>
      <c r="BB1654" t="inlineStr">
        <is>
          <t>9780871201492</t>
        </is>
      </c>
      <c r="BC1654" t="inlineStr">
        <is>
          <t>32285001281509</t>
        </is>
      </c>
      <c r="BD1654" t="inlineStr">
        <is>
          <t>893684065</t>
        </is>
      </c>
    </row>
    <row r="1655">
      <c r="A1655" t="inlineStr">
        <is>
          <t>No</t>
        </is>
      </c>
      <c r="B1655" t="inlineStr">
        <is>
          <t>LC405 .A55</t>
        </is>
      </c>
      <c r="C1655" t="inlineStr">
        <is>
          <t>0                      LC 0405000A  55</t>
        </is>
      </c>
      <c r="D1655" t="inlineStr">
        <is>
          <t>The function of the public schools in dealing with religion.</t>
        </is>
      </c>
      <c r="F1655" t="inlineStr">
        <is>
          <t>No</t>
        </is>
      </c>
      <c r="G1655" t="inlineStr">
        <is>
          <t>1</t>
        </is>
      </c>
      <c r="H1655" t="inlineStr">
        <is>
          <t>No</t>
        </is>
      </c>
      <c r="I1655" t="inlineStr">
        <is>
          <t>No</t>
        </is>
      </c>
      <c r="J1655" t="inlineStr">
        <is>
          <t>0</t>
        </is>
      </c>
      <c r="K1655" t="inlineStr">
        <is>
          <t>American Council on Education. Committee on Religion and Education.</t>
        </is>
      </c>
      <c r="L1655" t="inlineStr">
        <is>
          <t>Washington (D.C.) : American Council on Education, 1953.</t>
        </is>
      </c>
      <c r="M1655" t="inlineStr">
        <is>
          <t>1953</t>
        </is>
      </c>
      <c r="O1655" t="inlineStr">
        <is>
          <t>eng</t>
        </is>
      </c>
      <c r="P1655" t="inlineStr">
        <is>
          <t>___</t>
        </is>
      </c>
      <c r="R1655" t="inlineStr">
        <is>
          <t xml:space="preserve">LC </t>
        </is>
      </c>
      <c r="S1655" t="n">
        <v>8</v>
      </c>
      <c r="T1655" t="n">
        <v>8</v>
      </c>
      <c r="U1655" t="inlineStr">
        <is>
          <t>2008-05-29</t>
        </is>
      </c>
      <c r="V1655" t="inlineStr">
        <is>
          <t>2008-05-29</t>
        </is>
      </c>
      <c r="W1655" t="inlineStr">
        <is>
          <t>1992-08-26</t>
        </is>
      </c>
      <c r="X1655" t="inlineStr">
        <is>
          <t>1992-08-26</t>
        </is>
      </c>
      <c r="Y1655" t="n">
        <v>671</v>
      </c>
      <c r="Z1655" t="n">
        <v>651</v>
      </c>
      <c r="AA1655" t="n">
        <v>758</v>
      </c>
      <c r="AB1655" t="n">
        <v>9</v>
      </c>
      <c r="AC1655" t="n">
        <v>9</v>
      </c>
      <c r="AD1655" t="n">
        <v>39</v>
      </c>
      <c r="AE1655" t="n">
        <v>44</v>
      </c>
      <c r="AF1655" t="n">
        <v>15</v>
      </c>
      <c r="AG1655" t="n">
        <v>17</v>
      </c>
      <c r="AH1655" t="n">
        <v>6</v>
      </c>
      <c r="AI1655" t="n">
        <v>7</v>
      </c>
      <c r="AJ1655" t="n">
        <v>17</v>
      </c>
      <c r="AK1655" t="n">
        <v>18</v>
      </c>
      <c r="AL1655" t="n">
        <v>8</v>
      </c>
      <c r="AM1655" t="n">
        <v>8</v>
      </c>
      <c r="AN1655" t="n">
        <v>2</v>
      </c>
      <c r="AO1655" t="n">
        <v>4</v>
      </c>
      <c r="AP1655" t="inlineStr">
        <is>
          <t>Yes</t>
        </is>
      </c>
      <c r="AQ1655" t="inlineStr">
        <is>
          <t>No</t>
        </is>
      </c>
      <c r="AR1655">
        <f>HYPERLINK("http://catalog.hathitrust.org/Record/003509885","HathiTrust Record")</f>
        <v/>
      </c>
      <c r="AS1655">
        <f>HYPERLINK("https://creighton-primo.hosted.exlibrisgroup.com/primo-explore/search?tab=default_tab&amp;search_scope=EVERYTHING&amp;vid=01CRU&amp;lang=en_US&amp;offset=0&amp;query=any,contains,991001173679702656","Catalog Record")</f>
        <v/>
      </c>
      <c r="AT1655">
        <f>HYPERLINK("http://www.worldcat.org/oclc/188435","WorldCat Record")</f>
        <v/>
      </c>
      <c r="AU1655" t="inlineStr">
        <is>
          <t>1342322:eng</t>
        </is>
      </c>
      <c r="AV1655" t="inlineStr">
        <is>
          <t>188435</t>
        </is>
      </c>
      <c r="AW1655" t="inlineStr">
        <is>
          <t>991001173679702656</t>
        </is>
      </c>
      <c r="AX1655" t="inlineStr">
        <is>
          <t>991001173679702656</t>
        </is>
      </c>
      <c r="AY1655" t="inlineStr">
        <is>
          <t>2267887770002656</t>
        </is>
      </c>
      <c r="AZ1655" t="inlineStr">
        <is>
          <t>BOOK</t>
        </is>
      </c>
      <c r="BC1655" t="inlineStr">
        <is>
          <t>32285001281517</t>
        </is>
      </c>
      <c r="BD1655" t="inlineStr">
        <is>
          <t>893791227</t>
        </is>
      </c>
    </row>
    <row r="1656">
      <c r="A1656" t="inlineStr">
        <is>
          <t>No</t>
        </is>
      </c>
      <c r="B1656" t="inlineStr">
        <is>
          <t>LC405 .A58</t>
        </is>
      </c>
      <c r="C1656" t="inlineStr">
        <is>
          <t>0                      LC 0405000A  58</t>
        </is>
      </c>
      <c r="D1656" t="inlineStr">
        <is>
          <t>The study of religion in the public schools, an appraisal : report of a conference on religion and public education, sponsored by the American Council on Education at Arden House, Harriman, New York, March 10-12, 1957 / edited by Nicholas C. Brown. Papers contributed by F. Ernest Johnson [and others]</t>
        </is>
      </c>
      <c r="F1656" t="inlineStr">
        <is>
          <t>No</t>
        </is>
      </c>
      <c r="G1656" t="inlineStr">
        <is>
          <t>1</t>
        </is>
      </c>
      <c r="H1656" t="inlineStr">
        <is>
          <t>No</t>
        </is>
      </c>
      <c r="I1656" t="inlineStr">
        <is>
          <t>No</t>
        </is>
      </c>
      <c r="J1656" t="inlineStr">
        <is>
          <t>0</t>
        </is>
      </c>
      <c r="K1656" t="inlineStr">
        <is>
          <t>American Council on Education. Committee on Religion and Education.</t>
        </is>
      </c>
      <c r="L1656" t="inlineStr">
        <is>
          <t>Washington, American Council on Education [1958]</t>
        </is>
      </c>
      <c r="M1656" t="inlineStr">
        <is>
          <t>1958</t>
        </is>
      </c>
      <c r="O1656" t="inlineStr">
        <is>
          <t>eng</t>
        </is>
      </c>
      <c r="P1656" t="inlineStr">
        <is>
          <t>dcu</t>
        </is>
      </c>
      <c r="R1656" t="inlineStr">
        <is>
          <t xml:space="preserve">LC </t>
        </is>
      </c>
      <c r="S1656" t="n">
        <v>2</v>
      </c>
      <c r="T1656" t="n">
        <v>2</v>
      </c>
      <c r="U1656" t="inlineStr">
        <is>
          <t>2008-05-29</t>
        </is>
      </c>
      <c r="V1656" t="inlineStr">
        <is>
          <t>2008-05-29</t>
        </is>
      </c>
      <c r="W1656" t="inlineStr">
        <is>
          <t>1997-04-29</t>
        </is>
      </c>
      <c r="X1656" t="inlineStr">
        <is>
          <t>1997-04-29</t>
        </is>
      </c>
      <c r="Y1656" t="n">
        <v>543</v>
      </c>
      <c r="Z1656" t="n">
        <v>528</v>
      </c>
      <c r="AA1656" t="n">
        <v>614</v>
      </c>
      <c r="AB1656" t="n">
        <v>8</v>
      </c>
      <c r="AC1656" t="n">
        <v>9</v>
      </c>
      <c r="AD1656" t="n">
        <v>38</v>
      </c>
      <c r="AE1656" t="n">
        <v>45</v>
      </c>
      <c r="AF1656" t="n">
        <v>13</v>
      </c>
      <c r="AG1656" t="n">
        <v>16</v>
      </c>
      <c r="AH1656" t="n">
        <v>5</v>
      </c>
      <c r="AI1656" t="n">
        <v>7</v>
      </c>
      <c r="AJ1656" t="n">
        <v>19</v>
      </c>
      <c r="AK1656" t="n">
        <v>19</v>
      </c>
      <c r="AL1656" t="n">
        <v>7</v>
      </c>
      <c r="AM1656" t="n">
        <v>8</v>
      </c>
      <c r="AN1656" t="n">
        <v>3</v>
      </c>
      <c r="AO1656" t="n">
        <v>5</v>
      </c>
      <c r="AP1656" t="inlineStr">
        <is>
          <t>No</t>
        </is>
      </c>
      <c r="AQ1656" t="inlineStr">
        <is>
          <t>No</t>
        </is>
      </c>
      <c r="AR1656">
        <f>HYPERLINK("http://catalog.hathitrust.org/Record/001449790","HathiTrust Record")</f>
        <v/>
      </c>
      <c r="AS1656">
        <f>HYPERLINK("https://creighton-primo.hosted.exlibrisgroup.com/primo-explore/search?tab=default_tab&amp;search_scope=EVERYTHING&amp;vid=01CRU&amp;lang=en_US&amp;offset=0&amp;query=any,contains,991001157859702656","Catalog Record")</f>
        <v/>
      </c>
      <c r="AT1656">
        <f>HYPERLINK("http://www.worldcat.org/oclc/186029","WorldCat Record")</f>
        <v/>
      </c>
      <c r="AU1656" t="inlineStr">
        <is>
          <t>1781530199:eng</t>
        </is>
      </c>
      <c r="AV1656" t="inlineStr">
        <is>
          <t>186029</t>
        </is>
      </c>
      <c r="AW1656" t="inlineStr">
        <is>
          <t>991001157859702656</t>
        </is>
      </c>
      <c r="AX1656" t="inlineStr">
        <is>
          <t>991001157859702656</t>
        </is>
      </c>
      <c r="AY1656" t="inlineStr">
        <is>
          <t>2269493290002656</t>
        </is>
      </c>
      <c r="AZ1656" t="inlineStr">
        <is>
          <t>BOOK</t>
        </is>
      </c>
      <c r="BC1656" t="inlineStr">
        <is>
          <t>32285002569589</t>
        </is>
      </c>
      <c r="BD1656" t="inlineStr">
        <is>
          <t>893608603</t>
        </is>
      </c>
    </row>
    <row r="1657">
      <c r="A1657" t="inlineStr">
        <is>
          <t>No</t>
        </is>
      </c>
      <c r="B1657" t="inlineStr">
        <is>
          <t>LC405 .N63 1993</t>
        </is>
      </c>
      <c r="C1657" t="inlineStr">
        <is>
          <t>0                      LC 0405000N  63          1993</t>
        </is>
      </c>
      <c r="D1657" t="inlineStr">
        <is>
          <t>Educating for intelligent belief or unbelief / Nel Noddings.</t>
        </is>
      </c>
      <c r="F1657" t="inlineStr">
        <is>
          <t>No</t>
        </is>
      </c>
      <c r="G1657" t="inlineStr">
        <is>
          <t>1</t>
        </is>
      </c>
      <c r="H1657" t="inlineStr">
        <is>
          <t>No</t>
        </is>
      </c>
      <c r="I1657" t="inlineStr">
        <is>
          <t>No</t>
        </is>
      </c>
      <c r="J1657" t="inlineStr">
        <is>
          <t>0</t>
        </is>
      </c>
      <c r="K1657" t="inlineStr">
        <is>
          <t>Noddings, Nel.</t>
        </is>
      </c>
      <c r="L1657" t="inlineStr">
        <is>
          <t>New York : Teachers College Press, c1993.</t>
        </is>
      </c>
      <c r="M1657" t="inlineStr">
        <is>
          <t>1993</t>
        </is>
      </c>
      <c r="O1657" t="inlineStr">
        <is>
          <t>eng</t>
        </is>
      </c>
      <c r="P1657" t="inlineStr">
        <is>
          <t>nyu</t>
        </is>
      </c>
      <c r="Q1657" t="inlineStr">
        <is>
          <t>The John Dewey lecture</t>
        </is>
      </c>
      <c r="R1657" t="inlineStr">
        <is>
          <t xml:space="preserve">LC </t>
        </is>
      </c>
      <c r="S1657" t="n">
        <v>6</v>
      </c>
      <c r="T1657" t="n">
        <v>6</v>
      </c>
      <c r="U1657" t="inlineStr">
        <is>
          <t>2004-03-02</t>
        </is>
      </c>
      <c r="V1657" t="inlineStr">
        <is>
          <t>2004-03-02</t>
        </is>
      </c>
      <c r="W1657" t="inlineStr">
        <is>
          <t>1995-11-06</t>
        </is>
      </c>
      <c r="X1657" t="inlineStr">
        <is>
          <t>1995-11-06</t>
        </is>
      </c>
      <c r="Y1657" t="n">
        <v>506</v>
      </c>
      <c r="Z1657" t="n">
        <v>432</v>
      </c>
      <c r="AA1657" t="n">
        <v>451</v>
      </c>
      <c r="AB1657" t="n">
        <v>4</v>
      </c>
      <c r="AC1657" t="n">
        <v>4</v>
      </c>
      <c r="AD1657" t="n">
        <v>29</v>
      </c>
      <c r="AE1657" t="n">
        <v>30</v>
      </c>
      <c r="AF1657" t="n">
        <v>13</v>
      </c>
      <c r="AG1657" t="n">
        <v>14</v>
      </c>
      <c r="AH1657" t="n">
        <v>4</v>
      </c>
      <c r="AI1657" t="n">
        <v>5</v>
      </c>
      <c r="AJ1657" t="n">
        <v>16</v>
      </c>
      <c r="AK1657" t="n">
        <v>16</v>
      </c>
      <c r="AL1657" t="n">
        <v>3</v>
      </c>
      <c r="AM1657" t="n">
        <v>3</v>
      </c>
      <c r="AN1657" t="n">
        <v>0</v>
      </c>
      <c r="AO1657" t="n">
        <v>0</v>
      </c>
      <c r="AP1657" t="inlineStr">
        <is>
          <t>No</t>
        </is>
      </c>
      <c r="AQ1657" t="inlineStr">
        <is>
          <t>No</t>
        </is>
      </c>
      <c r="AS1657">
        <f>HYPERLINK("https://creighton-primo.hosted.exlibrisgroup.com/primo-explore/search?tab=default_tab&amp;search_scope=EVERYTHING&amp;vid=01CRU&amp;lang=en_US&amp;offset=0&amp;query=any,contains,991002164759702656","Catalog Record")</f>
        <v/>
      </c>
      <c r="AT1657">
        <f>HYPERLINK("http://www.worldcat.org/oclc/27894547","WorldCat Record")</f>
        <v/>
      </c>
      <c r="AU1657" t="inlineStr">
        <is>
          <t>352983:eng</t>
        </is>
      </c>
      <c r="AV1657" t="inlineStr">
        <is>
          <t>27894547</t>
        </is>
      </c>
      <c r="AW1657" t="inlineStr">
        <is>
          <t>991002164759702656</t>
        </is>
      </c>
      <c r="AX1657" t="inlineStr">
        <is>
          <t>991002164759702656</t>
        </is>
      </c>
      <c r="AY1657" t="inlineStr">
        <is>
          <t>2261301170002656</t>
        </is>
      </c>
      <c r="AZ1657" t="inlineStr">
        <is>
          <t>BOOK</t>
        </is>
      </c>
      <c r="BB1657" t="inlineStr">
        <is>
          <t>9780807732717</t>
        </is>
      </c>
      <c r="BC1657" t="inlineStr">
        <is>
          <t>32285002100948</t>
        </is>
      </c>
      <c r="BD1657" t="inlineStr">
        <is>
          <t>893898439</t>
        </is>
      </c>
    </row>
    <row r="1658">
      <c r="A1658" t="inlineStr">
        <is>
          <t>No</t>
        </is>
      </c>
      <c r="B1658" t="inlineStr">
        <is>
          <t>LC4086 .S53 1998</t>
        </is>
      </c>
      <c r="C1658" t="inlineStr">
        <is>
          <t>0                      LC 4086000S  53          1998</t>
        </is>
      </c>
      <c r="D1658" t="inlineStr">
        <is>
          <t>Reading poverty / Patrick Shannon.</t>
        </is>
      </c>
      <c r="F1658" t="inlineStr">
        <is>
          <t>No</t>
        </is>
      </c>
      <c r="G1658" t="inlineStr">
        <is>
          <t>1</t>
        </is>
      </c>
      <c r="H1658" t="inlineStr">
        <is>
          <t>No</t>
        </is>
      </c>
      <c r="I1658" t="inlineStr">
        <is>
          <t>No</t>
        </is>
      </c>
      <c r="J1658" t="inlineStr">
        <is>
          <t>0</t>
        </is>
      </c>
      <c r="K1658" t="inlineStr">
        <is>
          <t>Shannon, Patrick, 1951-</t>
        </is>
      </c>
      <c r="L1658" t="inlineStr">
        <is>
          <t>Portsmouth, NH : Heinemann, c1998.</t>
        </is>
      </c>
      <c r="M1658" t="inlineStr">
        <is>
          <t>1998</t>
        </is>
      </c>
      <c r="O1658" t="inlineStr">
        <is>
          <t>eng</t>
        </is>
      </c>
      <c r="P1658" t="inlineStr">
        <is>
          <t>nhu</t>
        </is>
      </c>
      <c r="R1658" t="inlineStr">
        <is>
          <t xml:space="preserve">LC </t>
        </is>
      </c>
      <c r="S1658" t="n">
        <v>4</v>
      </c>
      <c r="T1658" t="n">
        <v>4</v>
      </c>
      <c r="U1658" t="inlineStr">
        <is>
          <t>2004-06-07</t>
        </is>
      </c>
      <c r="V1658" t="inlineStr">
        <is>
          <t>2004-06-07</t>
        </is>
      </c>
      <c r="W1658" t="inlineStr">
        <is>
          <t>1998-07-23</t>
        </is>
      </c>
      <c r="X1658" t="inlineStr">
        <is>
          <t>1998-07-23</t>
        </is>
      </c>
      <c r="Y1658" t="n">
        <v>305</v>
      </c>
      <c r="Z1658" t="n">
        <v>284</v>
      </c>
      <c r="AA1658" t="n">
        <v>287</v>
      </c>
      <c r="AB1658" t="n">
        <v>7</v>
      </c>
      <c r="AC1658" t="n">
        <v>7</v>
      </c>
      <c r="AD1658" t="n">
        <v>23</v>
      </c>
      <c r="AE1658" t="n">
        <v>23</v>
      </c>
      <c r="AF1658" t="n">
        <v>9</v>
      </c>
      <c r="AG1658" t="n">
        <v>9</v>
      </c>
      <c r="AH1658" t="n">
        <v>5</v>
      </c>
      <c r="AI1658" t="n">
        <v>5</v>
      </c>
      <c r="AJ1658" t="n">
        <v>9</v>
      </c>
      <c r="AK1658" t="n">
        <v>9</v>
      </c>
      <c r="AL1658" t="n">
        <v>6</v>
      </c>
      <c r="AM1658" t="n">
        <v>6</v>
      </c>
      <c r="AN1658" t="n">
        <v>0</v>
      </c>
      <c r="AO1658" t="n">
        <v>0</v>
      </c>
      <c r="AP1658" t="inlineStr">
        <is>
          <t>No</t>
        </is>
      </c>
      <c r="AQ1658" t="inlineStr">
        <is>
          <t>Yes</t>
        </is>
      </c>
      <c r="AR1658">
        <f>HYPERLINK("http://catalog.hathitrust.org/Record/004002285","HathiTrust Record")</f>
        <v/>
      </c>
      <c r="AS1658">
        <f>HYPERLINK("https://creighton-primo.hosted.exlibrisgroup.com/primo-explore/search?tab=default_tab&amp;search_scope=EVERYTHING&amp;vid=01CRU&amp;lang=en_US&amp;offset=0&amp;query=any,contains,991002882889702656","Catalog Record")</f>
        <v/>
      </c>
      <c r="AT1658">
        <f>HYPERLINK("http://www.worldcat.org/oclc/37992875","WorldCat Record")</f>
        <v/>
      </c>
      <c r="AU1658" t="inlineStr">
        <is>
          <t>612828:eng</t>
        </is>
      </c>
      <c r="AV1658" t="inlineStr">
        <is>
          <t>37992875</t>
        </is>
      </c>
      <c r="AW1658" t="inlineStr">
        <is>
          <t>991002882889702656</t>
        </is>
      </c>
      <c r="AX1658" t="inlineStr">
        <is>
          <t>991002882889702656</t>
        </is>
      </c>
      <c r="AY1658" t="inlineStr">
        <is>
          <t>2266466030002656</t>
        </is>
      </c>
      <c r="AZ1658" t="inlineStr">
        <is>
          <t>BOOK</t>
        </is>
      </c>
      <c r="BB1658" t="inlineStr">
        <is>
          <t>9780325000176</t>
        </is>
      </c>
      <c r="BC1658" t="inlineStr">
        <is>
          <t>32285003445219</t>
        </is>
      </c>
      <c r="BD1658" t="inlineStr">
        <is>
          <t>893598014</t>
        </is>
      </c>
    </row>
    <row r="1659">
      <c r="A1659" t="inlineStr">
        <is>
          <t>No</t>
        </is>
      </c>
      <c r="B1659" t="inlineStr">
        <is>
          <t>LC4091 .D58</t>
        </is>
      </c>
      <c r="C1659" t="inlineStr">
        <is>
          <t>0                      LC 4091000D  58</t>
        </is>
      </c>
      <c r="D1659" t="inlineStr">
        <is>
          <t>Children of poverty with handicapping conditions : how teachers can cope humanistically / by Nancy Powell Dixon.</t>
        </is>
      </c>
      <c r="F1659" t="inlineStr">
        <is>
          <t>No</t>
        </is>
      </c>
      <c r="G1659" t="inlineStr">
        <is>
          <t>1</t>
        </is>
      </c>
      <c r="H1659" t="inlineStr">
        <is>
          <t>No</t>
        </is>
      </c>
      <c r="I1659" t="inlineStr">
        <is>
          <t>No</t>
        </is>
      </c>
      <c r="J1659" t="inlineStr">
        <is>
          <t>0</t>
        </is>
      </c>
      <c r="K1659" t="inlineStr">
        <is>
          <t>Dixon, Nancy Powell.</t>
        </is>
      </c>
      <c r="L1659" t="inlineStr">
        <is>
          <t>Springfield, Ill. : Thomas, c1981.</t>
        </is>
      </c>
      <c r="M1659" t="inlineStr">
        <is>
          <t>1981</t>
        </is>
      </c>
      <c r="O1659" t="inlineStr">
        <is>
          <t>eng</t>
        </is>
      </c>
      <c r="P1659" t="inlineStr">
        <is>
          <t>ilu</t>
        </is>
      </c>
      <c r="R1659" t="inlineStr">
        <is>
          <t xml:space="preserve">LC </t>
        </is>
      </c>
      <c r="S1659" t="n">
        <v>2</v>
      </c>
      <c r="T1659" t="n">
        <v>2</v>
      </c>
      <c r="U1659" t="inlineStr">
        <is>
          <t>2003-11-06</t>
        </is>
      </c>
      <c r="V1659" t="inlineStr">
        <is>
          <t>2003-11-06</t>
        </is>
      </c>
      <c r="W1659" t="inlineStr">
        <is>
          <t>1992-09-03</t>
        </is>
      </c>
      <c r="X1659" t="inlineStr">
        <is>
          <t>1992-09-03</t>
        </is>
      </c>
      <c r="Y1659" t="n">
        <v>187</v>
      </c>
      <c r="Z1659" t="n">
        <v>166</v>
      </c>
      <c r="AA1659" t="n">
        <v>166</v>
      </c>
      <c r="AB1659" t="n">
        <v>3</v>
      </c>
      <c r="AC1659" t="n">
        <v>3</v>
      </c>
      <c r="AD1659" t="n">
        <v>5</v>
      </c>
      <c r="AE1659" t="n">
        <v>5</v>
      </c>
      <c r="AF1659" t="n">
        <v>1</v>
      </c>
      <c r="AG1659" t="n">
        <v>1</v>
      </c>
      <c r="AH1659" t="n">
        <v>2</v>
      </c>
      <c r="AI1659" t="n">
        <v>2</v>
      </c>
      <c r="AJ1659" t="n">
        <v>2</v>
      </c>
      <c r="AK1659" t="n">
        <v>2</v>
      </c>
      <c r="AL1659" t="n">
        <v>2</v>
      </c>
      <c r="AM1659" t="n">
        <v>2</v>
      </c>
      <c r="AN1659" t="n">
        <v>0</v>
      </c>
      <c r="AO1659" t="n">
        <v>0</v>
      </c>
      <c r="AP1659" t="inlineStr">
        <is>
          <t>No</t>
        </is>
      </c>
      <c r="AQ1659" t="inlineStr">
        <is>
          <t>No</t>
        </is>
      </c>
      <c r="AS1659">
        <f>HYPERLINK("https://creighton-primo.hosted.exlibrisgroup.com/primo-explore/search?tab=default_tab&amp;search_scope=EVERYTHING&amp;vid=01CRU&amp;lang=en_US&amp;offset=0&amp;query=any,contains,991005081389702656","Catalog Record")</f>
        <v/>
      </c>
      <c r="AT1659">
        <f>HYPERLINK("http://www.worldcat.org/oclc/7172508","WorldCat Record")</f>
        <v/>
      </c>
      <c r="AU1659" t="inlineStr">
        <is>
          <t>25996761:eng</t>
        </is>
      </c>
      <c r="AV1659" t="inlineStr">
        <is>
          <t>7172508</t>
        </is>
      </c>
      <c r="AW1659" t="inlineStr">
        <is>
          <t>991005081389702656</t>
        </is>
      </c>
      <c r="AX1659" t="inlineStr">
        <is>
          <t>991005081389702656</t>
        </is>
      </c>
      <c r="AY1659" t="inlineStr">
        <is>
          <t>2256075470002656</t>
        </is>
      </c>
      <c r="AZ1659" t="inlineStr">
        <is>
          <t>BOOK</t>
        </is>
      </c>
      <c r="BB1659" t="inlineStr">
        <is>
          <t>9780398044787</t>
        </is>
      </c>
      <c r="BC1659" t="inlineStr">
        <is>
          <t>32285001307429</t>
        </is>
      </c>
      <c r="BD1659" t="inlineStr">
        <is>
          <t>893437114</t>
        </is>
      </c>
    </row>
    <row r="1660">
      <c r="A1660" t="inlineStr">
        <is>
          <t>No</t>
        </is>
      </c>
      <c r="B1660" t="inlineStr">
        <is>
          <t>LC4091 .L43 1991</t>
        </is>
      </c>
      <c r="C1660" t="inlineStr">
        <is>
          <t>0                      LC 4091000L  43          1991</t>
        </is>
      </c>
      <c r="D1660" t="inlineStr">
        <is>
          <t>Learning to fail : case studies of students at risk / [edited by Deborah Burnett Strother].</t>
        </is>
      </c>
      <c r="F1660" t="inlineStr">
        <is>
          <t>No</t>
        </is>
      </c>
      <c r="G1660" t="inlineStr">
        <is>
          <t>1</t>
        </is>
      </c>
      <c r="H1660" t="inlineStr">
        <is>
          <t>No</t>
        </is>
      </c>
      <c r="I1660" t="inlineStr">
        <is>
          <t>No</t>
        </is>
      </c>
      <c r="J1660" t="inlineStr">
        <is>
          <t>0</t>
        </is>
      </c>
      <c r="L1660" t="inlineStr">
        <is>
          <t>Bloomington, Ind. : Phi Delta Kappa, Maynard R. Bemis Center for Evaluation, Development, and Research, c1991.</t>
        </is>
      </c>
      <c r="M1660" t="inlineStr">
        <is>
          <t>1991</t>
        </is>
      </c>
      <c r="O1660" t="inlineStr">
        <is>
          <t>eng</t>
        </is>
      </c>
      <c r="P1660" t="inlineStr">
        <is>
          <t>inu</t>
        </is>
      </c>
      <c r="R1660" t="inlineStr">
        <is>
          <t xml:space="preserve">LC </t>
        </is>
      </c>
      <c r="S1660" t="n">
        <v>4</v>
      </c>
      <c r="T1660" t="n">
        <v>4</v>
      </c>
      <c r="U1660" t="inlineStr">
        <is>
          <t>1993-10-05</t>
        </is>
      </c>
      <c r="V1660" t="inlineStr">
        <is>
          <t>1993-10-05</t>
        </is>
      </c>
      <c r="W1660" t="inlineStr">
        <is>
          <t>1992-05-22</t>
        </is>
      </c>
      <c r="X1660" t="inlineStr">
        <is>
          <t>1992-05-22</t>
        </is>
      </c>
      <c r="Y1660" t="n">
        <v>176</v>
      </c>
      <c r="Z1660" t="n">
        <v>168</v>
      </c>
      <c r="AA1660" t="n">
        <v>170</v>
      </c>
      <c r="AB1660" t="n">
        <v>5</v>
      </c>
      <c r="AC1660" t="n">
        <v>5</v>
      </c>
      <c r="AD1660" t="n">
        <v>11</v>
      </c>
      <c r="AE1660" t="n">
        <v>11</v>
      </c>
      <c r="AF1660" t="n">
        <v>4</v>
      </c>
      <c r="AG1660" t="n">
        <v>4</v>
      </c>
      <c r="AH1660" t="n">
        <v>2</v>
      </c>
      <c r="AI1660" t="n">
        <v>2</v>
      </c>
      <c r="AJ1660" t="n">
        <v>2</v>
      </c>
      <c r="AK1660" t="n">
        <v>2</v>
      </c>
      <c r="AL1660" t="n">
        <v>4</v>
      </c>
      <c r="AM1660" t="n">
        <v>4</v>
      </c>
      <c r="AN1660" t="n">
        <v>0</v>
      </c>
      <c r="AO1660" t="n">
        <v>0</v>
      </c>
      <c r="AP1660" t="inlineStr">
        <is>
          <t>No</t>
        </is>
      </c>
      <c r="AQ1660" t="inlineStr">
        <is>
          <t>No</t>
        </is>
      </c>
      <c r="AS1660">
        <f>HYPERLINK("https://creighton-primo.hosted.exlibrisgroup.com/primo-explore/search?tab=default_tab&amp;search_scope=EVERYTHING&amp;vid=01CRU&amp;lang=en_US&amp;offset=0&amp;query=any,contains,991001968769702656","Catalog Record")</f>
        <v/>
      </c>
      <c r="AT1660">
        <f>HYPERLINK("http://www.worldcat.org/oclc/24953769","WorldCat Record")</f>
        <v/>
      </c>
      <c r="AU1660" t="inlineStr">
        <is>
          <t>26297432:eng</t>
        </is>
      </c>
      <c r="AV1660" t="inlineStr">
        <is>
          <t>24953769</t>
        </is>
      </c>
      <c r="AW1660" t="inlineStr">
        <is>
          <t>991001968769702656</t>
        </is>
      </c>
      <c r="AX1660" t="inlineStr">
        <is>
          <t>991001968769702656</t>
        </is>
      </c>
      <c r="AY1660" t="inlineStr">
        <is>
          <t>2271129260002656</t>
        </is>
      </c>
      <c r="AZ1660" t="inlineStr">
        <is>
          <t>BOOK</t>
        </is>
      </c>
      <c r="BB1660" t="inlineStr">
        <is>
          <t>9780873677288</t>
        </is>
      </c>
      <c r="BC1660" t="inlineStr">
        <is>
          <t>32285001116978</t>
        </is>
      </c>
      <c r="BD1660" t="inlineStr">
        <is>
          <t>893256711</t>
        </is>
      </c>
    </row>
    <row r="1661">
      <c r="A1661" t="inlineStr">
        <is>
          <t>No</t>
        </is>
      </c>
      <c r="B1661" t="inlineStr">
        <is>
          <t>LC4091 .M255 1998</t>
        </is>
      </c>
      <c r="C1661" t="inlineStr">
        <is>
          <t>0                      LC 4091000M  255         1998</t>
        </is>
      </c>
      <c r="D1661" t="inlineStr">
        <is>
          <t>Altered destinies : making life better for schoolchildren in need / Gene I. Maeroff.</t>
        </is>
      </c>
      <c r="F1661" t="inlineStr">
        <is>
          <t>No</t>
        </is>
      </c>
      <c r="G1661" t="inlineStr">
        <is>
          <t>1</t>
        </is>
      </c>
      <c r="H1661" t="inlineStr">
        <is>
          <t>No</t>
        </is>
      </c>
      <c r="I1661" t="inlineStr">
        <is>
          <t>No</t>
        </is>
      </c>
      <c r="J1661" t="inlineStr">
        <is>
          <t>0</t>
        </is>
      </c>
      <c r="K1661" t="inlineStr">
        <is>
          <t>Maeroff, Gene I.</t>
        </is>
      </c>
      <c r="L1661" t="inlineStr">
        <is>
          <t>New York : St. Martin's Press, 1998.</t>
        </is>
      </c>
      <c r="M1661" t="inlineStr">
        <is>
          <t>1998</t>
        </is>
      </c>
      <c r="N1661" t="inlineStr">
        <is>
          <t>1st ed.</t>
        </is>
      </c>
      <c r="O1661" t="inlineStr">
        <is>
          <t>eng</t>
        </is>
      </c>
      <c r="P1661" t="inlineStr">
        <is>
          <t>nyu</t>
        </is>
      </c>
      <c r="R1661" t="inlineStr">
        <is>
          <t xml:space="preserve">LC </t>
        </is>
      </c>
      <c r="S1661" t="n">
        <v>3</v>
      </c>
      <c r="T1661" t="n">
        <v>3</v>
      </c>
      <c r="U1661" t="inlineStr">
        <is>
          <t>1999-05-19</t>
        </is>
      </c>
      <c r="V1661" t="inlineStr">
        <is>
          <t>1999-05-19</t>
        </is>
      </c>
      <c r="W1661" t="inlineStr">
        <is>
          <t>1998-03-25</t>
        </is>
      </c>
      <c r="X1661" t="inlineStr">
        <is>
          <t>1998-03-25</t>
        </is>
      </c>
      <c r="Y1661" t="n">
        <v>497</v>
      </c>
      <c r="Z1661" t="n">
        <v>473</v>
      </c>
      <c r="AA1661" t="n">
        <v>508</v>
      </c>
      <c r="AB1661" t="n">
        <v>4</v>
      </c>
      <c r="AC1661" t="n">
        <v>5</v>
      </c>
      <c r="AD1661" t="n">
        <v>19</v>
      </c>
      <c r="AE1661" t="n">
        <v>23</v>
      </c>
      <c r="AF1661" t="n">
        <v>8</v>
      </c>
      <c r="AG1661" t="n">
        <v>9</v>
      </c>
      <c r="AH1661" t="n">
        <v>6</v>
      </c>
      <c r="AI1661" t="n">
        <v>6</v>
      </c>
      <c r="AJ1661" t="n">
        <v>8</v>
      </c>
      <c r="AK1661" t="n">
        <v>10</v>
      </c>
      <c r="AL1661" t="n">
        <v>3</v>
      </c>
      <c r="AM1661" t="n">
        <v>4</v>
      </c>
      <c r="AN1661" t="n">
        <v>0</v>
      </c>
      <c r="AO1661" t="n">
        <v>0</v>
      </c>
      <c r="AP1661" t="inlineStr">
        <is>
          <t>No</t>
        </is>
      </c>
      <c r="AQ1661" t="inlineStr">
        <is>
          <t>No</t>
        </is>
      </c>
      <c r="AS1661">
        <f>HYPERLINK("https://creighton-primo.hosted.exlibrisgroup.com/primo-explore/search?tab=default_tab&amp;search_scope=EVERYTHING&amp;vid=01CRU&amp;lang=en_US&amp;offset=0&amp;query=any,contains,991002864979702656","Catalog Record")</f>
        <v/>
      </c>
      <c r="AT1661">
        <f>HYPERLINK("http://www.worldcat.org/oclc/37761874","WorldCat Record")</f>
        <v/>
      </c>
      <c r="AU1661" t="inlineStr">
        <is>
          <t>609770:eng</t>
        </is>
      </c>
      <c r="AV1661" t="inlineStr">
        <is>
          <t>37761874</t>
        </is>
      </c>
      <c r="AW1661" t="inlineStr">
        <is>
          <t>991002864979702656</t>
        </is>
      </c>
      <c r="AX1661" t="inlineStr">
        <is>
          <t>991002864979702656</t>
        </is>
      </c>
      <c r="AY1661" t="inlineStr">
        <is>
          <t>2272509350002656</t>
        </is>
      </c>
      <c r="AZ1661" t="inlineStr">
        <is>
          <t>BOOK</t>
        </is>
      </c>
      <c r="BB1661" t="inlineStr">
        <is>
          <t>9780312175436</t>
        </is>
      </c>
      <c r="BC1661" t="inlineStr">
        <is>
          <t>32285003380689</t>
        </is>
      </c>
      <c r="BD1661" t="inlineStr">
        <is>
          <t>893348020</t>
        </is>
      </c>
    </row>
    <row r="1662">
      <c r="A1662" t="inlineStr">
        <is>
          <t>No</t>
        </is>
      </c>
      <c r="B1662" t="inlineStr">
        <is>
          <t>LC4091 .M517 1998</t>
        </is>
      </c>
      <c r="C1662" t="inlineStr">
        <is>
          <t>0                      LC 4091000M  517         1998</t>
        </is>
      </c>
      <c r="D1662" t="inlineStr">
        <is>
          <t>Something better for my children : the history and people of Head Start / Kay Mills.</t>
        </is>
      </c>
      <c r="F1662" t="inlineStr">
        <is>
          <t>No</t>
        </is>
      </c>
      <c r="G1662" t="inlineStr">
        <is>
          <t>1</t>
        </is>
      </c>
      <c r="H1662" t="inlineStr">
        <is>
          <t>No</t>
        </is>
      </c>
      <c r="I1662" t="inlineStr">
        <is>
          <t>No</t>
        </is>
      </c>
      <c r="J1662" t="inlineStr">
        <is>
          <t>0</t>
        </is>
      </c>
      <c r="K1662" t="inlineStr">
        <is>
          <t>Mills, Kay.</t>
        </is>
      </c>
      <c r="L1662" t="inlineStr">
        <is>
          <t>New York : Dutton, c1998.</t>
        </is>
      </c>
      <c r="M1662" t="inlineStr">
        <is>
          <t>1998</t>
        </is>
      </c>
      <c r="O1662" t="inlineStr">
        <is>
          <t>eng</t>
        </is>
      </c>
      <c r="P1662" t="inlineStr">
        <is>
          <t>nyu</t>
        </is>
      </c>
      <c r="R1662" t="inlineStr">
        <is>
          <t xml:space="preserve">LC </t>
        </is>
      </c>
      <c r="S1662" t="n">
        <v>4</v>
      </c>
      <c r="T1662" t="n">
        <v>4</v>
      </c>
      <c r="U1662" t="inlineStr">
        <is>
          <t>2003-09-15</t>
        </is>
      </c>
      <c r="V1662" t="inlineStr">
        <is>
          <t>2003-09-15</t>
        </is>
      </c>
      <c r="W1662" t="inlineStr">
        <is>
          <t>1998-07-21</t>
        </is>
      </c>
      <c r="X1662" t="inlineStr">
        <is>
          <t>1998-07-21</t>
        </is>
      </c>
      <c r="Y1662" t="n">
        <v>883</v>
      </c>
      <c r="Z1662" t="n">
        <v>852</v>
      </c>
      <c r="AA1662" t="n">
        <v>860</v>
      </c>
      <c r="AB1662" t="n">
        <v>8</v>
      </c>
      <c r="AC1662" t="n">
        <v>8</v>
      </c>
      <c r="AD1662" t="n">
        <v>24</v>
      </c>
      <c r="AE1662" t="n">
        <v>24</v>
      </c>
      <c r="AF1662" t="n">
        <v>6</v>
      </c>
      <c r="AG1662" t="n">
        <v>6</v>
      </c>
      <c r="AH1662" t="n">
        <v>5</v>
      </c>
      <c r="AI1662" t="n">
        <v>5</v>
      </c>
      <c r="AJ1662" t="n">
        <v>12</v>
      </c>
      <c r="AK1662" t="n">
        <v>12</v>
      </c>
      <c r="AL1662" t="n">
        <v>6</v>
      </c>
      <c r="AM1662" t="n">
        <v>6</v>
      </c>
      <c r="AN1662" t="n">
        <v>0</v>
      </c>
      <c r="AO1662" t="n">
        <v>0</v>
      </c>
      <c r="AP1662" t="inlineStr">
        <is>
          <t>No</t>
        </is>
      </c>
      <c r="AQ1662" t="inlineStr">
        <is>
          <t>Yes</t>
        </is>
      </c>
      <c r="AR1662">
        <f>HYPERLINK("http://catalog.hathitrust.org/Record/003972179","HathiTrust Record")</f>
        <v/>
      </c>
      <c r="AS1662">
        <f>HYPERLINK("https://creighton-primo.hosted.exlibrisgroup.com/primo-explore/search?tab=default_tab&amp;search_scope=EVERYTHING&amp;vid=01CRU&amp;lang=en_US&amp;offset=0&amp;query=any,contains,991002849349702656","Catalog Record")</f>
        <v/>
      </c>
      <c r="AT1662">
        <f>HYPERLINK("http://www.worldcat.org/oclc/37546823","WorldCat Record")</f>
        <v/>
      </c>
      <c r="AU1662" t="inlineStr">
        <is>
          <t>902300478:eng</t>
        </is>
      </c>
      <c r="AV1662" t="inlineStr">
        <is>
          <t>37546823</t>
        </is>
      </c>
      <c r="AW1662" t="inlineStr">
        <is>
          <t>991002849349702656</t>
        </is>
      </c>
      <c r="AX1662" t="inlineStr">
        <is>
          <t>991002849349702656</t>
        </is>
      </c>
      <c r="AY1662" t="inlineStr">
        <is>
          <t>2261384360002656</t>
        </is>
      </c>
      <c r="AZ1662" t="inlineStr">
        <is>
          <t>BOOK</t>
        </is>
      </c>
      <c r="BB1662" t="inlineStr">
        <is>
          <t>9780525943280</t>
        </is>
      </c>
      <c r="BC1662" t="inlineStr">
        <is>
          <t>32285003433850</t>
        </is>
      </c>
      <c r="BD1662" t="inlineStr">
        <is>
          <t>893440593</t>
        </is>
      </c>
    </row>
    <row r="1663">
      <c r="A1663" t="inlineStr">
        <is>
          <t>No</t>
        </is>
      </c>
      <c r="B1663" t="inlineStr">
        <is>
          <t>LC4091 .N39 1990</t>
        </is>
      </c>
      <c r="C1663" t="inlineStr">
        <is>
          <t>0                      LC 4091000N  39          1990</t>
        </is>
      </c>
      <c r="D1663" t="inlineStr">
        <is>
          <t>Schooling disadvantaged children : racing against catastrophe / Gary Natriello, Edward L. McDill, Aaron M. Pallas.</t>
        </is>
      </c>
      <c r="F1663" t="inlineStr">
        <is>
          <t>No</t>
        </is>
      </c>
      <c r="G1663" t="inlineStr">
        <is>
          <t>1</t>
        </is>
      </c>
      <c r="H1663" t="inlineStr">
        <is>
          <t>No</t>
        </is>
      </c>
      <c r="I1663" t="inlineStr">
        <is>
          <t>No</t>
        </is>
      </c>
      <c r="J1663" t="inlineStr">
        <is>
          <t>0</t>
        </is>
      </c>
      <c r="K1663" t="inlineStr">
        <is>
          <t>Natriello, Gary.</t>
        </is>
      </c>
      <c r="L1663" t="inlineStr">
        <is>
          <t>New York : Teachers College Press, Teachers College, Columbia University, c1990.</t>
        </is>
      </c>
      <c r="M1663" t="inlineStr">
        <is>
          <t>1990</t>
        </is>
      </c>
      <c r="O1663" t="inlineStr">
        <is>
          <t>eng</t>
        </is>
      </c>
      <c r="P1663" t="inlineStr">
        <is>
          <t>nyu</t>
        </is>
      </c>
      <c r="R1663" t="inlineStr">
        <is>
          <t xml:space="preserve">LC </t>
        </is>
      </c>
      <c r="S1663" t="n">
        <v>7</v>
      </c>
      <c r="T1663" t="n">
        <v>7</v>
      </c>
      <c r="U1663" t="inlineStr">
        <is>
          <t>2000-11-18</t>
        </is>
      </c>
      <c r="V1663" t="inlineStr">
        <is>
          <t>2000-11-18</t>
        </is>
      </c>
      <c r="W1663" t="inlineStr">
        <is>
          <t>1990-11-27</t>
        </is>
      </c>
      <c r="X1663" t="inlineStr">
        <is>
          <t>1990-11-27</t>
        </is>
      </c>
      <c r="Y1663" t="n">
        <v>722</v>
      </c>
      <c r="Z1663" t="n">
        <v>656</v>
      </c>
      <c r="AA1663" t="n">
        <v>662</v>
      </c>
      <c r="AB1663" t="n">
        <v>7</v>
      </c>
      <c r="AC1663" t="n">
        <v>7</v>
      </c>
      <c r="AD1663" t="n">
        <v>35</v>
      </c>
      <c r="AE1663" t="n">
        <v>35</v>
      </c>
      <c r="AF1663" t="n">
        <v>18</v>
      </c>
      <c r="AG1663" t="n">
        <v>18</v>
      </c>
      <c r="AH1663" t="n">
        <v>6</v>
      </c>
      <c r="AI1663" t="n">
        <v>6</v>
      </c>
      <c r="AJ1663" t="n">
        <v>16</v>
      </c>
      <c r="AK1663" t="n">
        <v>16</v>
      </c>
      <c r="AL1663" t="n">
        <v>5</v>
      </c>
      <c r="AM1663" t="n">
        <v>5</v>
      </c>
      <c r="AN1663" t="n">
        <v>0</v>
      </c>
      <c r="AO1663" t="n">
        <v>0</v>
      </c>
      <c r="AP1663" t="inlineStr">
        <is>
          <t>No</t>
        </is>
      </c>
      <c r="AQ1663" t="inlineStr">
        <is>
          <t>No</t>
        </is>
      </c>
      <c r="AS1663">
        <f>HYPERLINK("https://creighton-primo.hosted.exlibrisgroup.com/primo-explore/search?tab=default_tab&amp;search_scope=EVERYTHING&amp;vid=01CRU&amp;lang=en_US&amp;offset=0&amp;query=any,contains,991001623189702656","Catalog Record")</f>
        <v/>
      </c>
      <c r="AT1663">
        <f>HYPERLINK("http://www.worldcat.org/oclc/20826673","WorldCat Record")</f>
        <v/>
      </c>
      <c r="AU1663" t="inlineStr">
        <is>
          <t>433072467:eng</t>
        </is>
      </c>
      <c r="AV1663" t="inlineStr">
        <is>
          <t>20826673</t>
        </is>
      </c>
      <c r="AW1663" t="inlineStr">
        <is>
          <t>991001623189702656</t>
        </is>
      </c>
      <c r="AX1663" t="inlineStr">
        <is>
          <t>991001623189702656</t>
        </is>
      </c>
      <c r="AY1663" t="inlineStr">
        <is>
          <t>2261256700002656</t>
        </is>
      </c>
      <c r="AZ1663" t="inlineStr">
        <is>
          <t>BOOK</t>
        </is>
      </c>
      <c r="BB1663" t="inlineStr">
        <is>
          <t>9780807730157</t>
        </is>
      </c>
      <c r="BC1663" t="inlineStr">
        <is>
          <t>32285000357052</t>
        </is>
      </c>
      <c r="BD1663" t="inlineStr">
        <is>
          <t>893516320</t>
        </is>
      </c>
    </row>
    <row r="1664">
      <c r="A1664" t="inlineStr">
        <is>
          <t>No</t>
        </is>
      </c>
      <c r="B1664" t="inlineStr">
        <is>
          <t>LC4091 .R43 1976</t>
        </is>
      </c>
      <c r="C1664" t="inlineStr">
        <is>
          <t>0                      LC 4091000R  43          1976</t>
        </is>
      </c>
      <c r="D1664" t="inlineStr">
        <is>
          <t>The inner-city child / by Frank Riessman.</t>
        </is>
      </c>
      <c r="F1664" t="inlineStr">
        <is>
          <t>No</t>
        </is>
      </c>
      <c r="G1664" t="inlineStr">
        <is>
          <t>1</t>
        </is>
      </c>
      <c r="H1664" t="inlineStr">
        <is>
          <t>No</t>
        </is>
      </c>
      <c r="I1664" t="inlineStr">
        <is>
          <t>No</t>
        </is>
      </c>
      <c r="J1664" t="inlineStr">
        <is>
          <t>0</t>
        </is>
      </c>
      <c r="K1664" t="inlineStr">
        <is>
          <t>Riessman, Frank, 1924-2004.</t>
        </is>
      </c>
      <c r="L1664" t="inlineStr">
        <is>
          <t>New York : Harper &amp; Row, c1976.</t>
        </is>
      </c>
      <c r="M1664" t="inlineStr">
        <is>
          <t>1976</t>
        </is>
      </c>
      <c r="N1664" t="inlineStr">
        <is>
          <t>1st ed.</t>
        </is>
      </c>
      <c r="O1664" t="inlineStr">
        <is>
          <t>eng</t>
        </is>
      </c>
      <c r="P1664" t="inlineStr">
        <is>
          <t>nyu</t>
        </is>
      </c>
      <c r="R1664" t="inlineStr">
        <is>
          <t xml:space="preserve">LC </t>
        </is>
      </c>
      <c r="S1664" t="n">
        <v>6</v>
      </c>
      <c r="T1664" t="n">
        <v>6</v>
      </c>
      <c r="U1664" t="inlineStr">
        <is>
          <t>2000-11-18</t>
        </is>
      </c>
      <c r="V1664" t="inlineStr">
        <is>
          <t>2000-11-18</t>
        </is>
      </c>
      <c r="W1664" t="inlineStr">
        <is>
          <t>1997-06-13</t>
        </is>
      </c>
      <c r="X1664" t="inlineStr">
        <is>
          <t>1997-06-13</t>
        </is>
      </c>
      <c r="Y1664" t="n">
        <v>635</v>
      </c>
      <c r="Z1664" t="n">
        <v>599</v>
      </c>
      <c r="AA1664" t="n">
        <v>618</v>
      </c>
      <c r="AB1664" t="n">
        <v>9</v>
      </c>
      <c r="AC1664" t="n">
        <v>10</v>
      </c>
      <c r="AD1664" t="n">
        <v>29</v>
      </c>
      <c r="AE1664" t="n">
        <v>30</v>
      </c>
      <c r="AF1664" t="n">
        <v>10</v>
      </c>
      <c r="AG1664" t="n">
        <v>10</v>
      </c>
      <c r="AH1664" t="n">
        <v>3</v>
      </c>
      <c r="AI1664" t="n">
        <v>3</v>
      </c>
      <c r="AJ1664" t="n">
        <v>13</v>
      </c>
      <c r="AK1664" t="n">
        <v>13</v>
      </c>
      <c r="AL1664" t="n">
        <v>7</v>
      </c>
      <c r="AM1664" t="n">
        <v>8</v>
      </c>
      <c r="AN1664" t="n">
        <v>1</v>
      </c>
      <c r="AO1664" t="n">
        <v>1</v>
      </c>
      <c r="AP1664" t="inlineStr">
        <is>
          <t>No</t>
        </is>
      </c>
      <c r="AQ1664" t="inlineStr">
        <is>
          <t>Yes</t>
        </is>
      </c>
      <c r="AR1664">
        <f>HYPERLINK("http://catalog.hathitrust.org/Record/000746901","HathiTrust Record")</f>
        <v/>
      </c>
      <c r="AS1664">
        <f>HYPERLINK("https://creighton-primo.hosted.exlibrisgroup.com/primo-explore/search?tab=default_tab&amp;search_scope=EVERYTHING&amp;vid=01CRU&amp;lang=en_US&amp;offset=0&amp;query=any,contains,991004007859702656","Catalog Record")</f>
        <v/>
      </c>
      <c r="AT1664">
        <f>HYPERLINK("http://www.worldcat.org/oclc/2089031","WorldCat Record")</f>
        <v/>
      </c>
      <c r="AU1664" t="inlineStr">
        <is>
          <t>4182466:eng</t>
        </is>
      </c>
      <c r="AV1664" t="inlineStr">
        <is>
          <t>2089031</t>
        </is>
      </c>
      <c r="AW1664" t="inlineStr">
        <is>
          <t>991004007859702656</t>
        </is>
      </c>
      <c r="AX1664" t="inlineStr">
        <is>
          <t>991004007859702656</t>
        </is>
      </c>
      <c r="AY1664" t="inlineStr">
        <is>
          <t>2263471310002656</t>
        </is>
      </c>
      <c r="AZ1664" t="inlineStr">
        <is>
          <t>BOOK</t>
        </is>
      </c>
      <c r="BB1664" t="inlineStr">
        <is>
          <t>9780060135676</t>
        </is>
      </c>
      <c r="BC1664" t="inlineStr">
        <is>
          <t>32285002804846</t>
        </is>
      </c>
      <c r="BD1664" t="inlineStr">
        <is>
          <t>893900680</t>
        </is>
      </c>
    </row>
    <row r="1665">
      <c r="A1665" t="inlineStr">
        <is>
          <t>No</t>
        </is>
      </c>
      <c r="B1665" t="inlineStr">
        <is>
          <t>LC4091 .S35 1989</t>
        </is>
      </c>
      <c r="C1665" t="inlineStr">
        <is>
          <t>0                      LC 4091000S  35          1989</t>
        </is>
      </c>
      <c r="D1665" t="inlineStr">
        <is>
          <t>School children at-risk / Virginia Richardson ... [et al.].</t>
        </is>
      </c>
      <c r="F1665" t="inlineStr">
        <is>
          <t>No</t>
        </is>
      </c>
      <c r="G1665" t="inlineStr">
        <is>
          <t>1</t>
        </is>
      </c>
      <c r="H1665" t="inlineStr">
        <is>
          <t>No</t>
        </is>
      </c>
      <c r="I1665" t="inlineStr">
        <is>
          <t>No</t>
        </is>
      </c>
      <c r="J1665" t="inlineStr">
        <is>
          <t>0</t>
        </is>
      </c>
      <c r="L1665" t="inlineStr">
        <is>
          <t>London ; New York : Falmer Press, 1989.</t>
        </is>
      </c>
      <c r="M1665" t="inlineStr">
        <is>
          <t>1989</t>
        </is>
      </c>
      <c r="O1665" t="inlineStr">
        <is>
          <t>eng</t>
        </is>
      </c>
      <c r="P1665" t="inlineStr">
        <is>
          <t>enk</t>
        </is>
      </c>
      <c r="R1665" t="inlineStr">
        <is>
          <t xml:space="preserve">LC </t>
        </is>
      </c>
      <c r="S1665" t="n">
        <v>6</v>
      </c>
      <c r="T1665" t="n">
        <v>6</v>
      </c>
      <c r="U1665" t="inlineStr">
        <is>
          <t>1994-11-20</t>
        </is>
      </c>
      <c r="V1665" t="inlineStr">
        <is>
          <t>1994-11-20</t>
        </is>
      </c>
      <c r="W1665" t="inlineStr">
        <is>
          <t>1990-05-08</t>
        </is>
      </c>
      <c r="X1665" t="inlineStr">
        <is>
          <t>1990-05-08</t>
        </is>
      </c>
      <c r="Y1665" t="n">
        <v>423</v>
      </c>
      <c r="Z1665" t="n">
        <v>343</v>
      </c>
      <c r="AA1665" t="n">
        <v>349</v>
      </c>
      <c r="AB1665" t="n">
        <v>3</v>
      </c>
      <c r="AC1665" t="n">
        <v>3</v>
      </c>
      <c r="AD1665" t="n">
        <v>13</v>
      </c>
      <c r="AE1665" t="n">
        <v>13</v>
      </c>
      <c r="AF1665" t="n">
        <v>5</v>
      </c>
      <c r="AG1665" t="n">
        <v>5</v>
      </c>
      <c r="AH1665" t="n">
        <v>2</v>
      </c>
      <c r="AI1665" t="n">
        <v>2</v>
      </c>
      <c r="AJ1665" t="n">
        <v>8</v>
      </c>
      <c r="AK1665" t="n">
        <v>8</v>
      </c>
      <c r="AL1665" t="n">
        <v>2</v>
      </c>
      <c r="AM1665" t="n">
        <v>2</v>
      </c>
      <c r="AN1665" t="n">
        <v>0</v>
      </c>
      <c r="AO1665" t="n">
        <v>0</v>
      </c>
      <c r="AP1665" t="inlineStr">
        <is>
          <t>No</t>
        </is>
      </c>
      <c r="AQ1665" t="inlineStr">
        <is>
          <t>No</t>
        </is>
      </c>
      <c r="AS1665">
        <f>HYPERLINK("https://creighton-primo.hosted.exlibrisgroup.com/primo-explore/search?tab=default_tab&amp;search_scope=EVERYTHING&amp;vid=01CRU&amp;lang=en_US&amp;offset=0&amp;query=any,contains,991001387449702656","Catalog Record")</f>
        <v/>
      </c>
      <c r="AT1665">
        <f>HYPERLINK("http://www.worldcat.org/oclc/18739311","WorldCat Record")</f>
        <v/>
      </c>
      <c r="AU1665" t="inlineStr">
        <is>
          <t>872966:eng</t>
        </is>
      </c>
      <c r="AV1665" t="inlineStr">
        <is>
          <t>18739311</t>
        </is>
      </c>
      <c r="AW1665" t="inlineStr">
        <is>
          <t>991001387449702656</t>
        </is>
      </c>
      <c r="AX1665" t="inlineStr">
        <is>
          <t>991001387449702656</t>
        </is>
      </c>
      <c r="AY1665" t="inlineStr">
        <is>
          <t>2261533250002656</t>
        </is>
      </c>
      <c r="AZ1665" t="inlineStr">
        <is>
          <t>BOOK</t>
        </is>
      </c>
      <c r="BB1665" t="inlineStr">
        <is>
          <t>9781850005155</t>
        </is>
      </c>
      <c r="BC1665" t="inlineStr">
        <is>
          <t>32285000119825</t>
        </is>
      </c>
      <c r="BD1665" t="inlineStr">
        <is>
          <t>893696710</t>
        </is>
      </c>
    </row>
    <row r="1666">
      <c r="A1666" t="inlineStr">
        <is>
          <t>No</t>
        </is>
      </c>
      <c r="B1666" t="inlineStr">
        <is>
          <t>LC427 .P75 2002</t>
        </is>
      </c>
      <c r="C1666" t="inlineStr">
        <is>
          <t>0                      LC 0427000P  75          2002</t>
        </is>
      </c>
      <c r="D1666" t="inlineStr">
        <is>
          <t>Professing in the postmodern academy : faculty and the future of church-related colleges / edited by Stephen R. Haynes.</t>
        </is>
      </c>
      <c r="F1666" t="inlineStr">
        <is>
          <t>No</t>
        </is>
      </c>
      <c r="G1666" t="inlineStr">
        <is>
          <t>1</t>
        </is>
      </c>
      <c r="H1666" t="inlineStr">
        <is>
          <t>No</t>
        </is>
      </c>
      <c r="I1666" t="inlineStr">
        <is>
          <t>No</t>
        </is>
      </c>
      <c r="J1666" t="inlineStr">
        <is>
          <t>0</t>
        </is>
      </c>
      <c r="L1666" t="inlineStr">
        <is>
          <t>Waco, Tex. : Baylor University Press, 2002.</t>
        </is>
      </c>
      <c r="M1666" t="inlineStr">
        <is>
          <t>2002</t>
        </is>
      </c>
      <c r="O1666" t="inlineStr">
        <is>
          <t>eng</t>
        </is>
      </c>
      <c r="P1666" t="inlineStr">
        <is>
          <t>txu</t>
        </is>
      </c>
      <c r="Q1666" t="inlineStr">
        <is>
          <t>Issues in religion and higher education ; no. 1</t>
        </is>
      </c>
      <c r="R1666" t="inlineStr">
        <is>
          <t xml:space="preserve">LC </t>
        </is>
      </c>
      <c r="S1666" t="n">
        <v>6</v>
      </c>
      <c r="T1666" t="n">
        <v>6</v>
      </c>
      <c r="U1666" t="inlineStr">
        <is>
          <t>2008-10-05</t>
        </is>
      </c>
      <c r="V1666" t="inlineStr">
        <is>
          <t>2008-10-05</t>
        </is>
      </c>
      <c r="W1666" t="inlineStr">
        <is>
          <t>2004-02-04</t>
        </is>
      </c>
      <c r="X1666" t="inlineStr">
        <is>
          <t>2004-02-04</t>
        </is>
      </c>
      <c r="Y1666" t="n">
        <v>296</v>
      </c>
      <c r="Z1666" t="n">
        <v>268</v>
      </c>
      <c r="AA1666" t="n">
        <v>916</v>
      </c>
      <c r="AB1666" t="n">
        <v>4</v>
      </c>
      <c r="AC1666" t="n">
        <v>21</v>
      </c>
      <c r="AD1666" t="n">
        <v>15</v>
      </c>
      <c r="AE1666" t="n">
        <v>36</v>
      </c>
      <c r="AF1666" t="n">
        <v>5</v>
      </c>
      <c r="AG1666" t="n">
        <v>13</v>
      </c>
      <c r="AH1666" t="n">
        <v>3</v>
      </c>
      <c r="AI1666" t="n">
        <v>7</v>
      </c>
      <c r="AJ1666" t="n">
        <v>8</v>
      </c>
      <c r="AK1666" t="n">
        <v>11</v>
      </c>
      <c r="AL1666" t="n">
        <v>3</v>
      </c>
      <c r="AM1666" t="n">
        <v>13</v>
      </c>
      <c r="AN1666" t="n">
        <v>0</v>
      </c>
      <c r="AO1666" t="n">
        <v>0</v>
      </c>
      <c r="AP1666" t="inlineStr">
        <is>
          <t>No</t>
        </is>
      </c>
      <c r="AQ1666" t="inlineStr">
        <is>
          <t>Yes</t>
        </is>
      </c>
      <c r="AR1666">
        <f>HYPERLINK("http://catalog.hathitrust.org/Record/004277796","HathiTrust Record")</f>
        <v/>
      </c>
      <c r="AS1666">
        <f>HYPERLINK("https://creighton-primo.hosted.exlibrisgroup.com/primo-explore/search?tab=default_tab&amp;search_scope=EVERYTHING&amp;vid=01CRU&amp;lang=en_US&amp;offset=0&amp;query=any,contains,991004217639702656","Catalog Record")</f>
        <v/>
      </c>
      <c r="AT1666">
        <f>HYPERLINK("http://www.worldcat.org/oclc/49415649","WorldCat Record")</f>
        <v/>
      </c>
      <c r="AU1666" t="inlineStr">
        <is>
          <t>796622951:eng</t>
        </is>
      </c>
      <c r="AV1666" t="inlineStr">
        <is>
          <t>49415649</t>
        </is>
      </c>
      <c r="AW1666" t="inlineStr">
        <is>
          <t>991004217639702656</t>
        </is>
      </c>
      <c r="AX1666" t="inlineStr">
        <is>
          <t>991004217639702656</t>
        </is>
      </c>
      <c r="AY1666" t="inlineStr">
        <is>
          <t>2261197680002656</t>
        </is>
      </c>
      <c r="AZ1666" t="inlineStr">
        <is>
          <t>BOOK</t>
        </is>
      </c>
      <c r="BB1666" t="inlineStr">
        <is>
          <t>9780918954824</t>
        </is>
      </c>
      <c r="BC1666" t="inlineStr">
        <is>
          <t>32285004637160</t>
        </is>
      </c>
      <c r="BD1666" t="inlineStr">
        <is>
          <t>893712292</t>
        </is>
      </c>
    </row>
    <row r="1667">
      <c r="A1667" t="inlineStr">
        <is>
          <t>No</t>
        </is>
      </c>
      <c r="B1667" t="inlineStr">
        <is>
          <t>LC427 .V79 2004</t>
        </is>
      </c>
      <c r="C1667" t="inlineStr">
        <is>
          <t>0                      LC 0427000V  79          2004</t>
        </is>
      </c>
      <c r="D1667" t="inlineStr">
        <is>
          <t>Between memory and vision : the case for faith-based schooling / Steven C. Vryhof.</t>
        </is>
      </c>
      <c r="F1667" t="inlineStr">
        <is>
          <t>No</t>
        </is>
      </c>
      <c r="G1667" t="inlineStr">
        <is>
          <t>1</t>
        </is>
      </c>
      <c r="H1667" t="inlineStr">
        <is>
          <t>No</t>
        </is>
      </c>
      <c r="I1667" t="inlineStr">
        <is>
          <t>No</t>
        </is>
      </c>
      <c r="J1667" t="inlineStr">
        <is>
          <t>0</t>
        </is>
      </c>
      <c r="K1667" t="inlineStr">
        <is>
          <t>Vryhof, Steven C.</t>
        </is>
      </c>
      <c r="L1667" t="inlineStr">
        <is>
          <t>Grand Rapids, Mich. : W.B. Eerdmans Pub. Co., c2004.</t>
        </is>
      </c>
      <c r="M1667" t="inlineStr">
        <is>
          <t>2004</t>
        </is>
      </c>
      <c r="O1667" t="inlineStr">
        <is>
          <t>eng</t>
        </is>
      </c>
      <c r="P1667" t="inlineStr">
        <is>
          <t>miu</t>
        </is>
      </c>
      <c r="R1667" t="inlineStr">
        <is>
          <t xml:space="preserve">LC </t>
        </is>
      </c>
      <c r="S1667" t="n">
        <v>1</v>
      </c>
      <c r="T1667" t="n">
        <v>1</v>
      </c>
      <c r="U1667" t="inlineStr">
        <is>
          <t>2004-10-11</t>
        </is>
      </c>
      <c r="V1667" t="inlineStr">
        <is>
          <t>2004-10-11</t>
        </is>
      </c>
      <c r="W1667" t="inlineStr">
        <is>
          <t>2004-10-11</t>
        </is>
      </c>
      <c r="X1667" t="inlineStr">
        <is>
          <t>2004-10-11</t>
        </is>
      </c>
      <c r="Y1667" t="n">
        <v>305</v>
      </c>
      <c r="Z1667" t="n">
        <v>273</v>
      </c>
      <c r="AA1667" t="n">
        <v>279</v>
      </c>
      <c r="AB1667" t="n">
        <v>5</v>
      </c>
      <c r="AC1667" t="n">
        <v>5</v>
      </c>
      <c r="AD1667" t="n">
        <v>12</v>
      </c>
      <c r="AE1667" t="n">
        <v>12</v>
      </c>
      <c r="AF1667" t="n">
        <v>4</v>
      </c>
      <c r="AG1667" t="n">
        <v>4</v>
      </c>
      <c r="AH1667" t="n">
        <v>1</v>
      </c>
      <c r="AI1667" t="n">
        <v>1</v>
      </c>
      <c r="AJ1667" t="n">
        <v>5</v>
      </c>
      <c r="AK1667" t="n">
        <v>5</v>
      </c>
      <c r="AL1667" t="n">
        <v>4</v>
      </c>
      <c r="AM1667" t="n">
        <v>4</v>
      </c>
      <c r="AN1667" t="n">
        <v>0</v>
      </c>
      <c r="AO1667" t="n">
        <v>0</v>
      </c>
      <c r="AP1667" t="inlineStr">
        <is>
          <t>No</t>
        </is>
      </c>
      <c r="AQ1667" t="inlineStr">
        <is>
          <t>No</t>
        </is>
      </c>
      <c r="AS1667">
        <f>HYPERLINK("https://creighton-primo.hosted.exlibrisgroup.com/primo-explore/search?tab=default_tab&amp;search_scope=EVERYTHING&amp;vid=01CRU&amp;lang=en_US&amp;offset=0&amp;query=any,contains,991004375939702656","Catalog Record")</f>
        <v/>
      </c>
      <c r="AT1667">
        <f>HYPERLINK("http://www.worldcat.org/oclc/51738028","WorldCat Record")</f>
        <v/>
      </c>
      <c r="AU1667" t="inlineStr">
        <is>
          <t>837518193:eng</t>
        </is>
      </c>
      <c r="AV1667" t="inlineStr">
        <is>
          <t>51738028</t>
        </is>
      </c>
      <c r="AW1667" t="inlineStr">
        <is>
          <t>991004375939702656</t>
        </is>
      </c>
      <c r="AX1667" t="inlineStr">
        <is>
          <t>991004375939702656</t>
        </is>
      </c>
      <c r="AY1667" t="inlineStr">
        <is>
          <t>2258670350002656</t>
        </is>
      </c>
      <c r="AZ1667" t="inlineStr">
        <is>
          <t>BOOK</t>
        </is>
      </c>
      <c r="BB1667" t="inlineStr">
        <is>
          <t>9780802849328</t>
        </is>
      </c>
      <c r="BC1667" t="inlineStr">
        <is>
          <t>32285005002729</t>
        </is>
      </c>
      <c r="BD1667" t="inlineStr">
        <is>
          <t>893423717</t>
        </is>
      </c>
    </row>
    <row r="1668">
      <c r="A1668" t="inlineStr">
        <is>
          <t>No</t>
        </is>
      </c>
      <c r="B1668" t="inlineStr">
        <is>
          <t>LC4601 .E29</t>
        </is>
      </c>
      <c r="C1668" t="inlineStr">
        <is>
          <t>0                      LC 4601000E  29</t>
        </is>
      </c>
      <c r="D1668" t="inlineStr">
        <is>
          <t>Educating mentally retarded persons in the mainstream / edited by Jay Gottlieb.</t>
        </is>
      </c>
      <c r="F1668" t="inlineStr">
        <is>
          <t>No</t>
        </is>
      </c>
      <c r="G1668" t="inlineStr">
        <is>
          <t>1</t>
        </is>
      </c>
      <c r="H1668" t="inlineStr">
        <is>
          <t>No</t>
        </is>
      </c>
      <c r="I1668" t="inlineStr">
        <is>
          <t>No</t>
        </is>
      </c>
      <c r="J1668" t="inlineStr">
        <is>
          <t>0</t>
        </is>
      </c>
      <c r="L1668" t="inlineStr">
        <is>
          <t>Baltimore : University Park Press, c1980.</t>
        </is>
      </c>
      <c r="M1668" t="inlineStr">
        <is>
          <t>1980</t>
        </is>
      </c>
      <c r="O1668" t="inlineStr">
        <is>
          <t>eng</t>
        </is>
      </c>
      <c r="P1668" t="inlineStr">
        <is>
          <t>mdu</t>
        </is>
      </c>
      <c r="Q1668" t="inlineStr">
        <is>
          <t>Perspectives on handicapping conditions series</t>
        </is>
      </c>
      <c r="R1668" t="inlineStr">
        <is>
          <t xml:space="preserve">LC </t>
        </is>
      </c>
      <c r="S1668" t="n">
        <v>2</v>
      </c>
      <c r="T1668" t="n">
        <v>2</v>
      </c>
      <c r="U1668" t="inlineStr">
        <is>
          <t>1994-11-01</t>
        </is>
      </c>
      <c r="V1668" t="inlineStr">
        <is>
          <t>1994-11-01</t>
        </is>
      </c>
      <c r="W1668" t="inlineStr">
        <is>
          <t>1992-03-30</t>
        </is>
      </c>
      <c r="X1668" t="inlineStr">
        <is>
          <t>1992-03-30</t>
        </is>
      </c>
      <c r="Y1668" t="n">
        <v>510</v>
      </c>
      <c r="Z1668" t="n">
        <v>426</v>
      </c>
      <c r="AA1668" t="n">
        <v>434</v>
      </c>
      <c r="AB1668" t="n">
        <v>4</v>
      </c>
      <c r="AC1668" t="n">
        <v>4</v>
      </c>
      <c r="AD1668" t="n">
        <v>19</v>
      </c>
      <c r="AE1668" t="n">
        <v>19</v>
      </c>
      <c r="AF1668" t="n">
        <v>5</v>
      </c>
      <c r="AG1668" t="n">
        <v>5</v>
      </c>
      <c r="AH1668" t="n">
        <v>3</v>
      </c>
      <c r="AI1668" t="n">
        <v>3</v>
      </c>
      <c r="AJ1668" t="n">
        <v>10</v>
      </c>
      <c r="AK1668" t="n">
        <v>10</v>
      </c>
      <c r="AL1668" t="n">
        <v>3</v>
      </c>
      <c r="AM1668" t="n">
        <v>3</v>
      </c>
      <c r="AN1668" t="n">
        <v>0</v>
      </c>
      <c r="AO1668" t="n">
        <v>0</v>
      </c>
      <c r="AP1668" t="inlineStr">
        <is>
          <t>No</t>
        </is>
      </c>
      <c r="AQ1668" t="inlineStr">
        <is>
          <t>Yes</t>
        </is>
      </c>
      <c r="AR1668">
        <f>HYPERLINK("http://catalog.hathitrust.org/Record/000707624","HathiTrust Record")</f>
        <v/>
      </c>
      <c r="AS1668">
        <f>HYPERLINK("https://creighton-primo.hosted.exlibrisgroup.com/primo-explore/search?tab=default_tab&amp;search_scope=EVERYTHING&amp;vid=01CRU&amp;lang=en_US&amp;offset=0&amp;query=any,contains,991004820539702656","Catalog Record")</f>
        <v/>
      </c>
      <c r="AT1668">
        <f>HYPERLINK("http://www.worldcat.org/oclc/5333624","WorldCat Record")</f>
        <v/>
      </c>
      <c r="AU1668" t="inlineStr">
        <is>
          <t>17793249:eng</t>
        </is>
      </c>
      <c r="AV1668" t="inlineStr">
        <is>
          <t>5333624</t>
        </is>
      </c>
      <c r="AW1668" t="inlineStr">
        <is>
          <t>991004820539702656</t>
        </is>
      </c>
      <c r="AX1668" t="inlineStr">
        <is>
          <t>991004820539702656</t>
        </is>
      </c>
      <c r="AY1668" t="inlineStr">
        <is>
          <t>2265697300002656</t>
        </is>
      </c>
      <c r="AZ1668" t="inlineStr">
        <is>
          <t>BOOK</t>
        </is>
      </c>
      <c r="BB1668" t="inlineStr">
        <is>
          <t>9780839115229</t>
        </is>
      </c>
      <c r="BC1668" t="inlineStr">
        <is>
          <t>32285001030245</t>
        </is>
      </c>
      <c r="BD1668" t="inlineStr">
        <is>
          <t>893713065</t>
        </is>
      </c>
    </row>
    <row r="1669">
      <c r="A1669" t="inlineStr">
        <is>
          <t>No</t>
        </is>
      </c>
      <c r="B1669" t="inlineStr">
        <is>
          <t>LC4601 .P3 1981</t>
        </is>
      </c>
      <c r="C1669" t="inlineStr">
        <is>
          <t>0                      LC 4601000P  3           1981</t>
        </is>
      </c>
      <c r="D1669" t="inlineStr">
        <is>
          <t>Teaching handicapped students in the mainstream : coming back or never leaving / Anne Langstaff Pasanella, Cara B. Volkmor.</t>
        </is>
      </c>
      <c r="F1669" t="inlineStr">
        <is>
          <t>No</t>
        </is>
      </c>
      <c r="G1669" t="inlineStr">
        <is>
          <t>1</t>
        </is>
      </c>
      <c r="H1669" t="inlineStr">
        <is>
          <t>No</t>
        </is>
      </c>
      <c r="I1669" t="inlineStr">
        <is>
          <t>No</t>
        </is>
      </c>
      <c r="J1669" t="inlineStr">
        <is>
          <t>0</t>
        </is>
      </c>
      <c r="K1669" t="inlineStr">
        <is>
          <t>Pasanella, Anne Langstaff.</t>
        </is>
      </c>
      <c r="L1669" t="inlineStr">
        <is>
          <t>Columbus : Merrill, c1981.</t>
        </is>
      </c>
      <c r="M1669" t="inlineStr">
        <is>
          <t>1981</t>
        </is>
      </c>
      <c r="N1669" t="inlineStr">
        <is>
          <t>2nd ed.</t>
        </is>
      </c>
      <c r="O1669" t="inlineStr">
        <is>
          <t>eng</t>
        </is>
      </c>
      <c r="P1669" t="inlineStr">
        <is>
          <t>ohu</t>
        </is>
      </c>
      <c r="R1669" t="inlineStr">
        <is>
          <t xml:space="preserve">LC </t>
        </is>
      </c>
      <c r="S1669" t="n">
        <v>2</v>
      </c>
      <c r="T1669" t="n">
        <v>2</v>
      </c>
      <c r="U1669" t="inlineStr">
        <is>
          <t>1994-12-06</t>
        </is>
      </c>
      <c r="V1669" t="inlineStr">
        <is>
          <t>1994-12-06</t>
        </is>
      </c>
      <c r="W1669" t="inlineStr">
        <is>
          <t>1992-09-08</t>
        </is>
      </c>
      <c r="X1669" t="inlineStr">
        <is>
          <t>1992-09-08</t>
        </is>
      </c>
      <c r="Y1669" t="n">
        <v>227</v>
      </c>
      <c r="Z1669" t="n">
        <v>188</v>
      </c>
      <c r="AA1669" t="n">
        <v>190</v>
      </c>
      <c r="AB1669" t="n">
        <v>4</v>
      </c>
      <c r="AC1669" t="n">
        <v>4</v>
      </c>
      <c r="AD1669" t="n">
        <v>6</v>
      </c>
      <c r="AE1669" t="n">
        <v>6</v>
      </c>
      <c r="AF1669" t="n">
        <v>3</v>
      </c>
      <c r="AG1669" t="n">
        <v>3</v>
      </c>
      <c r="AH1669" t="n">
        <v>0</v>
      </c>
      <c r="AI1669" t="n">
        <v>0</v>
      </c>
      <c r="AJ1669" t="n">
        <v>1</v>
      </c>
      <c r="AK1669" t="n">
        <v>1</v>
      </c>
      <c r="AL1669" t="n">
        <v>3</v>
      </c>
      <c r="AM1669" t="n">
        <v>3</v>
      </c>
      <c r="AN1669" t="n">
        <v>0</v>
      </c>
      <c r="AO1669" t="n">
        <v>0</v>
      </c>
      <c r="AP1669" t="inlineStr">
        <is>
          <t>No</t>
        </is>
      </c>
      <c r="AQ1669" t="inlineStr">
        <is>
          <t>Yes</t>
        </is>
      </c>
      <c r="AR1669">
        <f>HYPERLINK("http://catalog.hathitrust.org/Record/008326251","HathiTrust Record")</f>
        <v/>
      </c>
      <c r="AS1669">
        <f>HYPERLINK("https://creighton-primo.hosted.exlibrisgroup.com/primo-explore/search?tab=default_tab&amp;search_scope=EVERYTHING&amp;vid=01CRU&amp;lang=en_US&amp;offset=0&amp;query=any,contains,991005104479702656","Catalog Record")</f>
        <v/>
      </c>
      <c r="AT1669">
        <f>HYPERLINK("http://www.worldcat.org/oclc/7322727","WorldCat Record")</f>
        <v/>
      </c>
      <c r="AU1669" t="inlineStr">
        <is>
          <t>938515347:eng</t>
        </is>
      </c>
      <c r="AV1669" t="inlineStr">
        <is>
          <t>7322727</t>
        </is>
      </c>
      <c r="AW1669" t="inlineStr">
        <is>
          <t>991005104479702656</t>
        </is>
      </c>
      <c r="AX1669" t="inlineStr">
        <is>
          <t>991005104479702656</t>
        </is>
      </c>
      <c r="AY1669" t="inlineStr">
        <is>
          <t>2265601670002656</t>
        </is>
      </c>
      <c r="AZ1669" t="inlineStr">
        <is>
          <t>BOOK</t>
        </is>
      </c>
      <c r="BB1669" t="inlineStr">
        <is>
          <t>9780675080262</t>
        </is>
      </c>
      <c r="BC1669" t="inlineStr">
        <is>
          <t>32285001307825</t>
        </is>
      </c>
      <c r="BD1669" t="inlineStr">
        <is>
          <t>893242200</t>
        </is>
      </c>
    </row>
    <row r="1670">
      <c r="A1670" t="inlineStr">
        <is>
          <t>No</t>
        </is>
      </c>
      <c r="B1670" t="inlineStr">
        <is>
          <t>LC461 .N432</t>
        </is>
      </c>
      <c r="C1670" t="inlineStr">
        <is>
          <t>0                      LC 0461000N  432</t>
        </is>
      </c>
      <c r="D1670" t="inlineStr">
        <is>
          <t>The parish school board, by Olin J. Murdick.</t>
        </is>
      </c>
      <c r="F1670" t="inlineStr">
        <is>
          <t>No</t>
        </is>
      </c>
      <c r="G1670" t="inlineStr">
        <is>
          <t>1</t>
        </is>
      </c>
      <c r="H1670" t="inlineStr">
        <is>
          <t>No</t>
        </is>
      </c>
      <c r="I1670" t="inlineStr">
        <is>
          <t>No</t>
        </is>
      </c>
      <c r="J1670" t="inlineStr">
        <is>
          <t>0</t>
        </is>
      </c>
      <c r="K1670" t="inlineStr">
        <is>
          <t>Murdick, Olin John, 1917-</t>
        </is>
      </c>
      <c r="L1670" t="inlineStr">
        <is>
          <t>Dayton, Ohio, National Catholic Educational Association [c1967]</t>
        </is>
      </c>
      <c r="M1670" t="inlineStr">
        <is>
          <t>1967</t>
        </is>
      </c>
      <c r="O1670" t="inlineStr">
        <is>
          <t>eng</t>
        </is>
      </c>
      <c r="P1670" t="inlineStr">
        <is>
          <t xml:space="preserve">xx </t>
        </is>
      </c>
      <c r="Q1670" t="inlineStr">
        <is>
          <t>NCEA papers ; no. 1</t>
        </is>
      </c>
      <c r="R1670" t="inlineStr">
        <is>
          <t xml:space="preserve">LC </t>
        </is>
      </c>
      <c r="S1670" t="n">
        <v>2</v>
      </c>
      <c r="T1670" t="n">
        <v>2</v>
      </c>
      <c r="U1670" t="inlineStr">
        <is>
          <t>1998-09-29</t>
        </is>
      </c>
      <c r="V1670" t="inlineStr">
        <is>
          <t>1998-09-29</t>
        </is>
      </c>
      <c r="W1670" t="inlineStr">
        <is>
          <t>1997-06-06</t>
        </is>
      </c>
      <c r="X1670" t="inlineStr">
        <is>
          <t>1997-06-06</t>
        </is>
      </c>
      <c r="Y1670" t="n">
        <v>42</v>
      </c>
      <c r="Z1670" t="n">
        <v>40</v>
      </c>
      <c r="AA1670" t="n">
        <v>40</v>
      </c>
      <c r="AB1670" t="n">
        <v>1</v>
      </c>
      <c r="AC1670" t="n">
        <v>1</v>
      </c>
      <c r="AD1670" t="n">
        <v>11</v>
      </c>
      <c r="AE1670" t="n">
        <v>11</v>
      </c>
      <c r="AF1670" t="n">
        <v>4</v>
      </c>
      <c r="AG1670" t="n">
        <v>4</v>
      </c>
      <c r="AH1670" t="n">
        <v>1</v>
      </c>
      <c r="AI1670" t="n">
        <v>1</v>
      </c>
      <c r="AJ1670" t="n">
        <v>10</v>
      </c>
      <c r="AK1670" t="n">
        <v>10</v>
      </c>
      <c r="AL1670" t="n">
        <v>0</v>
      </c>
      <c r="AM1670" t="n">
        <v>0</v>
      </c>
      <c r="AN1670" t="n">
        <v>0</v>
      </c>
      <c r="AO1670" t="n">
        <v>0</v>
      </c>
      <c r="AP1670" t="inlineStr">
        <is>
          <t>No</t>
        </is>
      </c>
      <c r="AQ1670" t="inlineStr">
        <is>
          <t>No</t>
        </is>
      </c>
      <c r="AS1670">
        <f>HYPERLINK("https://creighton-primo.hosted.exlibrisgroup.com/primo-explore/search?tab=default_tab&amp;search_scope=EVERYTHING&amp;vid=01CRU&amp;lang=en_US&amp;offset=0&amp;query=any,contains,991003659839702656","Catalog Record")</f>
        <v/>
      </c>
      <c r="AT1670">
        <f>HYPERLINK("http://www.worldcat.org/oclc/1267011","WorldCat Record")</f>
        <v/>
      </c>
      <c r="AU1670" t="inlineStr">
        <is>
          <t>5438537:eng</t>
        </is>
      </c>
      <c r="AV1670" t="inlineStr">
        <is>
          <t>1267011</t>
        </is>
      </c>
      <c r="AW1670" t="inlineStr">
        <is>
          <t>991003659839702656</t>
        </is>
      </c>
      <c r="AX1670" t="inlineStr">
        <is>
          <t>991003659839702656</t>
        </is>
      </c>
      <c r="AY1670" t="inlineStr">
        <is>
          <t>2258208960002656</t>
        </is>
      </c>
      <c r="AZ1670" t="inlineStr">
        <is>
          <t>BOOK</t>
        </is>
      </c>
      <c r="BC1670" t="inlineStr">
        <is>
          <t>32285002801461</t>
        </is>
      </c>
      <c r="BD1670" t="inlineStr">
        <is>
          <t>893617572</t>
        </is>
      </c>
    </row>
    <row r="1671">
      <c r="A1671" t="inlineStr">
        <is>
          <t>No</t>
        </is>
      </c>
      <c r="B1671" t="inlineStr">
        <is>
          <t>LC461 .N432</t>
        </is>
      </c>
      <c r="C1671" t="inlineStr">
        <is>
          <t>0                      LC 0461000N  432</t>
        </is>
      </c>
      <c r="D1671" t="inlineStr">
        <is>
          <t>How good are Catholic schools?</t>
        </is>
      </c>
      <c r="F1671" t="inlineStr">
        <is>
          <t>No</t>
        </is>
      </c>
      <c r="G1671" t="inlineStr">
        <is>
          <t>1</t>
        </is>
      </c>
      <c r="H1671" t="inlineStr">
        <is>
          <t>No</t>
        </is>
      </c>
      <c r="I1671" t="inlineStr">
        <is>
          <t>No</t>
        </is>
      </c>
      <c r="J1671" t="inlineStr">
        <is>
          <t>0</t>
        </is>
      </c>
      <c r="K1671" t="inlineStr">
        <is>
          <t>O'Neill, Michael, 1938-</t>
        </is>
      </c>
      <c r="L1671" t="inlineStr">
        <is>
          <t>[Washington] : National Catholic Educational Association, [1968]</t>
        </is>
      </c>
      <c r="M1671" t="inlineStr">
        <is>
          <t>1968</t>
        </is>
      </c>
      <c r="O1671" t="inlineStr">
        <is>
          <t>eng</t>
        </is>
      </c>
      <c r="P1671" t="inlineStr">
        <is>
          <t>dcu</t>
        </is>
      </c>
      <c r="Q1671" t="inlineStr">
        <is>
          <t>NCEA papers ; no. 6</t>
        </is>
      </c>
      <c r="R1671" t="inlineStr">
        <is>
          <t xml:space="preserve">LC </t>
        </is>
      </c>
      <c r="S1671" t="n">
        <v>2</v>
      </c>
      <c r="T1671" t="n">
        <v>2</v>
      </c>
      <c r="U1671" t="inlineStr">
        <is>
          <t>2009-07-11</t>
        </is>
      </c>
      <c r="V1671" t="inlineStr">
        <is>
          <t>2009-07-11</t>
        </is>
      </c>
      <c r="W1671" t="inlineStr">
        <is>
          <t>1997-06-06</t>
        </is>
      </c>
      <c r="X1671" t="inlineStr">
        <is>
          <t>1997-06-06</t>
        </is>
      </c>
      <c r="Y1671" t="n">
        <v>38</v>
      </c>
      <c r="Z1671" t="n">
        <v>35</v>
      </c>
      <c r="AA1671" t="n">
        <v>35</v>
      </c>
      <c r="AB1671" t="n">
        <v>1</v>
      </c>
      <c r="AC1671" t="n">
        <v>1</v>
      </c>
      <c r="AD1671" t="n">
        <v>10</v>
      </c>
      <c r="AE1671" t="n">
        <v>10</v>
      </c>
      <c r="AF1671" t="n">
        <v>3</v>
      </c>
      <c r="AG1671" t="n">
        <v>3</v>
      </c>
      <c r="AH1671" t="n">
        <v>2</v>
      </c>
      <c r="AI1671" t="n">
        <v>2</v>
      </c>
      <c r="AJ1671" t="n">
        <v>8</v>
      </c>
      <c r="AK1671" t="n">
        <v>8</v>
      </c>
      <c r="AL1671" t="n">
        <v>0</v>
      </c>
      <c r="AM1671" t="n">
        <v>0</v>
      </c>
      <c r="AN1671" t="n">
        <v>0</v>
      </c>
      <c r="AO1671" t="n">
        <v>0</v>
      </c>
      <c r="AP1671" t="inlineStr">
        <is>
          <t>No</t>
        </is>
      </c>
      <c r="AQ1671" t="inlineStr">
        <is>
          <t>No</t>
        </is>
      </c>
      <c r="AS1671">
        <f>HYPERLINK("https://creighton-primo.hosted.exlibrisgroup.com/primo-explore/search?tab=default_tab&amp;search_scope=EVERYTHING&amp;vid=01CRU&amp;lang=en_US&amp;offset=0&amp;query=any,contains,991002810449702656","Catalog Record")</f>
        <v/>
      </c>
      <c r="AT1671">
        <f>HYPERLINK("http://www.worldcat.org/oclc/452162","WorldCat Record")</f>
        <v/>
      </c>
      <c r="AU1671" t="inlineStr">
        <is>
          <t>1440480:eng</t>
        </is>
      </c>
      <c r="AV1671" t="inlineStr">
        <is>
          <t>452162</t>
        </is>
      </c>
      <c r="AW1671" t="inlineStr">
        <is>
          <t>991002810449702656</t>
        </is>
      </c>
      <c r="AX1671" t="inlineStr">
        <is>
          <t>991002810449702656</t>
        </is>
      </c>
      <c r="AY1671" t="inlineStr">
        <is>
          <t>2258351680002656</t>
        </is>
      </c>
      <c r="AZ1671" t="inlineStr">
        <is>
          <t>BOOK</t>
        </is>
      </c>
      <c r="BC1671" t="inlineStr">
        <is>
          <t>32285002801503</t>
        </is>
      </c>
      <c r="BD1671" t="inlineStr">
        <is>
          <t>893428070</t>
        </is>
      </c>
    </row>
    <row r="1672">
      <c r="A1672" t="inlineStr">
        <is>
          <t>No</t>
        </is>
      </c>
      <c r="B1672" t="inlineStr">
        <is>
          <t>LC461 .N432</t>
        </is>
      </c>
      <c r="C1672" t="inlineStr">
        <is>
          <t>0                      LC 0461000N  432</t>
        </is>
      </c>
      <c r="D1672" t="inlineStr">
        <is>
          <t>The purpose of Catholic schooling.</t>
        </is>
      </c>
      <c r="F1672" t="inlineStr">
        <is>
          <t>No</t>
        </is>
      </c>
      <c r="G1672" t="inlineStr">
        <is>
          <t>1</t>
        </is>
      </c>
      <c r="H1672" t="inlineStr">
        <is>
          <t>No</t>
        </is>
      </c>
      <c r="I1672" t="inlineStr">
        <is>
          <t>No</t>
        </is>
      </c>
      <c r="J1672" t="inlineStr">
        <is>
          <t>0</t>
        </is>
      </c>
      <c r="K1672" t="inlineStr">
        <is>
          <t>Lee, James Michael.</t>
        </is>
      </c>
      <c r="L1672" t="inlineStr">
        <is>
          <t>Dayton, Ohio, National Catholic Educational Association; [distributed by G. A. Pflaum Publisher, 1968]</t>
        </is>
      </c>
      <c r="M1672" t="inlineStr">
        <is>
          <t>1968</t>
        </is>
      </c>
      <c r="O1672" t="inlineStr">
        <is>
          <t>eng</t>
        </is>
      </c>
      <c r="P1672" t="inlineStr">
        <is>
          <t>ohu</t>
        </is>
      </c>
      <c r="Q1672" t="inlineStr">
        <is>
          <t>NCEA papers ; no. 3</t>
        </is>
      </c>
      <c r="R1672" t="inlineStr">
        <is>
          <t xml:space="preserve">LC </t>
        </is>
      </c>
      <c r="S1672" t="n">
        <v>2</v>
      </c>
      <c r="T1672" t="n">
        <v>2</v>
      </c>
      <c r="U1672" t="inlineStr">
        <is>
          <t>2009-07-11</t>
        </is>
      </c>
      <c r="V1672" t="inlineStr">
        <is>
          <t>2009-07-11</t>
        </is>
      </c>
      <c r="W1672" t="inlineStr">
        <is>
          <t>1997-06-06</t>
        </is>
      </c>
      <c r="X1672" t="inlineStr">
        <is>
          <t>1997-06-06</t>
        </is>
      </c>
      <c r="Y1672" t="n">
        <v>94</v>
      </c>
      <c r="Z1672" t="n">
        <v>84</v>
      </c>
      <c r="AA1672" t="n">
        <v>84</v>
      </c>
      <c r="AB1672" t="n">
        <v>1</v>
      </c>
      <c r="AC1672" t="n">
        <v>1</v>
      </c>
      <c r="AD1672" t="n">
        <v>16</v>
      </c>
      <c r="AE1672" t="n">
        <v>16</v>
      </c>
      <c r="AF1672" t="n">
        <v>5</v>
      </c>
      <c r="AG1672" t="n">
        <v>5</v>
      </c>
      <c r="AH1672" t="n">
        <v>4</v>
      </c>
      <c r="AI1672" t="n">
        <v>4</v>
      </c>
      <c r="AJ1672" t="n">
        <v>14</v>
      </c>
      <c r="AK1672" t="n">
        <v>14</v>
      </c>
      <c r="AL1672" t="n">
        <v>0</v>
      </c>
      <c r="AM1672" t="n">
        <v>0</v>
      </c>
      <c r="AN1672" t="n">
        <v>0</v>
      </c>
      <c r="AO1672" t="n">
        <v>0</v>
      </c>
      <c r="AP1672" t="inlineStr">
        <is>
          <t>No</t>
        </is>
      </c>
      <c r="AQ1672" t="inlineStr">
        <is>
          <t>No</t>
        </is>
      </c>
      <c r="AS1672">
        <f>HYPERLINK("https://creighton-primo.hosted.exlibrisgroup.com/primo-explore/search?tab=default_tab&amp;search_scope=EVERYTHING&amp;vid=01CRU&amp;lang=en_US&amp;offset=0&amp;query=any,contains,991003352319702656","Catalog Record")</f>
        <v/>
      </c>
      <c r="AT1672">
        <f>HYPERLINK("http://www.worldcat.org/oclc/885787","WorldCat Record")</f>
        <v/>
      </c>
      <c r="AU1672" t="inlineStr">
        <is>
          <t>1864672:eng</t>
        </is>
      </c>
      <c r="AV1672" t="inlineStr">
        <is>
          <t>885787</t>
        </is>
      </c>
      <c r="AW1672" t="inlineStr">
        <is>
          <t>991003352319702656</t>
        </is>
      </c>
      <c r="AX1672" t="inlineStr">
        <is>
          <t>991003352319702656</t>
        </is>
      </c>
      <c r="AY1672" t="inlineStr">
        <is>
          <t>2257449400002656</t>
        </is>
      </c>
      <c r="AZ1672" t="inlineStr">
        <is>
          <t>BOOK</t>
        </is>
      </c>
      <c r="BC1672" t="inlineStr">
        <is>
          <t>32285002801487</t>
        </is>
      </c>
      <c r="BD1672" t="inlineStr">
        <is>
          <t>893234091</t>
        </is>
      </c>
    </row>
    <row r="1673">
      <c r="A1673" t="inlineStr">
        <is>
          <t>No</t>
        </is>
      </c>
      <c r="B1673" t="inlineStr">
        <is>
          <t>LC4616 .Z44 1984</t>
        </is>
      </c>
      <c r="C1673" t="inlineStr">
        <is>
          <t>0                      LC 4616000Z  44          1984</t>
        </is>
      </c>
      <c r="D1673" t="inlineStr">
        <is>
          <t>Learning to speak : a manual for parents / Philip R. Zelazo, Richard B. Kearsley, and Judy Ungerer.</t>
        </is>
      </c>
      <c r="F1673" t="inlineStr">
        <is>
          <t>No</t>
        </is>
      </c>
      <c r="G1673" t="inlineStr">
        <is>
          <t>1</t>
        </is>
      </c>
      <c r="H1673" t="inlineStr">
        <is>
          <t>No</t>
        </is>
      </c>
      <c r="I1673" t="inlineStr">
        <is>
          <t>No</t>
        </is>
      </c>
      <c r="J1673" t="inlineStr">
        <is>
          <t>0</t>
        </is>
      </c>
      <c r="K1673" t="inlineStr">
        <is>
          <t>Zelazo, Philip R.</t>
        </is>
      </c>
      <c r="L1673" t="inlineStr">
        <is>
          <t>Hillsdale, N.J. : L. Erlbaum, 1984.</t>
        </is>
      </c>
      <c r="M1673" t="inlineStr">
        <is>
          <t>1984</t>
        </is>
      </c>
      <c r="O1673" t="inlineStr">
        <is>
          <t>eng</t>
        </is>
      </c>
      <c r="P1673" t="inlineStr">
        <is>
          <t>nju</t>
        </is>
      </c>
      <c r="R1673" t="inlineStr">
        <is>
          <t xml:space="preserve">LC </t>
        </is>
      </c>
      <c r="S1673" t="n">
        <v>1</v>
      </c>
      <c r="T1673" t="n">
        <v>1</v>
      </c>
      <c r="U1673" t="inlineStr">
        <is>
          <t>1994-02-23</t>
        </is>
      </c>
      <c r="V1673" t="inlineStr">
        <is>
          <t>1994-02-23</t>
        </is>
      </c>
      <c r="W1673" t="inlineStr">
        <is>
          <t>1992-09-09</t>
        </is>
      </c>
      <c r="X1673" t="inlineStr">
        <is>
          <t>1992-09-09</t>
        </is>
      </c>
      <c r="Y1673" t="n">
        <v>239</v>
      </c>
      <c r="Z1673" t="n">
        <v>203</v>
      </c>
      <c r="AA1673" t="n">
        <v>234</v>
      </c>
      <c r="AB1673" t="n">
        <v>3</v>
      </c>
      <c r="AC1673" t="n">
        <v>3</v>
      </c>
      <c r="AD1673" t="n">
        <v>8</v>
      </c>
      <c r="AE1673" t="n">
        <v>8</v>
      </c>
      <c r="AF1673" t="n">
        <v>2</v>
      </c>
      <c r="AG1673" t="n">
        <v>2</v>
      </c>
      <c r="AH1673" t="n">
        <v>3</v>
      </c>
      <c r="AI1673" t="n">
        <v>3</v>
      </c>
      <c r="AJ1673" t="n">
        <v>4</v>
      </c>
      <c r="AK1673" t="n">
        <v>4</v>
      </c>
      <c r="AL1673" t="n">
        <v>2</v>
      </c>
      <c r="AM1673" t="n">
        <v>2</v>
      </c>
      <c r="AN1673" t="n">
        <v>0</v>
      </c>
      <c r="AO1673" t="n">
        <v>0</v>
      </c>
      <c r="AP1673" t="inlineStr">
        <is>
          <t>No</t>
        </is>
      </c>
      <c r="AQ1673" t="inlineStr">
        <is>
          <t>Yes</t>
        </is>
      </c>
      <c r="AR1673">
        <f>HYPERLINK("http://catalog.hathitrust.org/Record/000122826","HathiTrust Record")</f>
        <v/>
      </c>
      <c r="AS1673">
        <f>HYPERLINK("https://creighton-primo.hosted.exlibrisgroup.com/primo-explore/search?tab=default_tab&amp;search_scope=EVERYTHING&amp;vid=01CRU&amp;lang=en_US&amp;offset=0&amp;query=any,contains,991000319999702656","Catalog Record")</f>
        <v/>
      </c>
      <c r="AT1673">
        <f>HYPERLINK("http://www.worldcat.org/oclc/10146182","WorldCat Record")</f>
        <v/>
      </c>
      <c r="AU1673" t="inlineStr">
        <is>
          <t>899520962:eng</t>
        </is>
      </c>
      <c r="AV1673" t="inlineStr">
        <is>
          <t>10146182</t>
        </is>
      </c>
      <c r="AW1673" t="inlineStr">
        <is>
          <t>991000319999702656</t>
        </is>
      </c>
      <c r="AX1673" t="inlineStr">
        <is>
          <t>991000319999702656</t>
        </is>
      </c>
      <c r="AY1673" t="inlineStr">
        <is>
          <t>2255810280002656</t>
        </is>
      </c>
      <c r="AZ1673" t="inlineStr">
        <is>
          <t>BOOK</t>
        </is>
      </c>
      <c r="BB1673" t="inlineStr">
        <is>
          <t>9780898593488</t>
        </is>
      </c>
      <c r="BC1673" t="inlineStr">
        <is>
          <t>32285001308435</t>
        </is>
      </c>
      <c r="BD1673" t="inlineStr">
        <is>
          <t>893419363</t>
        </is>
      </c>
    </row>
    <row r="1674">
      <c r="A1674" t="inlineStr">
        <is>
          <t>No</t>
        </is>
      </c>
      <c r="B1674" t="inlineStr">
        <is>
          <t>LC4620 .K57</t>
        </is>
      </c>
      <c r="C1674" t="inlineStr">
        <is>
          <t>0                      LC 4620000K  57</t>
        </is>
      </c>
      <c r="D1674" t="inlineStr">
        <is>
          <t>Teaching reading to slow and disabled learners / Samuel A. Kirk, Joanne Marie Kliebhan, Janet W. Lerner.</t>
        </is>
      </c>
      <c r="F1674" t="inlineStr">
        <is>
          <t>No</t>
        </is>
      </c>
      <c r="G1674" t="inlineStr">
        <is>
          <t>1</t>
        </is>
      </c>
      <c r="H1674" t="inlineStr">
        <is>
          <t>No</t>
        </is>
      </c>
      <c r="I1674" t="inlineStr">
        <is>
          <t>No</t>
        </is>
      </c>
      <c r="J1674" t="inlineStr">
        <is>
          <t>0</t>
        </is>
      </c>
      <c r="K1674" t="inlineStr">
        <is>
          <t>Kirk, Samuel A. (Samuel Alexander), 1904-1996.</t>
        </is>
      </c>
      <c r="L1674" t="inlineStr">
        <is>
          <t>Boston : Houghton Mifflin Co., c1978.</t>
        </is>
      </c>
      <c r="M1674" t="inlineStr">
        <is>
          <t>1978</t>
        </is>
      </c>
      <c r="O1674" t="inlineStr">
        <is>
          <t>eng</t>
        </is>
      </c>
      <c r="P1674" t="inlineStr">
        <is>
          <t>mau</t>
        </is>
      </c>
      <c r="R1674" t="inlineStr">
        <is>
          <t xml:space="preserve">LC </t>
        </is>
      </c>
      <c r="S1674" t="n">
        <v>4</v>
      </c>
      <c r="T1674" t="n">
        <v>4</v>
      </c>
      <c r="U1674" t="inlineStr">
        <is>
          <t>2008-12-03</t>
        </is>
      </c>
      <c r="V1674" t="inlineStr">
        <is>
          <t>2008-12-03</t>
        </is>
      </c>
      <c r="W1674" t="inlineStr">
        <is>
          <t>1997-06-16</t>
        </is>
      </c>
      <c r="X1674" t="inlineStr">
        <is>
          <t>1997-06-16</t>
        </is>
      </c>
      <c r="Y1674" t="n">
        <v>498</v>
      </c>
      <c r="Z1674" t="n">
        <v>392</v>
      </c>
      <c r="AA1674" t="n">
        <v>423</v>
      </c>
      <c r="AB1674" t="n">
        <v>3</v>
      </c>
      <c r="AC1674" t="n">
        <v>3</v>
      </c>
      <c r="AD1674" t="n">
        <v>12</v>
      </c>
      <c r="AE1674" t="n">
        <v>12</v>
      </c>
      <c r="AF1674" t="n">
        <v>5</v>
      </c>
      <c r="AG1674" t="n">
        <v>5</v>
      </c>
      <c r="AH1674" t="n">
        <v>1</v>
      </c>
      <c r="AI1674" t="n">
        <v>1</v>
      </c>
      <c r="AJ1674" t="n">
        <v>8</v>
      </c>
      <c r="AK1674" t="n">
        <v>8</v>
      </c>
      <c r="AL1674" t="n">
        <v>2</v>
      </c>
      <c r="AM1674" t="n">
        <v>2</v>
      </c>
      <c r="AN1674" t="n">
        <v>0</v>
      </c>
      <c r="AO1674" t="n">
        <v>0</v>
      </c>
      <c r="AP1674" t="inlineStr">
        <is>
          <t>No</t>
        </is>
      </c>
      <c r="AQ1674" t="inlineStr">
        <is>
          <t>Yes</t>
        </is>
      </c>
      <c r="AR1674">
        <f>HYPERLINK("http://catalog.hathitrust.org/Record/004436262","HathiTrust Record")</f>
        <v/>
      </c>
      <c r="AS1674">
        <f>HYPERLINK("https://creighton-primo.hosted.exlibrisgroup.com/primo-explore/search?tab=default_tab&amp;search_scope=EVERYTHING&amp;vid=01CRU&amp;lang=en_US&amp;offset=0&amp;query=any,contains,991004486049702656","Catalog Record")</f>
        <v/>
      </c>
      <c r="AT1674">
        <f>HYPERLINK("http://www.worldcat.org/oclc/3645376","WorldCat Record")</f>
        <v/>
      </c>
      <c r="AU1674" t="inlineStr">
        <is>
          <t>12154943:eng</t>
        </is>
      </c>
      <c r="AV1674" t="inlineStr">
        <is>
          <t>3645376</t>
        </is>
      </c>
      <c r="AW1674" t="inlineStr">
        <is>
          <t>991004486049702656</t>
        </is>
      </c>
      <c r="AX1674" t="inlineStr">
        <is>
          <t>991004486049702656</t>
        </is>
      </c>
      <c r="AY1674" t="inlineStr">
        <is>
          <t>2257796520002656</t>
        </is>
      </c>
      <c r="AZ1674" t="inlineStr">
        <is>
          <t>BOOK</t>
        </is>
      </c>
      <c r="BB1674" t="inlineStr">
        <is>
          <t>9780395258217</t>
        </is>
      </c>
      <c r="BC1674" t="inlineStr">
        <is>
          <t>32285002820362</t>
        </is>
      </c>
      <c r="BD1674" t="inlineStr">
        <is>
          <t>893901278</t>
        </is>
      </c>
    </row>
    <row r="1675">
      <c r="A1675" t="inlineStr">
        <is>
          <t>No</t>
        </is>
      </c>
      <c r="B1675" t="inlineStr">
        <is>
          <t>LC4620 .O36 1995</t>
        </is>
      </c>
      <c r="C1675" t="inlineStr">
        <is>
          <t>0                      LC 4620000O  36          1995</t>
        </is>
      </c>
      <c r="D1675" t="inlineStr">
        <is>
          <t>Teaching reading to children with Down syndrome : a guide for parents and teachers / Patricia Logan Oelwein.</t>
        </is>
      </c>
      <c r="F1675" t="inlineStr">
        <is>
          <t>No</t>
        </is>
      </c>
      <c r="G1675" t="inlineStr">
        <is>
          <t>1</t>
        </is>
      </c>
      <c r="H1675" t="inlineStr">
        <is>
          <t>No</t>
        </is>
      </c>
      <c r="I1675" t="inlineStr">
        <is>
          <t>No</t>
        </is>
      </c>
      <c r="J1675" t="inlineStr">
        <is>
          <t>0</t>
        </is>
      </c>
      <c r="K1675" t="inlineStr">
        <is>
          <t>Oelwein, Patricia L.</t>
        </is>
      </c>
      <c r="L1675" t="inlineStr">
        <is>
          <t>Bethesda, MD : Woodbine House, 1995.</t>
        </is>
      </c>
      <c r="M1675" t="inlineStr">
        <is>
          <t>1995</t>
        </is>
      </c>
      <c r="O1675" t="inlineStr">
        <is>
          <t>eng</t>
        </is>
      </c>
      <c r="P1675" t="inlineStr">
        <is>
          <t>mdu</t>
        </is>
      </c>
      <c r="Q1675" t="inlineStr">
        <is>
          <t>Topics in Down syndrome</t>
        </is>
      </c>
      <c r="R1675" t="inlineStr">
        <is>
          <t xml:space="preserve">LC </t>
        </is>
      </c>
      <c r="S1675" t="n">
        <v>1</v>
      </c>
      <c r="T1675" t="n">
        <v>1</v>
      </c>
      <c r="U1675" t="inlineStr">
        <is>
          <t>2004-04-23</t>
        </is>
      </c>
      <c r="V1675" t="inlineStr">
        <is>
          <t>2004-04-23</t>
        </is>
      </c>
      <c r="W1675" t="inlineStr">
        <is>
          <t>2003-11-17</t>
        </is>
      </c>
      <c r="X1675" t="inlineStr">
        <is>
          <t>2003-11-17</t>
        </is>
      </c>
      <c r="Y1675" t="n">
        <v>691</v>
      </c>
      <c r="Z1675" t="n">
        <v>591</v>
      </c>
      <c r="AA1675" t="n">
        <v>609</v>
      </c>
      <c r="AB1675" t="n">
        <v>8</v>
      </c>
      <c r="AC1675" t="n">
        <v>9</v>
      </c>
      <c r="AD1675" t="n">
        <v>4</v>
      </c>
      <c r="AE1675" t="n">
        <v>5</v>
      </c>
      <c r="AF1675" t="n">
        <v>2</v>
      </c>
      <c r="AG1675" t="n">
        <v>2</v>
      </c>
      <c r="AH1675" t="n">
        <v>2</v>
      </c>
      <c r="AI1675" t="n">
        <v>2</v>
      </c>
      <c r="AJ1675" t="n">
        <v>2</v>
      </c>
      <c r="AK1675" t="n">
        <v>2</v>
      </c>
      <c r="AL1675" t="n">
        <v>1</v>
      </c>
      <c r="AM1675" t="n">
        <v>2</v>
      </c>
      <c r="AN1675" t="n">
        <v>0</v>
      </c>
      <c r="AO1675" t="n">
        <v>0</v>
      </c>
      <c r="AP1675" t="inlineStr">
        <is>
          <t>No</t>
        </is>
      </c>
      <c r="AQ1675" t="inlineStr">
        <is>
          <t>No</t>
        </is>
      </c>
      <c r="AS1675">
        <f>HYPERLINK("https://creighton-primo.hosted.exlibrisgroup.com/primo-explore/search?tab=default_tab&amp;search_scope=EVERYTHING&amp;vid=01CRU&amp;lang=en_US&amp;offset=0&amp;query=any,contains,991004181439702656","Catalog Record")</f>
        <v/>
      </c>
      <c r="AT1675">
        <f>HYPERLINK("http://www.worldcat.org/oclc/31240298","WorldCat Record")</f>
        <v/>
      </c>
      <c r="AU1675" t="inlineStr">
        <is>
          <t>33419522:eng</t>
        </is>
      </c>
      <c r="AV1675" t="inlineStr">
        <is>
          <t>31240298</t>
        </is>
      </c>
      <c r="AW1675" t="inlineStr">
        <is>
          <t>991004181439702656</t>
        </is>
      </c>
      <c r="AX1675" t="inlineStr">
        <is>
          <t>991004181439702656</t>
        </is>
      </c>
      <c r="AY1675" t="inlineStr">
        <is>
          <t>2256409340002656</t>
        </is>
      </c>
      <c r="AZ1675" t="inlineStr">
        <is>
          <t>BOOK</t>
        </is>
      </c>
      <c r="BB1675" t="inlineStr">
        <is>
          <t>9780933149557</t>
        </is>
      </c>
      <c r="BC1675" t="inlineStr">
        <is>
          <t>32285004799010</t>
        </is>
      </c>
      <c r="BD1675" t="inlineStr">
        <is>
          <t>893429754</t>
        </is>
      </c>
    </row>
    <row r="1676">
      <c r="A1676" t="inlineStr">
        <is>
          <t>No</t>
        </is>
      </c>
      <c r="B1676" t="inlineStr">
        <is>
          <t>LC4620 .T43 1984</t>
        </is>
      </c>
      <c r="C1676" t="inlineStr">
        <is>
          <t>0                      LC 4620000T  43          1984</t>
        </is>
      </c>
      <c r="D1676" t="inlineStr">
        <is>
          <t>Teaching reading to mentally handicapped children / James Thatcher.</t>
        </is>
      </c>
      <c r="F1676" t="inlineStr">
        <is>
          <t>No</t>
        </is>
      </c>
      <c r="G1676" t="inlineStr">
        <is>
          <t>1</t>
        </is>
      </c>
      <c r="H1676" t="inlineStr">
        <is>
          <t>No</t>
        </is>
      </c>
      <c r="I1676" t="inlineStr">
        <is>
          <t>No</t>
        </is>
      </c>
      <c r="J1676" t="inlineStr">
        <is>
          <t>0</t>
        </is>
      </c>
      <c r="K1676" t="inlineStr">
        <is>
          <t>Thatcher, James.</t>
        </is>
      </c>
      <c r="L1676" t="inlineStr">
        <is>
          <t>London : Croom Helm, 1984.</t>
        </is>
      </c>
      <c r="M1676" t="inlineStr">
        <is>
          <t>1984</t>
        </is>
      </c>
      <c r="O1676" t="inlineStr">
        <is>
          <t>eng</t>
        </is>
      </c>
      <c r="P1676" t="inlineStr">
        <is>
          <t>enk</t>
        </is>
      </c>
      <c r="Q1676" t="inlineStr">
        <is>
          <t>Croom Helm special education series</t>
        </is>
      </c>
      <c r="R1676" t="inlineStr">
        <is>
          <t xml:space="preserve">LC </t>
        </is>
      </c>
      <c r="S1676" t="n">
        <v>10</v>
      </c>
      <c r="T1676" t="n">
        <v>10</v>
      </c>
      <c r="U1676" t="inlineStr">
        <is>
          <t>2005-02-28</t>
        </is>
      </c>
      <c r="V1676" t="inlineStr">
        <is>
          <t>2005-02-28</t>
        </is>
      </c>
      <c r="W1676" t="inlineStr">
        <is>
          <t>1992-09-09</t>
        </is>
      </c>
      <c r="X1676" t="inlineStr">
        <is>
          <t>1992-09-09</t>
        </is>
      </c>
      <c r="Y1676" t="n">
        <v>209</v>
      </c>
      <c r="Z1676" t="n">
        <v>132</v>
      </c>
      <c r="AA1676" t="n">
        <v>132</v>
      </c>
      <c r="AB1676" t="n">
        <v>1</v>
      </c>
      <c r="AC1676" t="n">
        <v>1</v>
      </c>
      <c r="AD1676" t="n">
        <v>5</v>
      </c>
      <c r="AE1676" t="n">
        <v>5</v>
      </c>
      <c r="AF1676" t="n">
        <v>2</v>
      </c>
      <c r="AG1676" t="n">
        <v>2</v>
      </c>
      <c r="AH1676" t="n">
        <v>1</v>
      </c>
      <c r="AI1676" t="n">
        <v>1</v>
      </c>
      <c r="AJ1676" t="n">
        <v>3</v>
      </c>
      <c r="AK1676" t="n">
        <v>3</v>
      </c>
      <c r="AL1676" t="n">
        <v>0</v>
      </c>
      <c r="AM1676" t="n">
        <v>0</v>
      </c>
      <c r="AN1676" t="n">
        <v>0</v>
      </c>
      <c r="AO1676" t="n">
        <v>0</v>
      </c>
      <c r="AP1676" t="inlineStr">
        <is>
          <t>No</t>
        </is>
      </c>
      <c r="AQ1676" t="inlineStr">
        <is>
          <t>No</t>
        </is>
      </c>
      <c r="AS1676">
        <f>HYPERLINK("https://creighton-primo.hosted.exlibrisgroup.com/primo-explore/search?tab=default_tab&amp;search_scope=EVERYTHING&amp;vid=01CRU&amp;lang=en_US&amp;offset=0&amp;query=any,contains,991000267949702656","Catalog Record")</f>
        <v/>
      </c>
      <c r="AT1676">
        <f>HYPERLINK("http://www.worldcat.org/oclc/12549903","WorldCat Record")</f>
        <v/>
      </c>
      <c r="AU1676" t="inlineStr">
        <is>
          <t>5274171:eng</t>
        </is>
      </c>
      <c r="AV1676" t="inlineStr">
        <is>
          <t>12549903</t>
        </is>
      </c>
      <c r="AW1676" t="inlineStr">
        <is>
          <t>991000267949702656</t>
        </is>
      </c>
      <c r="AX1676" t="inlineStr">
        <is>
          <t>991000267949702656</t>
        </is>
      </c>
      <c r="AY1676" t="inlineStr">
        <is>
          <t>2256370640002656</t>
        </is>
      </c>
      <c r="AZ1676" t="inlineStr">
        <is>
          <t>BOOK</t>
        </is>
      </c>
      <c r="BB1676" t="inlineStr">
        <is>
          <t>9780709924081</t>
        </is>
      </c>
      <c r="BC1676" t="inlineStr">
        <is>
          <t>32285001308450</t>
        </is>
      </c>
      <c r="BD1676" t="inlineStr">
        <is>
          <t>893589310</t>
        </is>
      </c>
    </row>
    <row r="1677">
      <c r="A1677" t="inlineStr">
        <is>
          <t>No</t>
        </is>
      </c>
      <c r="B1677" t="inlineStr">
        <is>
          <t>LC4631 .L6 1980</t>
        </is>
      </c>
      <c r="C1677" t="inlineStr">
        <is>
          <t>0                      LC 4631000L  6           1980</t>
        </is>
      </c>
      <c r="D1677" t="inlineStr">
        <is>
          <t>Conflict in the classroom : the education of emotionally disturbed children / [edited by] Nicholas J. Long, William C. Morse, Ruth G. Newman.</t>
        </is>
      </c>
      <c r="F1677" t="inlineStr">
        <is>
          <t>No</t>
        </is>
      </c>
      <c r="G1677" t="inlineStr">
        <is>
          <t>1</t>
        </is>
      </c>
      <c r="H1677" t="inlineStr">
        <is>
          <t>No</t>
        </is>
      </c>
      <c r="I1677" t="inlineStr">
        <is>
          <t>No</t>
        </is>
      </c>
      <c r="J1677" t="inlineStr">
        <is>
          <t>0</t>
        </is>
      </c>
      <c r="L1677" t="inlineStr">
        <is>
          <t>Belmont, Calif. : Wadsworth Pub. Co., c1980.</t>
        </is>
      </c>
      <c r="M1677" t="inlineStr">
        <is>
          <t>1980</t>
        </is>
      </c>
      <c r="N1677" t="inlineStr">
        <is>
          <t>4th ed.</t>
        </is>
      </c>
      <c r="O1677" t="inlineStr">
        <is>
          <t>eng</t>
        </is>
      </c>
      <c r="P1677" t="inlineStr">
        <is>
          <t>cau</t>
        </is>
      </c>
      <c r="R1677" t="inlineStr">
        <is>
          <t xml:space="preserve">LC </t>
        </is>
      </c>
      <c r="S1677" t="n">
        <v>2</v>
      </c>
      <c r="T1677" t="n">
        <v>2</v>
      </c>
      <c r="U1677" t="inlineStr">
        <is>
          <t>2004-02-24</t>
        </is>
      </c>
      <c r="V1677" t="inlineStr">
        <is>
          <t>2004-02-24</t>
        </is>
      </c>
      <c r="W1677" t="inlineStr">
        <is>
          <t>1992-09-09</t>
        </is>
      </c>
      <c r="X1677" t="inlineStr">
        <is>
          <t>1992-09-09</t>
        </is>
      </c>
      <c r="Y1677" t="n">
        <v>293</v>
      </c>
      <c r="Z1677" t="n">
        <v>251</v>
      </c>
      <c r="AA1677" t="n">
        <v>696</v>
      </c>
      <c r="AB1677" t="n">
        <v>3</v>
      </c>
      <c r="AC1677" t="n">
        <v>8</v>
      </c>
      <c r="AD1677" t="n">
        <v>8</v>
      </c>
      <c r="AE1677" t="n">
        <v>32</v>
      </c>
      <c r="AF1677" t="n">
        <v>3</v>
      </c>
      <c r="AG1677" t="n">
        <v>11</v>
      </c>
      <c r="AH1677" t="n">
        <v>2</v>
      </c>
      <c r="AI1677" t="n">
        <v>7</v>
      </c>
      <c r="AJ1677" t="n">
        <v>3</v>
      </c>
      <c r="AK1677" t="n">
        <v>14</v>
      </c>
      <c r="AL1677" t="n">
        <v>2</v>
      </c>
      <c r="AM1677" t="n">
        <v>6</v>
      </c>
      <c r="AN1677" t="n">
        <v>0</v>
      </c>
      <c r="AO1677" t="n">
        <v>0</v>
      </c>
      <c r="AP1677" t="inlineStr">
        <is>
          <t>No</t>
        </is>
      </c>
      <c r="AQ1677" t="inlineStr">
        <is>
          <t>Yes</t>
        </is>
      </c>
      <c r="AR1677">
        <f>HYPERLINK("http://catalog.hathitrust.org/Record/000694850","HathiTrust Record")</f>
        <v/>
      </c>
      <c r="AS1677">
        <f>HYPERLINK("https://creighton-primo.hosted.exlibrisgroup.com/primo-explore/search?tab=default_tab&amp;search_scope=EVERYTHING&amp;vid=01CRU&amp;lang=en_US&amp;offset=0&amp;query=any,contains,991004831629702656","Catalog Record")</f>
        <v/>
      </c>
      <c r="AT1677">
        <f>HYPERLINK("http://www.worldcat.org/oclc/5411507","WorldCat Record")</f>
        <v/>
      </c>
      <c r="AU1677" t="inlineStr">
        <is>
          <t>504474998:eng</t>
        </is>
      </c>
      <c r="AV1677" t="inlineStr">
        <is>
          <t>5411507</t>
        </is>
      </c>
      <c r="AW1677" t="inlineStr">
        <is>
          <t>991004831629702656</t>
        </is>
      </c>
      <c r="AX1677" t="inlineStr">
        <is>
          <t>991004831629702656</t>
        </is>
      </c>
      <c r="AY1677" t="inlineStr">
        <is>
          <t>2256406050002656</t>
        </is>
      </c>
      <c r="AZ1677" t="inlineStr">
        <is>
          <t>BOOK</t>
        </is>
      </c>
      <c r="BB1677" t="inlineStr">
        <is>
          <t>9780534007911</t>
        </is>
      </c>
      <c r="BC1677" t="inlineStr">
        <is>
          <t>32285001308492</t>
        </is>
      </c>
      <c r="BD1677" t="inlineStr">
        <is>
          <t>893338180</t>
        </is>
      </c>
    </row>
    <row r="1678">
      <c r="A1678" t="inlineStr">
        <is>
          <t>No</t>
        </is>
      </c>
      <c r="B1678" t="inlineStr">
        <is>
          <t>LC4661 .A33 1980</t>
        </is>
      </c>
      <c r="C1678" t="inlineStr">
        <is>
          <t>0                      LC 4661000A  33          1980</t>
        </is>
      </c>
      <c r="D1678" t="inlineStr">
        <is>
          <t>Teaching the mildly handicapped in the regular classroom / James Q. Affleck, Sheila Lowenbraun, Anita Archer.</t>
        </is>
      </c>
      <c r="F1678" t="inlineStr">
        <is>
          <t>No</t>
        </is>
      </c>
      <c r="G1678" t="inlineStr">
        <is>
          <t>1</t>
        </is>
      </c>
      <c r="H1678" t="inlineStr">
        <is>
          <t>No</t>
        </is>
      </c>
      <c r="I1678" t="inlineStr">
        <is>
          <t>No</t>
        </is>
      </c>
      <c r="J1678" t="inlineStr">
        <is>
          <t>0</t>
        </is>
      </c>
      <c r="K1678" t="inlineStr">
        <is>
          <t>Affleck, James Q.</t>
        </is>
      </c>
      <c r="L1678" t="inlineStr">
        <is>
          <t>Columbus, Ohio : Merrill, c1980.</t>
        </is>
      </c>
      <c r="M1678" t="inlineStr">
        <is>
          <t>1980</t>
        </is>
      </c>
      <c r="N1678" t="inlineStr">
        <is>
          <t>2nd ed.</t>
        </is>
      </c>
      <c r="O1678" t="inlineStr">
        <is>
          <t>eng</t>
        </is>
      </c>
      <c r="P1678" t="inlineStr">
        <is>
          <t>ohu</t>
        </is>
      </c>
      <c r="R1678" t="inlineStr">
        <is>
          <t xml:space="preserve">LC </t>
        </is>
      </c>
      <c r="S1678" t="n">
        <v>2</v>
      </c>
      <c r="T1678" t="n">
        <v>2</v>
      </c>
      <c r="U1678" t="inlineStr">
        <is>
          <t>2002-03-04</t>
        </is>
      </c>
      <c r="V1678" t="inlineStr">
        <is>
          <t>2002-03-04</t>
        </is>
      </c>
      <c r="W1678" t="inlineStr">
        <is>
          <t>1990-03-19</t>
        </is>
      </c>
      <c r="X1678" t="inlineStr">
        <is>
          <t>1990-03-19</t>
        </is>
      </c>
      <c r="Y1678" t="n">
        <v>231</v>
      </c>
      <c r="Z1678" t="n">
        <v>194</v>
      </c>
      <c r="AA1678" t="n">
        <v>194</v>
      </c>
      <c r="AB1678" t="n">
        <v>1</v>
      </c>
      <c r="AC1678" t="n">
        <v>1</v>
      </c>
      <c r="AD1678" t="n">
        <v>7</v>
      </c>
      <c r="AE1678" t="n">
        <v>7</v>
      </c>
      <c r="AF1678" t="n">
        <v>5</v>
      </c>
      <c r="AG1678" t="n">
        <v>5</v>
      </c>
      <c r="AH1678" t="n">
        <v>1</v>
      </c>
      <c r="AI1678" t="n">
        <v>1</v>
      </c>
      <c r="AJ1678" t="n">
        <v>4</v>
      </c>
      <c r="AK1678" t="n">
        <v>4</v>
      </c>
      <c r="AL1678" t="n">
        <v>0</v>
      </c>
      <c r="AM1678" t="n">
        <v>0</v>
      </c>
      <c r="AN1678" t="n">
        <v>0</v>
      </c>
      <c r="AO1678" t="n">
        <v>0</v>
      </c>
      <c r="AP1678" t="inlineStr">
        <is>
          <t>No</t>
        </is>
      </c>
      <c r="AQ1678" t="inlineStr">
        <is>
          <t>No</t>
        </is>
      </c>
      <c r="AS1678">
        <f>HYPERLINK("https://creighton-primo.hosted.exlibrisgroup.com/primo-explore/search?tab=default_tab&amp;search_scope=EVERYTHING&amp;vid=01CRU&amp;lang=en_US&amp;offset=0&amp;query=any,contains,991004949649702656","Catalog Record")</f>
        <v/>
      </c>
      <c r="AT1678">
        <f>HYPERLINK("http://www.worldcat.org/oclc/6228838","WorldCat Record")</f>
        <v/>
      </c>
      <c r="AU1678" t="inlineStr">
        <is>
          <t>3858220301:eng</t>
        </is>
      </c>
      <c r="AV1678" t="inlineStr">
        <is>
          <t>6228838</t>
        </is>
      </c>
      <c r="AW1678" t="inlineStr">
        <is>
          <t>991004949649702656</t>
        </is>
      </c>
      <c r="AX1678" t="inlineStr">
        <is>
          <t>991004949649702656</t>
        </is>
      </c>
      <c r="AY1678" t="inlineStr">
        <is>
          <t>2259989710002656</t>
        </is>
      </c>
      <c r="AZ1678" t="inlineStr">
        <is>
          <t>BOOK</t>
        </is>
      </c>
      <c r="BB1678" t="inlineStr">
        <is>
          <t>9780675081320</t>
        </is>
      </c>
      <c r="BC1678" t="inlineStr">
        <is>
          <t>32285000086610</t>
        </is>
      </c>
      <c r="BD1678" t="inlineStr">
        <is>
          <t>893501129</t>
        </is>
      </c>
    </row>
    <row r="1679">
      <c r="A1679" t="inlineStr">
        <is>
          <t>No</t>
        </is>
      </c>
      <c r="B1679" t="inlineStr">
        <is>
          <t>LC47 .C37 2006</t>
        </is>
      </c>
      <c r="C1679" t="inlineStr">
        <is>
          <t>0                      LC 0047000C  37          2006</t>
        </is>
      </c>
      <c r="D1679" t="inlineStr">
        <is>
          <t>Operating an independent school : a guide for school leaders / Agnes Gilman Case.</t>
        </is>
      </c>
      <c r="F1679" t="inlineStr">
        <is>
          <t>No</t>
        </is>
      </c>
      <c r="G1679" t="inlineStr">
        <is>
          <t>1</t>
        </is>
      </c>
      <c r="H1679" t="inlineStr">
        <is>
          <t>No</t>
        </is>
      </c>
      <c r="I1679" t="inlineStr">
        <is>
          <t>No</t>
        </is>
      </c>
      <c r="J1679" t="inlineStr">
        <is>
          <t>0</t>
        </is>
      </c>
      <c r="K1679" t="inlineStr">
        <is>
          <t>Case, Agnes Gilman, 1950-</t>
        </is>
      </c>
      <c r="L1679" t="inlineStr">
        <is>
          <t>Lanham, Md. : Rowman &amp; Littlefield Education, 2006.</t>
        </is>
      </c>
      <c r="M1679" t="inlineStr">
        <is>
          <t>2006</t>
        </is>
      </c>
      <c r="O1679" t="inlineStr">
        <is>
          <t>eng</t>
        </is>
      </c>
      <c r="P1679" t="inlineStr">
        <is>
          <t>mdu</t>
        </is>
      </c>
      <c r="R1679" t="inlineStr">
        <is>
          <t xml:space="preserve">LC </t>
        </is>
      </c>
      <c r="S1679" t="n">
        <v>1</v>
      </c>
      <c r="T1679" t="n">
        <v>1</v>
      </c>
      <c r="U1679" t="inlineStr">
        <is>
          <t>2006-12-11</t>
        </is>
      </c>
      <c r="V1679" t="inlineStr">
        <is>
          <t>2006-12-11</t>
        </is>
      </c>
      <c r="W1679" t="inlineStr">
        <is>
          <t>2006-12-11</t>
        </is>
      </c>
      <c r="X1679" t="inlineStr">
        <is>
          <t>2006-12-11</t>
        </is>
      </c>
      <c r="Y1679" t="n">
        <v>129</v>
      </c>
      <c r="Z1679" t="n">
        <v>116</v>
      </c>
      <c r="AA1679" t="n">
        <v>117</v>
      </c>
      <c r="AB1679" t="n">
        <v>1</v>
      </c>
      <c r="AC1679" t="n">
        <v>1</v>
      </c>
      <c r="AD1679" t="n">
        <v>5</v>
      </c>
      <c r="AE1679" t="n">
        <v>5</v>
      </c>
      <c r="AF1679" t="n">
        <v>1</v>
      </c>
      <c r="AG1679" t="n">
        <v>1</v>
      </c>
      <c r="AH1679" t="n">
        <v>1</v>
      </c>
      <c r="AI1679" t="n">
        <v>1</v>
      </c>
      <c r="AJ1679" t="n">
        <v>5</v>
      </c>
      <c r="AK1679" t="n">
        <v>5</v>
      </c>
      <c r="AL1679" t="n">
        <v>0</v>
      </c>
      <c r="AM1679" t="n">
        <v>0</v>
      </c>
      <c r="AN1679" t="n">
        <v>0</v>
      </c>
      <c r="AO1679" t="n">
        <v>0</v>
      </c>
      <c r="AP1679" t="inlineStr">
        <is>
          <t>No</t>
        </is>
      </c>
      <c r="AQ1679" t="inlineStr">
        <is>
          <t>Yes</t>
        </is>
      </c>
      <c r="AR1679">
        <f>HYPERLINK("http://catalog.hathitrust.org/Record/102048272","HathiTrust Record")</f>
        <v/>
      </c>
      <c r="AS1679">
        <f>HYPERLINK("https://creighton-primo.hosted.exlibrisgroup.com/primo-explore/search?tab=default_tab&amp;search_scope=EVERYTHING&amp;vid=01CRU&amp;lang=en_US&amp;offset=0&amp;query=any,contains,991004989199702656","Catalog Record")</f>
        <v/>
      </c>
      <c r="AT1679">
        <f>HYPERLINK("http://www.worldcat.org/oclc/65978567","WorldCat Record")</f>
        <v/>
      </c>
      <c r="AU1679" t="inlineStr">
        <is>
          <t>439357381:eng</t>
        </is>
      </c>
      <c r="AV1679" t="inlineStr">
        <is>
          <t>65978567</t>
        </is>
      </c>
      <c r="AW1679" t="inlineStr">
        <is>
          <t>991004989199702656</t>
        </is>
      </c>
      <c r="AX1679" t="inlineStr">
        <is>
          <t>991004989199702656</t>
        </is>
      </c>
      <c r="AY1679" t="inlineStr">
        <is>
          <t>2263333180002656</t>
        </is>
      </c>
      <c r="AZ1679" t="inlineStr">
        <is>
          <t>BOOK</t>
        </is>
      </c>
      <c r="BB1679" t="inlineStr">
        <is>
          <t>9781578864720</t>
        </is>
      </c>
      <c r="BC1679" t="inlineStr">
        <is>
          <t>32285005266050</t>
        </is>
      </c>
      <c r="BD1679" t="inlineStr">
        <is>
          <t>893694583</t>
        </is>
      </c>
    </row>
    <row r="1680">
      <c r="A1680" t="inlineStr">
        <is>
          <t>No</t>
        </is>
      </c>
      <c r="B1680" t="inlineStr">
        <is>
          <t>LC4704 .H68 1984</t>
        </is>
      </c>
      <c r="C1680" t="inlineStr">
        <is>
          <t>0                      LC 4704000H  68          1984</t>
        </is>
      </c>
      <c r="D1680" t="inlineStr">
        <is>
          <t>Learning disabilities : understanding concepts, characteristics, and issues / Cherry K. Houck.</t>
        </is>
      </c>
      <c r="F1680" t="inlineStr">
        <is>
          <t>No</t>
        </is>
      </c>
      <c r="G1680" t="inlineStr">
        <is>
          <t>1</t>
        </is>
      </c>
      <c r="H1680" t="inlineStr">
        <is>
          <t>No</t>
        </is>
      </c>
      <c r="I1680" t="inlineStr">
        <is>
          <t>No</t>
        </is>
      </c>
      <c r="J1680" t="inlineStr">
        <is>
          <t>0</t>
        </is>
      </c>
      <c r="K1680" t="inlineStr">
        <is>
          <t>Houck, Cherry K., 1944-</t>
        </is>
      </c>
      <c r="L1680" t="inlineStr">
        <is>
          <t>Englewood Cliffs, N.J. : Prentice-Hall, c1984.</t>
        </is>
      </c>
      <c r="M1680" t="inlineStr">
        <is>
          <t>1984</t>
        </is>
      </c>
      <c r="O1680" t="inlineStr">
        <is>
          <t>eng</t>
        </is>
      </c>
      <c r="P1680" t="inlineStr">
        <is>
          <t>nju</t>
        </is>
      </c>
      <c r="R1680" t="inlineStr">
        <is>
          <t xml:space="preserve">LC </t>
        </is>
      </c>
      <c r="S1680" t="n">
        <v>6</v>
      </c>
      <c r="T1680" t="n">
        <v>6</v>
      </c>
      <c r="U1680" t="inlineStr">
        <is>
          <t>1993-11-11</t>
        </is>
      </c>
      <c r="V1680" t="inlineStr">
        <is>
          <t>1993-11-11</t>
        </is>
      </c>
      <c r="W1680" t="inlineStr">
        <is>
          <t>1990-03-26</t>
        </is>
      </c>
      <c r="X1680" t="inlineStr">
        <is>
          <t>1990-03-26</t>
        </is>
      </c>
      <c r="Y1680" t="n">
        <v>322</v>
      </c>
      <c r="Z1680" t="n">
        <v>238</v>
      </c>
      <c r="AA1680" t="n">
        <v>239</v>
      </c>
      <c r="AB1680" t="n">
        <v>1</v>
      </c>
      <c r="AC1680" t="n">
        <v>1</v>
      </c>
      <c r="AD1680" t="n">
        <v>4</v>
      </c>
      <c r="AE1680" t="n">
        <v>4</v>
      </c>
      <c r="AF1680" t="n">
        <v>1</v>
      </c>
      <c r="AG1680" t="n">
        <v>1</v>
      </c>
      <c r="AH1680" t="n">
        <v>1</v>
      </c>
      <c r="AI1680" t="n">
        <v>1</v>
      </c>
      <c r="AJ1680" t="n">
        <v>4</v>
      </c>
      <c r="AK1680" t="n">
        <v>4</v>
      </c>
      <c r="AL1680" t="n">
        <v>0</v>
      </c>
      <c r="AM1680" t="n">
        <v>0</v>
      </c>
      <c r="AN1680" t="n">
        <v>0</v>
      </c>
      <c r="AO1680" t="n">
        <v>0</v>
      </c>
      <c r="AP1680" t="inlineStr">
        <is>
          <t>No</t>
        </is>
      </c>
      <c r="AQ1680" t="inlineStr">
        <is>
          <t>Yes</t>
        </is>
      </c>
      <c r="AR1680">
        <f>HYPERLINK("http://catalog.hathitrust.org/Record/000782011","HathiTrust Record")</f>
        <v/>
      </c>
      <c r="AS1680">
        <f>HYPERLINK("https://creighton-primo.hosted.exlibrisgroup.com/primo-explore/search?tab=default_tab&amp;search_scope=EVERYTHING&amp;vid=01CRU&amp;lang=en_US&amp;offset=0&amp;query=any,contains,991000316939702656","Catalog Record")</f>
        <v/>
      </c>
      <c r="AT1680">
        <f>HYPERLINK("http://www.worldcat.org/oclc/10123398","WorldCat Record")</f>
        <v/>
      </c>
      <c r="AU1680" t="inlineStr">
        <is>
          <t>827558290:eng</t>
        </is>
      </c>
      <c r="AV1680" t="inlineStr">
        <is>
          <t>10123398</t>
        </is>
      </c>
      <c r="AW1680" t="inlineStr">
        <is>
          <t>991000316939702656</t>
        </is>
      </c>
      <c r="AX1680" t="inlineStr">
        <is>
          <t>991000316939702656</t>
        </is>
      </c>
      <c r="AY1680" t="inlineStr">
        <is>
          <t>2270326750002656</t>
        </is>
      </c>
      <c r="AZ1680" t="inlineStr">
        <is>
          <t>BOOK</t>
        </is>
      </c>
      <c r="BB1680" t="inlineStr">
        <is>
          <t>9780135277881</t>
        </is>
      </c>
      <c r="BC1680" t="inlineStr">
        <is>
          <t>32285000096189</t>
        </is>
      </c>
      <c r="BD1680" t="inlineStr">
        <is>
          <t>893255334</t>
        </is>
      </c>
    </row>
    <row r="1681">
      <c r="A1681" t="inlineStr">
        <is>
          <t>No</t>
        </is>
      </c>
      <c r="B1681" t="inlineStr">
        <is>
          <t>LC4704 .S257 1985</t>
        </is>
      </c>
      <c r="C1681" t="inlineStr">
        <is>
          <t>0                      LC 4704000S  257         1985</t>
        </is>
      </c>
      <c r="D1681" t="inlineStr">
        <is>
          <t>The clinical teaching model : clinical insights and strategies for the learning-disabled child / by Selma G. Sapir.</t>
        </is>
      </c>
      <c r="F1681" t="inlineStr">
        <is>
          <t>No</t>
        </is>
      </c>
      <c r="G1681" t="inlineStr">
        <is>
          <t>1</t>
        </is>
      </c>
      <c r="H1681" t="inlineStr">
        <is>
          <t>No</t>
        </is>
      </c>
      <c r="I1681" t="inlineStr">
        <is>
          <t>No</t>
        </is>
      </c>
      <c r="J1681" t="inlineStr">
        <is>
          <t>0</t>
        </is>
      </c>
      <c r="K1681" t="inlineStr">
        <is>
          <t>Sapir, Selma G.</t>
        </is>
      </c>
      <c r="L1681" t="inlineStr">
        <is>
          <t>New York : Brunner/Mazel, c1985.</t>
        </is>
      </c>
      <c r="M1681" t="inlineStr">
        <is>
          <t>1985</t>
        </is>
      </c>
      <c r="O1681" t="inlineStr">
        <is>
          <t>eng</t>
        </is>
      </c>
      <c r="P1681" t="inlineStr">
        <is>
          <t>nyu</t>
        </is>
      </c>
      <c r="R1681" t="inlineStr">
        <is>
          <t xml:space="preserve">LC </t>
        </is>
      </c>
      <c r="S1681" t="n">
        <v>3</v>
      </c>
      <c r="T1681" t="n">
        <v>3</v>
      </c>
      <c r="U1681" t="inlineStr">
        <is>
          <t>2005-10-03</t>
        </is>
      </c>
      <c r="V1681" t="inlineStr">
        <is>
          <t>2005-10-03</t>
        </is>
      </c>
      <c r="W1681" t="inlineStr">
        <is>
          <t>1992-09-09</t>
        </is>
      </c>
      <c r="X1681" t="inlineStr">
        <is>
          <t>1992-09-09</t>
        </is>
      </c>
      <c r="Y1681" t="n">
        <v>260</v>
      </c>
      <c r="Z1681" t="n">
        <v>215</v>
      </c>
      <c r="AA1681" t="n">
        <v>220</v>
      </c>
      <c r="AB1681" t="n">
        <v>3</v>
      </c>
      <c r="AC1681" t="n">
        <v>3</v>
      </c>
      <c r="AD1681" t="n">
        <v>8</v>
      </c>
      <c r="AE1681" t="n">
        <v>8</v>
      </c>
      <c r="AF1681" t="n">
        <v>1</v>
      </c>
      <c r="AG1681" t="n">
        <v>1</v>
      </c>
      <c r="AH1681" t="n">
        <v>1</v>
      </c>
      <c r="AI1681" t="n">
        <v>1</v>
      </c>
      <c r="AJ1681" t="n">
        <v>6</v>
      </c>
      <c r="AK1681" t="n">
        <v>6</v>
      </c>
      <c r="AL1681" t="n">
        <v>2</v>
      </c>
      <c r="AM1681" t="n">
        <v>2</v>
      </c>
      <c r="AN1681" t="n">
        <v>0</v>
      </c>
      <c r="AO1681" t="n">
        <v>0</v>
      </c>
      <c r="AP1681" t="inlineStr">
        <is>
          <t>No</t>
        </is>
      </c>
      <c r="AQ1681" t="inlineStr">
        <is>
          <t>No</t>
        </is>
      </c>
      <c r="AS1681">
        <f>HYPERLINK("https://creighton-primo.hosted.exlibrisgroup.com/primo-explore/search?tab=default_tab&amp;search_scope=EVERYTHING&amp;vid=01CRU&amp;lang=en_US&amp;offset=0&amp;query=any,contains,991000505669702656","Catalog Record")</f>
        <v/>
      </c>
      <c r="AT1681">
        <f>HYPERLINK("http://www.worldcat.org/oclc/11210843","WorldCat Record")</f>
        <v/>
      </c>
      <c r="AU1681" t="inlineStr">
        <is>
          <t>902144403:eng</t>
        </is>
      </c>
      <c r="AV1681" t="inlineStr">
        <is>
          <t>11210843</t>
        </is>
      </c>
      <c r="AW1681" t="inlineStr">
        <is>
          <t>991000505669702656</t>
        </is>
      </c>
      <c r="AX1681" t="inlineStr">
        <is>
          <t>991000505669702656</t>
        </is>
      </c>
      <c r="AY1681" t="inlineStr">
        <is>
          <t>2256553140002656</t>
        </is>
      </c>
      <c r="AZ1681" t="inlineStr">
        <is>
          <t>BOOK</t>
        </is>
      </c>
      <c r="BB1681" t="inlineStr">
        <is>
          <t>9780876303832</t>
        </is>
      </c>
      <c r="BC1681" t="inlineStr">
        <is>
          <t>32285001308922</t>
        </is>
      </c>
      <c r="BD1681" t="inlineStr">
        <is>
          <t>893327339</t>
        </is>
      </c>
    </row>
    <row r="1682">
      <c r="A1682" t="inlineStr">
        <is>
          <t>No</t>
        </is>
      </c>
      <c r="B1682" t="inlineStr">
        <is>
          <t>LC4704 .W34 1979</t>
        </is>
      </c>
      <c r="C1682" t="inlineStr">
        <is>
          <t>0                      LC 4704000W  34          1979</t>
        </is>
      </c>
      <c r="D1682" t="inlineStr">
        <is>
          <t>Learning disabilities : concepts and characteristics / Gerald Wallace, James A. McLoughlin.</t>
        </is>
      </c>
      <c r="F1682" t="inlineStr">
        <is>
          <t>No</t>
        </is>
      </c>
      <c r="G1682" t="inlineStr">
        <is>
          <t>1</t>
        </is>
      </c>
      <c r="H1682" t="inlineStr">
        <is>
          <t>No</t>
        </is>
      </c>
      <c r="I1682" t="inlineStr">
        <is>
          <t>No</t>
        </is>
      </c>
      <c r="J1682" t="inlineStr">
        <is>
          <t>0</t>
        </is>
      </c>
      <c r="K1682" t="inlineStr">
        <is>
          <t>Wallace, Gerald, 1940-</t>
        </is>
      </c>
      <c r="L1682" t="inlineStr">
        <is>
          <t>Columbus, Ohio : Merrill, c1979.</t>
        </is>
      </c>
      <c r="M1682" t="inlineStr">
        <is>
          <t>1979</t>
        </is>
      </c>
      <c r="N1682" t="inlineStr">
        <is>
          <t>2d ed.</t>
        </is>
      </c>
      <c r="O1682" t="inlineStr">
        <is>
          <t>eng</t>
        </is>
      </c>
      <c r="P1682" t="inlineStr">
        <is>
          <t>ohu</t>
        </is>
      </c>
      <c r="R1682" t="inlineStr">
        <is>
          <t xml:space="preserve">LC </t>
        </is>
      </c>
      <c r="S1682" t="n">
        <v>16</v>
      </c>
      <c r="T1682" t="n">
        <v>16</v>
      </c>
      <c r="U1682" t="inlineStr">
        <is>
          <t>2005-03-04</t>
        </is>
      </c>
      <c r="V1682" t="inlineStr">
        <is>
          <t>2005-03-04</t>
        </is>
      </c>
      <c r="W1682" t="inlineStr">
        <is>
          <t>1992-09-09</t>
        </is>
      </c>
      <c r="X1682" t="inlineStr">
        <is>
          <t>1992-09-09</t>
        </is>
      </c>
      <c r="Y1682" t="n">
        <v>237</v>
      </c>
      <c r="Z1682" t="n">
        <v>184</v>
      </c>
      <c r="AA1682" t="n">
        <v>451</v>
      </c>
      <c r="AB1682" t="n">
        <v>2</v>
      </c>
      <c r="AC1682" t="n">
        <v>2</v>
      </c>
      <c r="AD1682" t="n">
        <v>5</v>
      </c>
      <c r="AE1682" t="n">
        <v>15</v>
      </c>
      <c r="AF1682" t="n">
        <v>1</v>
      </c>
      <c r="AG1682" t="n">
        <v>7</v>
      </c>
      <c r="AH1682" t="n">
        <v>1</v>
      </c>
      <c r="AI1682" t="n">
        <v>3</v>
      </c>
      <c r="AJ1682" t="n">
        <v>2</v>
      </c>
      <c r="AK1682" t="n">
        <v>9</v>
      </c>
      <c r="AL1682" t="n">
        <v>1</v>
      </c>
      <c r="AM1682" t="n">
        <v>1</v>
      </c>
      <c r="AN1682" t="n">
        <v>0</v>
      </c>
      <c r="AO1682" t="n">
        <v>0</v>
      </c>
      <c r="AP1682" t="inlineStr">
        <is>
          <t>No</t>
        </is>
      </c>
      <c r="AQ1682" t="inlineStr">
        <is>
          <t>Yes</t>
        </is>
      </c>
      <c r="AR1682">
        <f>HYPERLINK("http://catalog.hathitrust.org/Record/004436332","HathiTrust Record")</f>
        <v/>
      </c>
      <c r="AS1682">
        <f>HYPERLINK("https://creighton-primo.hosted.exlibrisgroup.com/primo-explore/search?tab=default_tab&amp;search_scope=EVERYTHING&amp;vid=01CRU&amp;lang=en_US&amp;offset=0&amp;query=any,contains,991004770739702656","Catalog Record")</f>
        <v/>
      </c>
      <c r="AT1682">
        <f>HYPERLINK("http://www.worldcat.org/oclc/5058214","WorldCat Record")</f>
        <v/>
      </c>
      <c r="AU1682" t="inlineStr">
        <is>
          <t>2311033:eng</t>
        </is>
      </c>
      <c r="AV1682" t="inlineStr">
        <is>
          <t>5058214</t>
        </is>
      </c>
      <c r="AW1682" t="inlineStr">
        <is>
          <t>991004770739702656</t>
        </is>
      </c>
      <c r="AX1682" t="inlineStr">
        <is>
          <t>991004770739702656</t>
        </is>
      </c>
      <c r="AY1682" t="inlineStr">
        <is>
          <t>2257595870002656</t>
        </is>
      </c>
      <c r="AZ1682" t="inlineStr">
        <is>
          <t>BOOK</t>
        </is>
      </c>
      <c r="BB1682" t="inlineStr">
        <is>
          <t>9780675082631</t>
        </is>
      </c>
      <c r="BC1682" t="inlineStr">
        <is>
          <t>32285001308971</t>
        </is>
      </c>
      <c r="BD1682" t="inlineStr">
        <is>
          <t>893241822</t>
        </is>
      </c>
    </row>
    <row r="1683">
      <c r="A1683" t="inlineStr">
        <is>
          <t>No</t>
        </is>
      </c>
      <c r="B1683" t="inlineStr">
        <is>
          <t>LC4705 .L68 1991</t>
        </is>
      </c>
      <c r="C1683" t="inlineStr">
        <is>
          <t>0                      LC 4705000L  68          1991</t>
        </is>
      </c>
      <c r="D1683" t="inlineStr">
        <is>
          <t>Language learning disabilities : a new and practical approach for those who work with children and their families / Sophie L. Lovinger, Mary Ellen Brandell, and Linda Seestedt-Stanford ; foreword by William Van Ornum.</t>
        </is>
      </c>
      <c r="F1683" t="inlineStr">
        <is>
          <t>No</t>
        </is>
      </c>
      <c r="G1683" t="inlineStr">
        <is>
          <t>1</t>
        </is>
      </c>
      <c r="H1683" t="inlineStr">
        <is>
          <t>No</t>
        </is>
      </c>
      <c r="I1683" t="inlineStr">
        <is>
          <t>No</t>
        </is>
      </c>
      <c r="J1683" t="inlineStr">
        <is>
          <t>0</t>
        </is>
      </c>
      <c r="K1683" t="inlineStr">
        <is>
          <t>Lovinger, Sophie L.</t>
        </is>
      </c>
      <c r="L1683" t="inlineStr">
        <is>
          <t>New York : Continuum, 1991.</t>
        </is>
      </c>
      <c r="M1683" t="inlineStr">
        <is>
          <t>1991</t>
        </is>
      </c>
      <c r="O1683" t="inlineStr">
        <is>
          <t>eng</t>
        </is>
      </c>
      <c r="P1683" t="inlineStr">
        <is>
          <t>nyu</t>
        </is>
      </c>
      <c r="Q1683" t="inlineStr">
        <is>
          <t>The Continuum counseling series</t>
        </is>
      </c>
      <c r="R1683" t="inlineStr">
        <is>
          <t xml:space="preserve">LC </t>
        </is>
      </c>
      <c r="S1683" t="n">
        <v>3</v>
      </c>
      <c r="T1683" t="n">
        <v>3</v>
      </c>
      <c r="U1683" t="inlineStr">
        <is>
          <t>1994-02-19</t>
        </is>
      </c>
      <c r="V1683" t="inlineStr">
        <is>
          <t>1994-02-19</t>
        </is>
      </c>
      <c r="W1683" t="inlineStr">
        <is>
          <t>1992-05-14</t>
        </is>
      </c>
      <c r="X1683" t="inlineStr">
        <is>
          <t>1992-05-14</t>
        </is>
      </c>
      <c r="Y1683" t="n">
        <v>268</v>
      </c>
      <c r="Z1683" t="n">
        <v>236</v>
      </c>
      <c r="AA1683" t="n">
        <v>236</v>
      </c>
      <c r="AB1683" t="n">
        <v>2</v>
      </c>
      <c r="AC1683" t="n">
        <v>2</v>
      </c>
      <c r="AD1683" t="n">
        <v>8</v>
      </c>
      <c r="AE1683" t="n">
        <v>8</v>
      </c>
      <c r="AF1683" t="n">
        <v>2</v>
      </c>
      <c r="AG1683" t="n">
        <v>2</v>
      </c>
      <c r="AH1683" t="n">
        <v>1</v>
      </c>
      <c r="AI1683" t="n">
        <v>1</v>
      </c>
      <c r="AJ1683" t="n">
        <v>6</v>
      </c>
      <c r="AK1683" t="n">
        <v>6</v>
      </c>
      <c r="AL1683" t="n">
        <v>1</v>
      </c>
      <c r="AM1683" t="n">
        <v>1</v>
      </c>
      <c r="AN1683" t="n">
        <v>0</v>
      </c>
      <c r="AO1683" t="n">
        <v>0</v>
      </c>
      <c r="AP1683" t="inlineStr">
        <is>
          <t>No</t>
        </is>
      </c>
      <c r="AQ1683" t="inlineStr">
        <is>
          <t>No</t>
        </is>
      </c>
      <c r="AS1683">
        <f>HYPERLINK("https://creighton-primo.hosted.exlibrisgroup.com/primo-explore/search?tab=default_tab&amp;search_scope=EVERYTHING&amp;vid=01CRU&amp;lang=en_US&amp;offset=0&amp;query=any,contains,991001820809702656","Catalog Record")</f>
        <v/>
      </c>
      <c r="AT1683">
        <f>HYPERLINK("http://www.worldcat.org/oclc/22890250","WorldCat Record")</f>
        <v/>
      </c>
      <c r="AU1683" t="inlineStr">
        <is>
          <t>24590002:eng</t>
        </is>
      </c>
      <c r="AV1683" t="inlineStr">
        <is>
          <t>22890250</t>
        </is>
      </c>
      <c r="AW1683" t="inlineStr">
        <is>
          <t>991001820809702656</t>
        </is>
      </c>
      <c r="AX1683" t="inlineStr">
        <is>
          <t>991001820809702656</t>
        </is>
      </c>
      <c r="AY1683" t="inlineStr">
        <is>
          <t>2258142600002656</t>
        </is>
      </c>
      <c r="AZ1683" t="inlineStr">
        <is>
          <t>BOOK</t>
        </is>
      </c>
      <c r="BB1683" t="inlineStr">
        <is>
          <t>9780826405302</t>
        </is>
      </c>
      <c r="BC1683" t="inlineStr">
        <is>
          <t>32285001115202</t>
        </is>
      </c>
      <c r="BD1683" t="inlineStr">
        <is>
          <t>893590672</t>
        </is>
      </c>
    </row>
    <row r="1684">
      <c r="A1684" t="inlineStr">
        <is>
          <t>No</t>
        </is>
      </c>
      <c r="B1684" t="inlineStr">
        <is>
          <t>LC4705 .S58 1987</t>
        </is>
      </c>
      <c r="C1684" t="inlineStr">
        <is>
          <t>0                      LC 4705000S  58          1987</t>
        </is>
      </c>
      <c r="D1684" t="inlineStr">
        <is>
          <t>Radical analysis of special education : focus on historical development and learning disabilities / Scott B. Sigmon.</t>
        </is>
      </c>
      <c r="F1684" t="inlineStr">
        <is>
          <t>No</t>
        </is>
      </c>
      <c r="G1684" t="inlineStr">
        <is>
          <t>1</t>
        </is>
      </c>
      <c r="H1684" t="inlineStr">
        <is>
          <t>No</t>
        </is>
      </c>
      <c r="I1684" t="inlineStr">
        <is>
          <t>No</t>
        </is>
      </c>
      <c r="J1684" t="inlineStr">
        <is>
          <t>0</t>
        </is>
      </c>
      <c r="K1684" t="inlineStr">
        <is>
          <t>Sigmon, Scott B.</t>
        </is>
      </c>
      <c r="L1684" t="inlineStr">
        <is>
          <t>London ; New York : Falmer Press, 1987.</t>
        </is>
      </c>
      <c r="M1684" t="inlineStr">
        <is>
          <t>1987</t>
        </is>
      </c>
      <c r="O1684" t="inlineStr">
        <is>
          <t>eng</t>
        </is>
      </c>
      <c r="P1684" t="inlineStr">
        <is>
          <t>enk</t>
        </is>
      </c>
      <c r="R1684" t="inlineStr">
        <is>
          <t xml:space="preserve">LC </t>
        </is>
      </c>
      <c r="S1684" t="n">
        <v>1</v>
      </c>
      <c r="T1684" t="n">
        <v>1</v>
      </c>
      <c r="U1684" t="inlineStr">
        <is>
          <t>2003-04-02</t>
        </is>
      </c>
      <c r="V1684" t="inlineStr">
        <is>
          <t>2003-04-02</t>
        </is>
      </c>
      <c r="W1684" t="inlineStr">
        <is>
          <t>1992-09-10</t>
        </is>
      </c>
      <c r="X1684" t="inlineStr">
        <is>
          <t>1992-09-10</t>
        </is>
      </c>
      <c r="Y1684" t="n">
        <v>291</v>
      </c>
      <c r="Z1684" t="n">
        <v>221</v>
      </c>
      <c r="AA1684" t="n">
        <v>226</v>
      </c>
      <c r="AB1684" t="n">
        <v>2</v>
      </c>
      <c r="AC1684" t="n">
        <v>2</v>
      </c>
      <c r="AD1684" t="n">
        <v>11</v>
      </c>
      <c r="AE1684" t="n">
        <v>11</v>
      </c>
      <c r="AF1684" t="n">
        <v>4</v>
      </c>
      <c r="AG1684" t="n">
        <v>4</v>
      </c>
      <c r="AH1684" t="n">
        <v>3</v>
      </c>
      <c r="AI1684" t="n">
        <v>3</v>
      </c>
      <c r="AJ1684" t="n">
        <v>5</v>
      </c>
      <c r="AK1684" t="n">
        <v>5</v>
      </c>
      <c r="AL1684" t="n">
        <v>1</v>
      </c>
      <c r="AM1684" t="n">
        <v>1</v>
      </c>
      <c r="AN1684" t="n">
        <v>0</v>
      </c>
      <c r="AO1684" t="n">
        <v>0</v>
      </c>
      <c r="AP1684" t="inlineStr">
        <is>
          <t>No</t>
        </is>
      </c>
      <c r="AQ1684" t="inlineStr">
        <is>
          <t>No</t>
        </is>
      </c>
      <c r="AS1684">
        <f>HYPERLINK("https://creighton-primo.hosted.exlibrisgroup.com/primo-explore/search?tab=default_tab&amp;search_scope=EVERYTHING&amp;vid=01CRU&amp;lang=en_US&amp;offset=0&amp;query=any,contains,991001024179702656","Catalog Record")</f>
        <v/>
      </c>
      <c r="AT1684">
        <f>HYPERLINK("http://www.worldcat.org/oclc/15428437","WorldCat Record")</f>
        <v/>
      </c>
      <c r="AU1684" t="inlineStr">
        <is>
          <t>836621879:eng</t>
        </is>
      </c>
      <c r="AV1684" t="inlineStr">
        <is>
          <t>15428437</t>
        </is>
      </c>
      <c r="AW1684" t="inlineStr">
        <is>
          <t>991001024179702656</t>
        </is>
      </c>
      <c r="AX1684" t="inlineStr">
        <is>
          <t>991001024179702656</t>
        </is>
      </c>
      <c r="AY1684" t="inlineStr">
        <is>
          <t>2261886450002656</t>
        </is>
      </c>
      <c r="AZ1684" t="inlineStr">
        <is>
          <t>BOOK</t>
        </is>
      </c>
      <c r="BB1684" t="inlineStr">
        <is>
          <t>9781850002314</t>
        </is>
      </c>
      <c r="BC1684" t="inlineStr">
        <is>
          <t>32285001309102</t>
        </is>
      </c>
      <c r="BD1684" t="inlineStr">
        <is>
          <t>893884973</t>
        </is>
      </c>
    </row>
    <row r="1685">
      <c r="A1685" t="inlineStr">
        <is>
          <t>No</t>
        </is>
      </c>
      <c r="B1685" t="inlineStr">
        <is>
          <t>LC473 .C37 1988</t>
        </is>
      </c>
      <c r="C1685" t="inlineStr">
        <is>
          <t>0                      LC 0473000C  37          1988</t>
        </is>
      </c>
      <c r="D1685" t="inlineStr">
        <is>
          <t>The religious dimension of education in a Catholic school: Guidelines for reflection and renewal / The Congregation for Catholic Education.</t>
        </is>
      </c>
      <c r="F1685" t="inlineStr">
        <is>
          <t>No</t>
        </is>
      </c>
      <c r="G1685" t="inlineStr">
        <is>
          <t>1</t>
        </is>
      </c>
      <c r="H1685" t="inlineStr">
        <is>
          <t>No</t>
        </is>
      </c>
      <c r="I1685" t="inlineStr">
        <is>
          <t>No</t>
        </is>
      </c>
      <c r="J1685" t="inlineStr">
        <is>
          <t>0</t>
        </is>
      </c>
      <c r="K1685" t="inlineStr">
        <is>
          <t>Catholic Church. Congregatio pro Institutione Catholica.</t>
        </is>
      </c>
      <c r="L1685" t="inlineStr">
        <is>
          <t>Washington, D.C. : United States Catholic Conference, 1988</t>
        </is>
      </c>
      <c r="M1685" t="inlineStr">
        <is>
          <t>1988</t>
        </is>
      </c>
      <c r="O1685" t="inlineStr">
        <is>
          <t>eng</t>
        </is>
      </c>
      <c r="P1685" t="inlineStr">
        <is>
          <t>dcu</t>
        </is>
      </c>
      <c r="Q1685" t="inlineStr">
        <is>
          <t>Publication / Office of Publishing and Promotional Services, United States Catholic Conference ; no.231-4.</t>
        </is>
      </c>
      <c r="R1685" t="inlineStr">
        <is>
          <t xml:space="preserve">LC </t>
        </is>
      </c>
      <c r="S1685" t="n">
        <v>5</v>
      </c>
      <c r="T1685" t="n">
        <v>5</v>
      </c>
      <c r="U1685" t="inlineStr">
        <is>
          <t>2010-05-28</t>
        </is>
      </c>
      <c r="V1685" t="inlineStr">
        <is>
          <t>2010-05-28</t>
        </is>
      </c>
      <c r="W1685" t="inlineStr">
        <is>
          <t>1992-08-26</t>
        </is>
      </c>
      <c r="X1685" t="inlineStr">
        <is>
          <t>1992-08-26</t>
        </is>
      </c>
      <c r="Y1685" t="n">
        <v>107</v>
      </c>
      <c r="Z1685" t="n">
        <v>99</v>
      </c>
      <c r="AA1685" t="n">
        <v>101</v>
      </c>
      <c r="AB1685" t="n">
        <v>2</v>
      </c>
      <c r="AC1685" t="n">
        <v>2</v>
      </c>
      <c r="AD1685" t="n">
        <v>16</v>
      </c>
      <c r="AE1685" t="n">
        <v>16</v>
      </c>
      <c r="AF1685" t="n">
        <v>5</v>
      </c>
      <c r="AG1685" t="n">
        <v>5</v>
      </c>
      <c r="AH1685" t="n">
        <v>3</v>
      </c>
      <c r="AI1685" t="n">
        <v>3</v>
      </c>
      <c r="AJ1685" t="n">
        <v>13</v>
      </c>
      <c r="AK1685" t="n">
        <v>13</v>
      </c>
      <c r="AL1685" t="n">
        <v>0</v>
      </c>
      <c r="AM1685" t="n">
        <v>0</v>
      </c>
      <c r="AN1685" t="n">
        <v>0</v>
      </c>
      <c r="AO1685" t="n">
        <v>0</v>
      </c>
      <c r="AP1685" t="inlineStr">
        <is>
          <t>No</t>
        </is>
      </c>
      <c r="AQ1685" t="inlineStr">
        <is>
          <t>No</t>
        </is>
      </c>
      <c r="AS1685">
        <f>HYPERLINK("https://creighton-primo.hosted.exlibrisgroup.com/primo-explore/search?tab=default_tab&amp;search_scope=EVERYTHING&amp;vid=01CRU&amp;lang=en_US&amp;offset=0&amp;query=any,contains,991001349219702656","Catalog Record")</f>
        <v/>
      </c>
      <c r="AT1685">
        <f>HYPERLINK("http://www.worldcat.org/oclc/18427463","WorldCat Record")</f>
        <v/>
      </c>
      <c r="AU1685" t="inlineStr">
        <is>
          <t>936294:eng</t>
        </is>
      </c>
      <c r="AV1685" t="inlineStr">
        <is>
          <t>18427463</t>
        </is>
      </c>
      <c r="AW1685" t="inlineStr">
        <is>
          <t>991001349219702656</t>
        </is>
      </c>
      <c r="AX1685" t="inlineStr">
        <is>
          <t>991001349219702656</t>
        </is>
      </c>
      <c r="AY1685" t="inlineStr">
        <is>
          <t>2254900410002656</t>
        </is>
      </c>
      <c r="AZ1685" t="inlineStr">
        <is>
          <t>BOOK</t>
        </is>
      </c>
      <c r="BB1685" t="inlineStr">
        <is>
          <t>9781555862312</t>
        </is>
      </c>
      <c r="BC1685" t="inlineStr">
        <is>
          <t>32285001281632</t>
        </is>
      </c>
      <c r="BD1685" t="inlineStr">
        <is>
          <t>893878816</t>
        </is>
      </c>
    </row>
    <row r="1686">
      <c r="A1686" t="inlineStr">
        <is>
          <t>No</t>
        </is>
      </c>
      <c r="B1686" t="inlineStr">
        <is>
          <t>LC473 .C64 2000</t>
        </is>
      </c>
      <c r="C1686" t="inlineStr">
        <is>
          <t>0                      LC 0473000C  64          2000</t>
        </is>
      </c>
      <c r="D1686" t="inlineStr">
        <is>
          <t>Alumni-essential for development / Kathleen C. Collins.</t>
        </is>
      </c>
      <c r="F1686" t="inlineStr">
        <is>
          <t>No</t>
        </is>
      </c>
      <c r="G1686" t="inlineStr">
        <is>
          <t>1</t>
        </is>
      </c>
      <c r="H1686" t="inlineStr">
        <is>
          <t>No</t>
        </is>
      </c>
      <c r="I1686" t="inlineStr">
        <is>
          <t>No</t>
        </is>
      </c>
      <c r="J1686" t="inlineStr">
        <is>
          <t>0</t>
        </is>
      </c>
      <c r="K1686" t="inlineStr">
        <is>
          <t>Collins, Kathleen C.</t>
        </is>
      </c>
      <c r="L1686" t="inlineStr">
        <is>
          <t>Washington, D.C. : Department of Elementary Schools, National Catholic Educational Association, 2000.</t>
        </is>
      </c>
      <c r="M1686" t="inlineStr">
        <is>
          <t>2000</t>
        </is>
      </c>
      <c r="O1686" t="inlineStr">
        <is>
          <t>eng</t>
        </is>
      </c>
      <c r="P1686" t="inlineStr">
        <is>
          <t>dcu</t>
        </is>
      </c>
      <c r="R1686" t="inlineStr">
        <is>
          <t xml:space="preserve">LC </t>
        </is>
      </c>
      <c r="S1686" t="n">
        <v>2</v>
      </c>
      <c r="T1686" t="n">
        <v>2</v>
      </c>
      <c r="U1686" t="inlineStr">
        <is>
          <t>2009-09-16</t>
        </is>
      </c>
      <c r="V1686" t="inlineStr">
        <is>
          <t>2009-09-16</t>
        </is>
      </c>
      <c r="W1686" t="inlineStr">
        <is>
          <t>2001-01-30</t>
        </is>
      </c>
      <c r="X1686" t="inlineStr">
        <is>
          <t>2001-01-30</t>
        </is>
      </c>
      <c r="Y1686" t="n">
        <v>21</v>
      </c>
      <c r="Z1686" t="n">
        <v>21</v>
      </c>
      <c r="AA1686" t="n">
        <v>21</v>
      </c>
      <c r="AB1686" t="n">
        <v>1</v>
      </c>
      <c r="AC1686" t="n">
        <v>1</v>
      </c>
      <c r="AD1686" t="n">
        <v>4</v>
      </c>
      <c r="AE1686" t="n">
        <v>4</v>
      </c>
      <c r="AF1686" t="n">
        <v>1</v>
      </c>
      <c r="AG1686" t="n">
        <v>1</v>
      </c>
      <c r="AH1686" t="n">
        <v>0</v>
      </c>
      <c r="AI1686" t="n">
        <v>0</v>
      </c>
      <c r="AJ1686" t="n">
        <v>3</v>
      </c>
      <c r="AK1686" t="n">
        <v>3</v>
      </c>
      <c r="AL1686" t="n">
        <v>0</v>
      </c>
      <c r="AM1686" t="n">
        <v>0</v>
      </c>
      <c r="AN1686" t="n">
        <v>0</v>
      </c>
      <c r="AO1686" t="n">
        <v>0</v>
      </c>
      <c r="AP1686" t="inlineStr">
        <is>
          <t>No</t>
        </is>
      </c>
      <c r="AQ1686" t="inlineStr">
        <is>
          <t>No</t>
        </is>
      </c>
      <c r="AS1686">
        <f>HYPERLINK("https://creighton-primo.hosted.exlibrisgroup.com/primo-explore/search?tab=default_tab&amp;search_scope=EVERYTHING&amp;vid=01CRU&amp;lang=en_US&amp;offset=0&amp;query=any,contains,991003480999702656","Catalog Record")</f>
        <v/>
      </c>
      <c r="AT1686">
        <f>HYPERLINK("http://www.worldcat.org/oclc/46319750","WorldCat Record")</f>
        <v/>
      </c>
      <c r="AU1686" t="inlineStr">
        <is>
          <t>35393751:eng</t>
        </is>
      </c>
      <c r="AV1686" t="inlineStr">
        <is>
          <t>46319750</t>
        </is>
      </c>
      <c r="AW1686" t="inlineStr">
        <is>
          <t>991003480999702656</t>
        </is>
      </c>
      <c r="AX1686" t="inlineStr">
        <is>
          <t>991003480999702656</t>
        </is>
      </c>
      <c r="AY1686" t="inlineStr">
        <is>
          <t>2266893910002656</t>
        </is>
      </c>
      <c r="AZ1686" t="inlineStr">
        <is>
          <t>BOOK</t>
        </is>
      </c>
      <c r="BB1686" t="inlineStr">
        <is>
          <t>9781558332355</t>
        </is>
      </c>
      <c r="BC1686" t="inlineStr">
        <is>
          <t>32285004292941</t>
        </is>
      </c>
      <c r="BD1686" t="inlineStr">
        <is>
          <t>893887507</t>
        </is>
      </c>
    </row>
    <row r="1687">
      <c r="A1687" t="inlineStr">
        <is>
          <t>No</t>
        </is>
      </c>
      <c r="B1687" t="inlineStr">
        <is>
          <t>LC473 .N65 1984</t>
        </is>
      </c>
      <c r="C1687" t="inlineStr">
        <is>
          <t>0                      LC 0473000N  65          1984</t>
        </is>
      </c>
      <c r="D1687" t="inlineStr">
        <is>
          <t>The Non-Catholic in the Catholic school.</t>
        </is>
      </c>
      <c r="F1687" t="inlineStr">
        <is>
          <t>No</t>
        </is>
      </c>
      <c r="G1687" t="inlineStr">
        <is>
          <t>1</t>
        </is>
      </c>
      <c r="H1687" t="inlineStr">
        <is>
          <t>No</t>
        </is>
      </c>
      <c r="I1687" t="inlineStr">
        <is>
          <t>No</t>
        </is>
      </c>
      <c r="J1687" t="inlineStr">
        <is>
          <t>0</t>
        </is>
      </c>
      <c r="L1687" t="inlineStr">
        <is>
          <t>Washington, DC : Dept. of Religious Education, National Catholic Educational Assocation, [1984?]</t>
        </is>
      </c>
      <c r="M1687" t="inlineStr">
        <is>
          <t>1984</t>
        </is>
      </c>
      <c r="O1687" t="inlineStr">
        <is>
          <t>eng</t>
        </is>
      </c>
      <c r="P1687" t="inlineStr">
        <is>
          <t>dcu</t>
        </is>
      </c>
      <c r="R1687" t="inlineStr">
        <is>
          <t xml:space="preserve">LC </t>
        </is>
      </c>
      <c r="S1687" t="n">
        <v>13</v>
      </c>
      <c r="T1687" t="n">
        <v>13</v>
      </c>
      <c r="U1687" t="inlineStr">
        <is>
          <t>2010-05-28</t>
        </is>
      </c>
      <c r="V1687" t="inlineStr">
        <is>
          <t>2010-05-28</t>
        </is>
      </c>
      <c r="W1687" t="inlineStr">
        <is>
          <t>1992-08-26</t>
        </is>
      </c>
      <c r="X1687" t="inlineStr">
        <is>
          <t>1992-08-26</t>
        </is>
      </c>
      <c r="Y1687" t="n">
        <v>20</v>
      </c>
      <c r="Z1687" t="n">
        <v>19</v>
      </c>
      <c r="AA1687" t="n">
        <v>21</v>
      </c>
      <c r="AB1687" t="n">
        <v>1</v>
      </c>
      <c r="AC1687" t="n">
        <v>1</v>
      </c>
      <c r="AD1687" t="n">
        <v>3</v>
      </c>
      <c r="AE1687" t="n">
        <v>3</v>
      </c>
      <c r="AF1687" t="n">
        <v>1</v>
      </c>
      <c r="AG1687" t="n">
        <v>1</v>
      </c>
      <c r="AH1687" t="n">
        <v>0</v>
      </c>
      <c r="AI1687" t="n">
        <v>0</v>
      </c>
      <c r="AJ1687" t="n">
        <v>2</v>
      </c>
      <c r="AK1687" t="n">
        <v>2</v>
      </c>
      <c r="AL1687" t="n">
        <v>0</v>
      </c>
      <c r="AM1687" t="n">
        <v>0</v>
      </c>
      <c r="AN1687" t="n">
        <v>0</v>
      </c>
      <c r="AO1687" t="n">
        <v>0</v>
      </c>
      <c r="AP1687" t="inlineStr">
        <is>
          <t>No</t>
        </is>
      </c>
      <c r="AQ1687" t="inlineStr">
        <is>
          <t>No</t>
        </is>
      </c>
      <c r="AS1687">
        <f>HYPERLINK("https://creighton-primo.hosted.exlibrisgroup.com/primo-explore/search?tab=default_tab&amp;search_scope=EVERYTHING&amp;vid=01CRU&amp;lang=en_US&amp;offset=0&amp;query=any,contains,991000651889702656","Catalog Record")</f>
        <v/>
      </c>
      <c r="AT1687">
        <f>HYPERLINK("http://www.worldcat.org/oclc/12177624","WorldCat Record")</f>
        <v/>
      </c>
      <c r="AU1687" t="inlineStr">
        <is>
          <t>5075996:eng</t>
        </is>
      </c>
      <c r="AV1687" t="inlineStr">
        <is>
          <t>12177624</t>
        </is>
      </c>
      <c r="AW1687" t="inlineStr">
        <is>
          <t>991000651889702656</t>
        </is>
      </c>
      <c r="AX1687" t="inlineStr">
        <is>
          <t>991000651889702656</t>
        </is>
      </c>
      <c r="AY1687" t="inlineStr">
        <is>
          <t>2271021610002656</t>
        </is>
      </c>
      <c r="AZ1687" t="inlineStr">
        <is>
          <t>BOOK</t>
        </is>
      </c>
      <c r="BC1687" t="inlineStr">
        <is>
          <t>32285001281871</t>
        </is>
      </c>
      <c r="BD1687" t="inlineStr">
        <is>
          <t>893601938</t>
        </is>
      </c>
    </row>
    <row r="1688">
      <c r="A1688" t="inlineStr">
        <is>
          <t>No</t>
        </is>
      </c>
      <c r="B1688" t="inlineStr">
        <is>
          <t>LC473 .S35</t>
        </is>
      </c>
      <c r="C1688" t="inlineStr">
        <is>
          <t>0                      LC 0473000S  35</t>
        </is>
      </c>
      <c r="D1688" t="inlineStr">
        <is>
          <t>Role expectations and practices of diocesan pastoral councils and diocesan boards of education in matters of education in selected Roman Catholic dioceses in the United States / by Erwin H. Schweigardt.</t>
        </is>
      </c>
      <c r="F1688" t="inlineStr">
        <is>
          <t>No</t>
        </is>
      </c>
      <c r="G1688" t="inlineStr">
        <is>
          <t>1</t>
        </is>
      </c>
      <c r="H1688" t="inlineStr">
        <is>
          <t>No</t>
        </is>
      </c>
      <c r="I1688" t="inlineStr">
        <is>
          <t>No</t>
        </is>
      </c>
      <c r="J1688" t="inlineStr">
        <is>
          <t>0</t>
        </is>
      </c>
      <c r="K1688" t="inlineStr">
        <is>
          <t>Schweigardt, Erwin Herman, 1939-</t>
        </is>
      </c>
      <c r="M1688" t="inlineStr">
        <is>
          <t>1976</t>
        </is>
      </c>
      <c r="O1688" t="inlineStr">
        <is>
          <t>eng</t>
        </is>
      </c>
      <c r="P1688" t="inlineStr">
        <is>
          <t>miu</t>
        </is>
      </c>
      <c r="R1688" t="inlineStr">
        <is>
          <t xml:space="preserve">LC </t>
        </is>
      </c>
      <c r="S1688" t="n">
        <v>6</v>
      </c>
      <c r="T1688" t="n">
        <v>6</v>
      </c>
      <c r="U1688" t="inlineStr">
        <is>
          <t>2008-07-20</t>
        </is>
      </c>
      <c r="V1688" t="inlineStr">
        <is>
          <t>2008-07-20</t>
        </is>
      </c>
      <c r="W1688" t="inlineStr">
        <is>
          <t>1992-08-26</t>
        </is>
      </c>
      <c r="X1688" t="inlineStr">
        <is>
          <t>1992-08-26</t>
        </is>
      </c>
      <c r="Y1688" t="n">
        <v>2</v>
      </c>
      <c r="Z1688" t="n">
        <v>2</v>
      </c>
      <c r="AA1688" t="n">
        <v>3</v>
      </c>
      <c r="AB1688" t="n">
        <v>1</v>
      </c>
      <c r="AC1688" t="n">
        <v>1</v>
      </c>
      <c r="AD1688" t="n">
        <v>0</v>
      </c>
      <c r="AE1688" t="n">
        <v>0</v>
      </c>
      <c r="AF1688" t="n">
        <v>0</v>
      </c>
      <c r="AG1688" t="n">
        <v>0</v>
      </c>
      <c r="AH1688" t="n">
        <v>0</v>
      </c>
      <c r="AI1688" t="n">
        <v>0</v>
      </c>
      <c r="AJ1688" t="n">
        <v>0</v>
      </c>
      <c r="AK1688" t="n">
        <v>0</v>
      </c>
      <c r="AL1688" t="n">
        <v>0</v>
      </c>
      <c r="AM1688" t="n">
        <v>0</v>
      </c>
      <c r="AN1688" t="n">
        <v>0</v>
      </c>
      <c r="AO1688" t="n">
        <v>0</v>
      </c>
      <c r="AP1688" t="inlineStr">
        <is>
          <t>No</t>
        </is>
      </c>
      <c r="AQ1688" t="inlineStr">
        <is>
          <t>No</t>
        </is>
      </c>
      <c r="AS1688">
        <f>HYPERLINK("https://creighton-primo.hosted.exlibrisgroup.com/primo-explore/search?tab=default_tab&amp;search_scope=EVERYTHING&amp;vid=01CRU&amp;lang=en_US&amp;offset=0&amp;query=any,contains,991005009619702656","Catalog Record")</f>
        <v/>
      </c>
      <c r="AT1688">
        <f>HYPERLINK("http://www.worldcat.org/oclc/6592903","WorldCat Record")</f>
        <v/>
      </c>
      <c r="AU1688" t="inlineStr">
        <is>
          <t>34968710:eng</t>
        </is>
      </c>
      <c r="AV1688" t="inlineStr">
        <is>
          <t>6592903</t>
        </is>
      </c>
      <c r="AW1688" t="inlineStr">
        <is>
          <t>991005009619702656</t>
        </is>
      </c>
      <c r="AX1688" t="inlineStr">
        <is>
          <t>991005009619702656</t>
        </is>
      </c>
      <c r="AY1688" t="inlineStr">
        <is>
          <t>2256383130002656</t>
        </is>
      </c>
      <c r="AZ1688" t="inlineStr">
        <is>
          <t>BOOK</t>
        </is>
      </c>
      <c r="BC1688" t="inlineStr">
        <is>
          <t>32285001281905</t>
        </is>
      </c>
      <c r="BD1688" t="inlineStr">
        <is>
          <t>893688464</t>
        </is>
      </c>
    </row>
    <row r="1689">
      <c r="A1689" t="inlineStr">
        <is>
          <t>No</t>
        </is>
      </c>
      <c r="B1689" t="inlineStr">
        <is>
          <t>LC4801.5 .R63 1995</t>
        </is>
      </c>
      <c r="C1689" t="inlineStr">
        <is>
          <t>0                      LC 4801500R  63          1995</t>
        </is>
      </c>
      <c r="D1689" t="inlineStr">
        <is>
          <t>Back off, cool down, try again : teaching students how to control aggressive behavior / by Sylvia Rockwell.</t>
        </is>
      </c>
      <c r="F1689" t="inlineStr">
        <is>
          <t>No</t>
        </is>
      </c>
      <c r="G1689" t="inlineStr">
        <is>
          <t>1</t>
        </is>
      </c>
      <c r="H1689" t="inlineStr">
        <is>
          <t>No</t>
        </is>
      </c>
      <c r="I1689" t="inlineStr">
        <is>
          <t>No</t>
        </is>
      </c>
      <c r="J1689" t="inlineStr">
        <is>
          <t>0</t>
        </is>
      </c>
      <c r="K1689" t="inlineStr">
        <is>
          <t>Rockwell, Sylvia.</t>
        </is>
      </c>
      <c r="L1689" t="inlineStr">
        <is>
          <t>Reston, Va. : Council for Exceptional Children, c1995.</t>
        </is>
      </c>
      <c r="M1689" t="inlineStr">
        <is>
          <t>1995</t>
        </is>
      </c>
      <c r="O1689" t="inlineStr">
        <is>
          <t>eng</t>
        </is>
      </c>
      <c r="P1689" t="inlineStr">
        <is>
          <t>vau</t>
        </is>
      </c>
      <c r="R1689" t="inlineStr">
        <is>
          <t xml:space="preserve">LC </t>
        </is>
      </c>
      <c r="S1689" t="n">
        <v>1</v>
      </c>
      <c r="T1689" t="n">
        <v>1</v>
      </c>
      <c r="U1689" t="inlineStr">
        <is>
          <t>2003-02-13</t>
        </is>
      </c>
      <c r="V1689" t="inlineStr">
        <is>
          <t>2003-02-13</t>
        </is>
      </c>
      <c r="W1689" t="inlineStr">
        <is>
          <t>1996-05-08</t>
        </is>
      </c>
      <c r="X1689" t="inlineStr">
        <is>
          <t>1996-05-08</t>
        </is>
      </c>
      <c r="Y1689" t="n">
        <v>233</v>
      </c>
      <c r="Z1689" t="n">
        <v>198</v>
      </c>
      <c r="AA1689" t="n">
        <v>200</v>
      </c>
      <c r="AB1689" t="n">
        <v>3</v>
      </c>
      <c r="AC1689" t="n">
        <v>3</v>
      </c>
      <c r="AD1689" t="n">
        <v>9</v>
      </c>
      <c r="AE1689" t="n">
        <v>9</v>
      </c>
      <c r="AF1689" t="n">
        <v>1</v>
      </c>
      <c r="AG1689" t="n">
        <v>1</v>
      </c>
      <c r="AH1689" t="n">
        <v>1</v>
      </c>
      <c r="AI1689" t="n">
        <v>1</v>
      </c>
      <c r="AJ1689" t="n">
        <v>6</v>
      </c>
      <c r="AK1689" t="n">
        <v>6</v>
      </c>
      <c r="AL1689" t="n">
        <v>2</v>
      </c>
      <c r="AM1689" t="n">
        <v>2</v>
      </c>
      <c r="AN1689" t="n">
        <v>0</v>
      </c>
      <c r="AO1689" t="n">
        <v>0</v>
      </c>
      <c r="AP1689" t="inlineStr">
        <is>
          <t>No</t>
        </is>
      </c>
      <c r="AQ1689" t="inlineStr">
        <is>
          <t>Yes</t>
        </is>
      </c>
      <c r="AR1689">
        <f>HYPERLINK("http://catalog.hathitrust.org/Record/003941534","HathiTrust Record")</f>
        <v/>
      </c>
      <c r="AS1689">
        <f>HYPERLINK("https://creighton-primo.hosted.exlibrisgroup.com/primo-explore/search?tab=default_tab&amp;search_scope=EVERYTHING&amp;vid=01CRU&amp;lang=en_US&amp;offset=0&amp;query=any,contains,991002506339702656","Catalog Record")</f>
        <v/>
      </c>
      <c r="AT1689">
        <f>HYPERLINK("http://www.worldcat.org/oclc/32590125","WorldCat Record")</f>
        <v/>
      </c>
      <c r="AU1689" t="inlineStr">
        <is>
          <t>474743953:eng</t>
        </is>
      </c>
      <c r="AV1689" t="inlineStr">
        <is>
          <t>32590125</t>
        </is>
      </c>
      <c r="AW1689" t="inlineStr">
        <is>
          <t>991002506339702656</t>
        </is>
      </c>
      <c r="AX1689" t="inlineStr">
        <is>
          <t>991002506339702656</t>
        </is>
      </c>
      <c r="AY1689" t="inlineStr">
        <is>
          <t>2272308700002656</t>
        </is>
      </c>
      <c r="AZ1689" t="inlineStr">
        <is>
          <t>BOOK</t>
        </is>
      </c>
      <c r="BB1689" t="inlineStr">
        <is>
          <t>9780865862630</t>
        </is>
      </c>
      <c r="BC1689" t="inlineStr">
        <is>
          <t>32285002165685</t>
        </is>
      </c>
      <c r="BD1689" t="inlineStr">
        <is>
          <t>893504470</t>
        </is>
      </c>
    </row>
    <row r="1690">
      <c r="A1690" t="inlineStr">
        <is>
          <t>No</t>
        </is>
      </c>
      <c r="B1690" t="inlineStr">
        <is>
          <t>LC4802 .P76 1988</t>
        </is>
      </c>
      <c r="C1690" t="inlineStr">
        <is>
          <t>0                      LC 4802000P  76          1988</t>
        </is>
      </c>
      <c r="D1690" t="inlineStr">
        <is>
          <t>Progress without punishment : effective approaches for learners with behavior problems / Anne M. Donnellan ... [et al.].</t>
        </is>
      </c>
      <c r="F1690" t="inlineStr">
        <is>
          <t>No</t>
        </is>
      </c>
      <c r="G1690" t="inlineStr">
        <is>
          <t>1</t>
        </is>
      </c>
      <c r="H1690" t="inlineStr">
        <is>
          <t>No</t>
        </is>
      </c>
      <c r="I1690" t="inlineStr">
        <is>
          <t>No</t>
        </is>
      </c>
      <c r="J1690" t="inlineStr">
        <is>
          <t>0</t>
        </is>
      </c>
      <c r="L1690" t="inlineStr">
        <is>
          <t>New York : Teachers College Press, c1988.</t>
        </is>
      </c>
      <c r="M1690" t="inlineStr">
        <is>
          <t>1988</t>
        </is>
      </c>
      <c r="O1690" t="inlineStr">
        <is>
          <t>eng</t>
        </is>
      </c>
      <c r="P1690" t="inlineStr">
        <is>
          <t>nyu</t>
        </is>
      </c>
      <c r="Q1690" t="inlineStr">
        <is>
          <t>Special education series</t>
        </is>
      </c>
      <c r="R1690" t="inlineStr">
        <is>
          <t xml:space="preserve">LC </t>
        </is>
      </c>
      <c r="S1690" t="n">
        <v>5</v>
      </c>
      <c r="T1690" t="n">
        <v>5</v>
      </c>
      <c r="U1690" t="inlineStr">
        <is>
          <t>2007-02-19</t>
        </is>
      </c>
      <c r="V1690" t="inlineStr">
        <is>
          <t>2007-02-19</t>
        </is>
      </c>
      <c r="W1690" t="inlineStr">
        <is>
          <t>1990-02-08</t>
        </is>
      </c>
      <c r="X1690" t="inlineStr">
        <is>
          <t>1990-02-08</t>
        </is>
      </c>
      <c r="Y1690" t="n">
        <v>521</v>
      </c>
      <c r="Z1690" t="n">
        <v>420</v>
      </c>
      <c r="AA1690" t="n">
        <v>433</v>
      </c>
      <c r="AB1690" t="n">
        <v>4</v>
      </c>
      <c r="AC1690" t="n">
        <v>4</v>
      </c>
      <c r="AD1690" t="n">
        <v>18</v>
      </c>
      <c r="AE1690" t="n">
        <v>19</v>
      </c>
      <c r="AF1690" t="n">
        <v>7</v>
      </c>
      <c r="AG1690" t="n">
        <v>8</v>
      </c>
      <c r="AH1690" t="n">
        <v>1</v>
      </c>
      <c r="AI1690" t="n">
        <v>2</v>
      </c>
      <c r="AJ1690" t="n">
        <v>12</v>
      </c>
      <c r="AK1690" t="n">
        <v>12</v>
      </c>
      <c r="AL1690" t="n">
        <v>3</v>
      </c>
      <c r="AM1690" t="n">
        <v>3</v>
      </c>
      <c r="AN1690" t="n">
        <v>0</v>
      </c>
      <c r="AO1690" t="n">
        <v>0</v>
      </c>
      <c r="AP1690" t="inlineStr">
        <is>
          <t>No</t>
        </is>
      </c>
      <c r="AQ1690" t="inlineStr">
        <is>
          <t>No</t>
        </is>
      </c>
      <c r="AS1690">
        <f>HYPERLINK("https://creighton-primo.hosted.exlibrisgroup.com/primo-explore/search?tab=default_tab&amp;search_scope=EVERYTHING&amp;vid=01CRU&amp;lang=en_US&amp;offset=0&amp;query=any,contains,991001275229702656","Catalog Record")</f>
        <v/>
      </c>
      <c r="AT1690">
        <f>HYPERLINK("http://www.worldcat.org/oclc/17873357","WorldCat Record")</f>
        <v/>
      </c>
      <c r="AU1690" t="inlineStr">
        <is>
          <t>962094897:eng</t>
        </is>
      </c>
      <c r="AV1690" t="inlineStr">
        <is>
          <t>17873357</t>
        </is>
      </c>
      <c r="AW1690" t="inlineStr">
        <is>
          <t>991001275229702656</t>
        </is>
      </c>
      <c r="AX1690" t="inlineStr">
        <is>
          <t>991001275229702656</t>
        </is>
      </c>
      <c r="AY1690" t="inlineStr">
        <is>
          <t>2269543760002656</t>
        </is>
      </c>
      <c r="AZ1690" t="inlineStr">
        <is>
          <t>BOOK</t>
        </is>
      </c>
      <c r="BB1690" t="inlineStr">
        <is>
          <t>9780807729113</t>
        </is>
      </c>
      <c r="BC1690" t="inlineStr">
        <is>
          <t>32285000008507</t>
        </is>
      </c>
      <c r="BD1690" t="inlineStr">
        <is>
          <t>893321811</t>
        </is>
      </c>
    </row>
    <row r="1691">
      <c r="A1691" t="inlineStr">
        <is>
          <t>No</t>
        </is>
      </c>
      <c r="B1691" t="inlineStr">
        <is>
          <t>LC4806.4 .B37 1999</t>
        </is>
      </c>
      <c r="C1691" t="inlineStr">
        <is>
          <t>0                      LC 4806400B  37          1999</t>
        </is>
      </c>
      <c r="D1691" t="inlineStr">
        <is>
          <t>Resilient children : stories of poverty, drug exposure, and literacy development / Diane Barone.</t>
        </is>
      </c>
      <c r="F1691" t="inlineStr">
        <is>
          <t>No</t>
        </is>
      </c>
      <c r="G1691" t="inlineStr">
        <is>
          <t>1</t>
        </is>
      </c>
      <c r="H1691" t="inlineStr">
        <is>
          <t>No</t>
        </is>
      </c>
      <c r="I1691" t="inlineStr">
        <is>
          <t>No</t>
        </is>
      </c>
      <c r="J1691" t="inlineStr">
        <is>
          <t>0</t>
        </is>
      </c>
      <c r="K1691" t="inlineStr">
        <is>
          <t>Barone, Diane M.</t>
        </is>
      </c>
      <c r="L1691" t="inlineStr">
        <is>
          <t>Newark, Del. : International Reading Association ; Chicago : National Reading Conference, c1999.</t>
        </is>
      </c>
      <c r="M1691" t="inlineStr">
        <is>
          <t>1999</t>
        </is>
      </c>
      <c r="O1691" t="inlineStr">
        <is>
          <t>eng</t>
        </is>
      </c>
      <c r="P1691" t="inlineStr">
        <is>
          <t>deu</t>
        </is>
      </c>
      <c r="Q1691" t="inlineStr">
        <is>
          <t>Literacy studies series</t>
        </is>
      </c>
      <c r="R1691" t="inlineStr">
        <is>
          <t xml:space="preserve">LC </t>
        </is>
      </c>
      <c r="S1691" t="n">
        <v>4</v>
      </c>
      <c r="T1691" t="n">
        <v>4</v>
      </c>
      <c r="U1691" t="inlineStr">
        <is>
          <t>2007-02-19</t>
        </is>
      </c>
      <c r="V1691" t="inlineStr">
        <is>
          <t>2007-02-19</t>
        </is>
      </c>
      <c r="W1691" t="inlineStr">
        <is>
          <t>2000-04-11</t>
        </is>
      </c>
      <c r="X1691" t="inlineStr">
        <is>
          <t>2000-04-11</t>
        </is>
      </c>
      <c r="Y1691" t="n">
        <v>214</v>
      </c>
      <c r="Z1691" t="n">
        <v>188</v>
      </c>
      <c r="AA1691" t="n">
        <v>192</v>
      </c>
      <c r="AB1691" t="n">
        <v>3</v>
      </c>
      <c r="AC1691" t="n">
        <v>3</v>
      </c>
      <c r="AD1691" t="n">
        <v>6</v>
      </c>
      <c r="AE1691" t="n">
        <v>6</v>
      </c>
      <c r="AF1691" t="n">
        <v>3</v>
      </c>
      <c r="AG1691" t="n">
        <v>3</v>
      </c>
      <c r="AH1691" t="n">
        <v>0</v>
      </c>
      <c r="AI1691" t="n">
        <v>0</v>
      </c>
      <c r="AJ1691" t="n">
        <v>3</v>
      </c>
      <c r="AK1691" t="n">
        <v>3</v>
      </c>
      <c r="AL1691" t="n">
        <v>2</v>
      </c>
      <c r="AM1691" t="n">
        <v>2</v>
      </c>
      <c r="AN1691" t="n">
        <v>0</v>
      </c>
      <c r="AO1691" t="n">
        <v>0</v>
      </c>
      <c r="AP1691" t="inlineStr">
        <is>
          <t>No</t>
        </is>
      </c>
      <c r="AQ1691" t="inlineStr">
        <is>
          <t>Yes</t>
        </is>
      </c>
      <c r="AR1691">
        <f>HYPERLINK("http://catalog.hathitrust.org/Record/004032882","HathiTrust Record")</f>
        <v/>
      </c>
      <c r="AS1691">
        <f>HYPERLINK("https://creighton-primo.hosted.exlibrisgroup.com/primo-explore/search?tab=default_tab&amp;search_scope=EVERYTHING&amp;vid=01CRU&amp;lang=en_US&amp;offset=0&amp;query=any,contains,991002996009702656","Catalog Record")</f>
        <v/>
      </c>
      <c r="AT1691">
        <f>HYPERLINK("http://www.worldcat.org/oclc/40510541","WorldCat Record")</f>
        <v/>
      </c>
      <c r="AU1691" t="inlineStr">
        <is>
          <t>476405348:eng</t>
        </is>
      </c>
      <c r="AV1691" t="inlineStr">
        <is>
          <t>40510541</t>
        </is>
      </c>
      <c r="AW1691" t="inlineStr">
        <is>
          <t>991002996009702656</t>
        </is>
      </c>
      <c r="AX1691" t="inlineStr">
        <is>
          <t>991002996009702656</t>
        </is>
      </c>
      <c r="AY1691" t="inlineStr">
        <is>
          <t>2272557920002656</t>
        </is>
      </c>
      <c r="AZ1691" t="inlineStr">
        <is>
          <t>BOOK</t>
        </is>
      </c>
      <c r="BB1691" t="inlineStr">
        <is>
          <t>9780872071995</t>
        </is>
      </c>
      <c r="BC1691" t="inlineStr">
        <is>
          <t>32285003676714</t>
        </is>
      </c>
      <c r="BD1691" t="inlineStr">
        <is>
          <t>893498817</t>
        </is>
      </c>
    </row>
    <row r="1692">
      <c r="A1692" t="inlineStr">
        <is>
          <t>No</t>
        </is>
      </c>
      <c r="B1692" t="inlineStr">
        <is>
          <t>LC485 .C66 2004</t>
        </is>
      </c>
      <c r="C1692" t="inlineStr">
        <is>
          <t>0                      LC 0485000C  66          2004</t>
        </is>
      </c>
      <c r="D1692" t="inlineStr">
        <is>
          <t>Looking out for red flags : a viability assessment and improvement process for Catholic schools / Tom Colyandro ; edited by D. Michael Coombe.</t>
        </is>
      </c>
      <c r="F1692" t="inlineStr">
        <is>
          <t>No</t>
        </is>
      </c>
      <c r="G1692" t="inlineStr">
        <is>
          <t>1</t>
        </is>
      </c>
      <c r="H1692" t="inlineStr">
        <is>
          <t>No</t>
        </is>
      </c>
      <c r="I1692" t="inlineStr">
        <is>
          <t>No</t>
        </is>
      </c>
      <c r="J1692" t="inlineStr">
        <is>
          <t>0</t>
        </is>
      </c>
      <c r="K1692" t="inlineStr">
        <is>
          <t>Colyandro, Tom.</t>
        </is>
      </c>
      <c r="L1692" t="inlineStr">
        <is>
          <t>Washington, DC : National Catholic Educational Association, 2004.</t>
        </is>
      </c>
      <c r="M1692" t="inlineStr">
        <is>
          <t>2004</t>
        </is>
      </c>
      <c r="O1692" t="inlineStr">
        <is>
          <t>eng</t>
        </is>
      </c>
      <c r="P1692" t="inlineStr">
        <is>
          <t>dcu</t>
        </is>
      </c>
      <c r="R1692" t="inlineStr">
        <is>
          <t xml:space="preserve">LC </t>
        </is>
      </c>
      <c r="S1692" t="n">
        <v>2</v>
      </c>
      <c r="T1692" t="n">
        <v>2</v>
      </c>
      <c r="U1692" t="inlineStr">
        <is>
          <t>2004-09-22</t>
        </is>
      </c>
      <c r="V1692" t="inlineStr">
        <is>
          <t>2004-09-22</t>
        </is>
      </c>
      <c r="W1692" t="inlineStr">
        <is>
          <t>2004-09-22</t>
        </is>
      </c>
      <c r="X1692" t="inlineStr">
        <is>
          <t>2004-09-22</t>
        </is>
      </c>
      <c r="Y1692" t="n">
        <v>21</v>
      </c>
      <c r="Z1692" t="n">
        <v>20</v>
      </c>
      <c r="AA1692" t="n">
        <v>20</v>
      </c>
      <c r="AB1692" t="n">
        <v>1</v>
      </c>
      <c r="AC1692" t="n">
        <v>1</v>
      </c>
      <c r="AD1692" t="n">
        <v>5</v>
      </c>
      <c r="AE1692" t="n">
        <v>5</v>
      </c>
      <c r="AF1692" t="n">
        <v>2</v>
      </c>
      <c r="AG1692" t="n">
        <v>2</v>
      </c>
      <c r="AH1692" t="n">
        <v>1</v>
      </c>
      <c r="AI1692" t="n">
        <v>1</v>
      </c>
      <c r="AJ1692" t="n">
        <v>3</v>
      </c>
      <c r="AK1692" t="n">
        <v>3</v>
      </c>
      <c r="AL1692" t="n">
        <v>0</v>
      </c>
      <c r="AM1692" t="n">
        <v>0</v>
      </c>
      <c r="AN1692" t="n">
        <v>0</v>
      </c>
      <c r="AO1692" t="n">
        <v>0</v>
      </c>
      <c r="AP1692" t="inlineStr">
        <is>
          <t>No</t>
        </is>
      </c>
      <c r="AQ1692" t="inlineStr">
        <is>
          <t>No</t>
        </is>
      </c>
      <c r="AS1692">
        <f>HYPERLINK("https://creighton-primo.hosted.exlibrisgroup.com/primo-explore/search?tab=default_tab&amp;search_scope=EVERYTHING&amp;vid=01CRU&amp;lang=en_US&amp;offset=0&amp;query=any,contains,991004381289702656","Catalog Record")</f>
        <v/>
      </c>
      <c r="AT1692">
        <f>HYPERLINK("http://www.worldcat.org/oclc/56204437","WorldCat Record")</f>
        <v/>
      </c>
      <c r="AU1692" t="inlineStr">
        <is>
          <t>15361077:eng</t>
        </is>
      </c>
      <c r="AV1692" t="inlineStr">
        <is>
          <t>56204437</t>
        </is>
      </c>
      <c r="AW1692" t="inlineStr">
        <is>
          <t>991004381289702656</t>
        </is>
      </c>
      <c r="AX1692" t="inlineStr">
        <is>
          <t>991004381289702656</t>
        </is>
      </c>
      <c r="AY1692" t="inlineStr">
        <is>
          <t>2261925660002656</t>
        </is>
      </c>
      <c r="AZ1692" t="inlineStr">
        <is>
          <t>BOOK</t>
        </is>
      </c>
      <c r="BB1692" t="inlineStr">
        <is>
          <t>9781558333338</t>
        </is>
      </c>
      <c r="BC1692" t="inlineStr">
        <is>
          <t>32285004988191</t>
        </is>
      </c>
      <c r="BD1692" t="inlineStr">
        <is>
          <t>893411456</t>
        </is>
      </c>
    </row>
    <row r="1693">
      <c r="A1693" t="inlineStr">
        <is>
          <t>No</t>
        </is>
      </c>
      <c r="B1693" t="inlineStr">
        <is>
          <t>LC485 .C677 1998</t>
        </is>
      </c>
      <c r="C1693" t="inlineStr">
        <is>
          <t>0                      LC 0485000C  677         1998</t>
        </is>
      </c>
      <c r="D1693" t="inlineStr">
        <is>
          <t>Business management in the Catholic school / by Joan Correia.</t>
        </is>
      </c>
      <c r="F1693" t="inlineStr">
        <is>
          <t>No</t>
        </is>
      </c>
      <c r="G1693" t="inlineStr">
        <is>
          <t>1</t>
        </is>
      </c>
      <c r="H1693" t="inlineStr">
        <is>
          <t>No</t>
        </is>
      </c>
      <c r="I1693" t="inlineStr">
        <is>
          <t>No</t>
        </is>
      </c>
      <c r="J1693" t="inlineStr">
        <is>
          <t>0</t>
        </is>
      </c>
      <c r="K1693" t="inlineStr">
        <is>
          <t>Correia, Joan.</t>
        </is>
      </c>
      <c r="L1693" t="inlineStr">
        <is>
          <t>Washington, DC : National Catholic Educational Association, c1998.</t>
        </is>
      </c>
      <c r="M1693" t="inlineStr">
        <is>
          <t>1998</t>
        </is>
      </c>
      <c r="O1693" t="inlineStr">
        <is>
          <t>eng</t>
        </is>
      </c>
      <c r="P1693" t="inlineStr">
        <is>
          <t>dcu</t>
        </is>
      </c>
      <c r="R1693" t="inlineStr">
        <is>
          <t xml:space="preserve">LC </t>
        </is>
      </c>
      <c r="S1693" t="n">
        <v>2</v>
      </c>
      <c r="T1693" t="n">
        <v>2</v>
      </c>
      <c r="U1693" t="inlineStr">
        <is>
          <t>2002-11-18</t>
        </is>
      </c>
      <c r="V1693" t="inlineStr">
        <is>
          <t>2002-11-18</t>
        </is>
      </c>
      <c r="W1693" t="inlineStr">
        <is>
          <t>1999-05-19</t>
        </is>
      </c>
      <c r="X1693" t="inlineStr">
        <is>
          <t>1999-05-19</t>
        </is>
      </c>
      <c r="Y1693" t="n">
        <v>26</v>
      </c>
      <c r="Z1693" t="n">
        <v>26</v>
      </c>
      <c r="AA1693" t="n">
        <v>28</v>
      </c>
      <c r="AB1693" t="n">
        <v>1</v>
      </c>
      <c r="AC1693" t="n">
        <v>1</v>
      </c>
      <c r="AD1693" t="n">
        <v>5</v>
      </c>
      <c r="AE1693" t="n">
        <v>5</v>
      </c>
      <c r="AF1693" t="n">
        <v>2</v>
      </c>
      <c r="AG1693" t="n">
        <v>2</v>
      </c>
      <c r="AH1693" t="n">
        <v>0</v>
      </c>
      <c r="AI1693" t="n">
        <v>0</v>
      </c>
      <c r="AJ1693" t="n">
        <v>4</v>
      </c>
      <c r="AK1693" t="n">
        <v>4</v>
      </c>
      <c r="AL1693" t="n">
        <v>0</v>
      </c>
      <c r="AM1693" t="n">
        <v>0</v>
      </c>
      <c r="AN1693" t="n">
        <v>0</v>
      </c>
      <c r="AO1693" t="n">
        <v>0</v>
      </c>
      <c r="AP1693" t="inlineStr">
        <is>
          <t>No</t>
        </is>
      </c>
      <c r="AQ1693" t="inlineStr">
        <is>
          <t>No</t>
        </is>
      </c>
      <c r="AS1693">
        <f>HYPERLINK("https://creighton-primo.hosted.exlibrisgroup.com/primo-explore/search?tab=default_tab&amp;search_scope=EVERYTHING&amp;vid=01CRU&amp;lang=en_US&amp;offset=0&amp;query=any,contains,991003024819702656","Catalog Record")</f>
        <v/>
      </c>
      <c r="AT1693">
        <f>HYPERLINK("http://www.worldcat.org/oclc/41303638","WorldCat Record")</f>
        <v/>
      </c>
      <c r="AU1693" t="inlineStr">
        <is>
          <t>4013420858:eng</t>
        </is>
      </c>
      <c r="AV1693" t="inlineStr">
        <is>
          <t>41303638</t>
        </is>
      </c>
      <c r="AW1693" t="inlineStr">
        <is>
          <t>991003024819702656</t>
        </is>
      </c>
      <c r="AX1693" t="inlineStr">
        <is>
          <t>991003024819702656</t>
        </is>
      </c>
      <c r="AY1693" t="inlineStr">
        <is>
          <t>2267900230002656</t>
        </is>
      </c>
      <c r="AZ1693" t="inlineStr">
        <is>
          <t>BOOK</t>
        </is>
      </c>
      <c r="BB1693" t="inlineStr">
        <is>
          <t>9781558332102</t>
        </is>
      </c>
      <c r="BC1693" t="inlineStr">
        <is>
          <t>32285003571220</t>
        </is>
      </c>
      <c r="BD1693" t="inlineStr">
        <is>
          <t>893336054</t>
        </is>
      </c>
    </row>
    <row r="1694">
      <c r="A1694" t="inlineStr">
        <is>
          <t>No</t>
        </is>
      </c>
      <c r="B1694" t="inlineStr">
        <is>
          <t>LC485 .D57</t>
        </is>
      </c>
      <c r="C1694" t="inlineStr">
        <is>
          <t>0                      LC 0485000D  57</t>
        </is>
      </c>
      <c r="D1694" t="inlineStr">
        <is>
          <t>Disputed questions in education.</t>
        </is>
      </c>
      <c r="E1694" t="inlineStr">
        <is>
          <t>V.2</t>
        </is>
      </c>
      <c r="F1694" t="inlineStr">
        <is>
          <t>Yes</t>
        </is>
      </c>
      <c r="G1694" t="inlineStr">
        <is>
          <t>1</t>
        </is>
      </c>
      <c r="H1694" t="inlineStr">
        <is>
          <t>No</t>
        </is>
      </c>
      <c r="I1694" t="inlineStr">
        <is>
          <t>No</t>
        </is>
      </c>
      <c r="J1694" t="inlineStr">
        <is>
          <t>0</t>
        </is>
      </c>
      <c r="L1694" t="inlineStr">
        <is>
          <t>New York : Catholic Textbook Division, Doubleday, [1954-</t>
        </is>
      </c>
      <c r="M1694" t="inlineStr">
        <is>
          <t>1954</t>
        </is>
      </c>
      <c r="O1694" t="inlineStr">
        <is>
          <t>eng</t>
        </is>
      </c>
      <c r="P1694" t="inlineStr">
        <is>
          <t xml:space="preserve">xx </t>
        </is>
      </c>
      <c r="R1694" t="inlineStr">
        <is>
          <t xml:space="preserve">LC </t>
        </is>
      </c>
      <c r="S1694" t="n">
        <v>1</v>
      </c>
      <c r="T1694" t="n">
        <v>2</v>
      </c>
      <c r="U1694" t="inlineStr">
        <is>
          <t>2005-01-27</t>
        </is>
      </c>
      <c r="V1694" t="inlineStr">
        <is>
          <t>2005-01-27</t>
        </is>
      </c>
      <c r="W1694" t="inlineStr">
        <is>
          <t>1991-07-03</t>
        </is>
      </c>
      <c r="X1694" t="inlineStr">
        <is>
          <t>1991-07-03</t>
        </is>
      </c>
      <c r="Y1694" t="n">
        <v>45</v>
      </c>
      <c r="Z1694" t="n">
        <v>42</v>
      </c>
      <c r="AA1694" t="n">
        <v>43</v>
      </c>
      <c r="AB1694" t="n">
        <v>1</v>
      </c>
      <c r="AC1694" t="n">
        <v>1</v>
      </c>
      <c r="AD1694" t="n">
        <v>16</v>
      </c>
      <c r="AE1694" t="n">
        <v>16</v>
      </c>
      <c r="AF1694" t="n">
        <v>6</v>
      </c>
      <c r="AG1694" t="n">
        <v>6</v>
      </c>
      <c r="AH1694" t="n">
        <v>4</v>
      </c>
      <c r="AI1694" t="n">
        <v>4</v>
      </c>
      <c r="AJ1694" t="n">
        <v>14</v>
      </c>
      <c r="AK1694" t="n">
        <v>14</v>
      </c>
      <c r="AL1694" t="n">
        <v>0</v>
      </c>
      <c r="AM1694" t="n">
        <v>0</v>
      </c>
      <c r="AN1694" t="n">
        <v>0</v>
      </c>
      <c r="AO1694" t="n">
        <v>0</v>
      </c>
      <c r="AP1694" t="inlineStr">
        <is>
          <t>No</t>
        </is>
      </c>
      <c r="AQ1694" t="inlineStr">
        <is>
          <t>No</t>
        </is>
      </c>
      <c r="AS1694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4">
        <f>HYPERLINK("http://www.worldcat.org/oclc/1223637","WorldCat Record")</f>
        <v/>
      </c>
      <c r="AU1694" t="inlineStr">
        <is>
          <t>10355221459:eng</t>
        </is>
      </c>
      <c r="AV1694" t="inlineStr">
        <is>
          <t>1223637</t>
        </is>
      </c>
      <c r="AW1694" t="inlineStr">
        <is>
          <t>991003631049702656</t>
        </is>
      </c>
      <c r="AX1694" t="inlineStr">
        <is>
          <t>991003631049702656</t>
        </is>
      </c>
      <c r="AY1694" t="inlineStr">
        <is>
          <t>2264497260002656</t>
        </is>
      </c>
      <c r="AZ1694" t="inlineStr">
        <is>
          <t>BOOK</t>
        </is>
      </c>
      <c r="BC1694" t="inlineStr">
        <is>
          <t>32285000635820</t>
        </is>
      </c>
      <c r="BD1694" t="inlineStr">
        <is>
          <t>893336731</t>
        </is>
      </c>
    </row>
    <row r="1695">
      <c r="A1695" t="inlineStr">
        <is>
          <t>No</t>
        </is>
      </c>
      <c r="B1695" t="inlineStr">
        <is>
          <t>LC485 .D57</t>
        </is>
      </c>
      <c r="C1695" t="inlineStr">
        <is>
          <t>0                      LC 0485000D  57</t>
        </is>
      </c>
      <c r="D1695" t="inlineStr">
        <is>
          <t>Disputed questions in education.</t>
        </is>
      </c>
      <c r="E1695" t="inlineStr">
        <is>
          <t>V.3</t>
        </is>
      </c>
      <c r="F1695" t="inlineStr">
        <is>
          <t>Yes</t>
        </is>
      </c>
      <c r="G1695" t="inlineStr">
        <is>
          <t>1</t>
        </is>
      </c>
      <c r="H1695" t="inlineStr">
        <is>
          <t>No</t>
        </is>
      </c>
      <c r="I1695" t="inlineStr">
        <is>
          <t>No</t>
        </is>
      </c>
      <c r="J1695" t="inlineStr">
        <is>
          <t>0</t>
        </is>
      </c>
      <c r="L1695" t="inlineStr">
        <is>
          <t>New York : Catholic Textbook Division, Doubleday, [1954-</t>
        </is>
      </c>
      <c r="M1695" t="inlineStr">
        <is>
          <t>1954</t>
        </is>
      </c>
      <c r="O1695" t="inlineStr">
        <is>
          <t>eng</t>
        </is>
      </c>
      <c r="P1695" t="inlineStr">
        <is>
          <t xml:space="preserve">xx </t>
        </is>
      </c>
      <c r="R1695" t="inlineStr">
        <is>
          <t xml:space="preserve">LC </t>
        </is>
      </c>
      <c r="S1695" t="n">
        <v>0</v>
      </c>
      <c r="T1695" t="n">
        <v>2</v>
      </c>
      <c r="V1695" t="inlineStr">
        <is>
          <t>2005-01-27</t>
        </is>
      </c>
      <c r="W1695" t="inlineStr">
        <is>
          <t>1991-07-03</t>
        </is>
      </c>
      <c r="X1695" t="inlineStr">
        <is>
          <t>1991-07-03</t>
        </is>
      </c>
      <c r="Y1695" t="n">
        <v>45</v>
      </c>
      <c r="Z1695" t="n">
        <v>42</v>
      </c>
      <c r="AA1695" t="n">
        <v>43</v>
      </c>
      <c r="AB1695" t="n">
        <v>1</v>
      </c>
      <c r="AC1695" t="n">
        <v>1</v>
      </c>
      <c r="AD1695" t="n">
        <v>16</v>
      </c>
      <c r="AE1695" t="n">
        <v>16</v>
      </c>
      <c r="AF1695" t="n">
        <v>6</v>
      </c>
      <c r="AG1695" t="n">
        <v>6</v>
      </c>
      <c r="AH1695" t="n">
        <v>4</v>
      </c>
      <c r="AI1695" t="n">
        <v>4</v>
      </c>
      <c r="AJ1695" t="n">
        <v>14</v>
      </c>
      <c r="AK1695" t="n">
        <v>14</v>
      </c>
      <c r="AL1695" t="n">
        <v>0</v>
      </c>
      <c r="AM1695" t="n">
        <v>0</v>
      </c>
      <c r="AN1695" t="n">
        <v>0</v>
      </c>
      <c r="AO1695" t="n">
        <v>0</v>
      </c>
      <c r="AP1695" t="inlineStr">
        <is>
          <t>No</t>
        </is>
      </c>
      <c r="AQ1695" t="inlineStr">
        <is>
          <t>No</t>
        </is>
      </c>
      <c r="AS1695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5">
        <f>HYPERLINK("http://www.worldcat.org/oclc/1223637","WorldCat Record")</f>
        <v/>
      </c>
      <c r="AU1695" t="inlineStr">
        <is>
          <t>10355221459:eng</t>
        </is>
      </c>
      <c r="AV1695" t="inlineStr">
        <is>
          <t>1223637</t>
        </is>
      </c>
      <c r="AW1695" t="inlineStr">
        <is>
          <t>991003631049702656</t>
        </is>
      </c>
      <c r="AX1695" t="inlineStr">
        <is>
          <t>991003631049702656</t>
        </is>
      </c>
      <c r="AY1695" t="inlineStr">
        <is>
          <t>2264497260002656</t>
        </is>
      </c>
      <c r="AZ1695" t="inlineStr">
        <is>
          <t>BOOK</t>
        </is>
      </c>
      <c r="BC1695" t="inlineStr">
        <is>
          <t>32285000635838</t>
        </is>
      </c>
      <c r="BD1695" t="inlineStr">
        <is>
          <t>893352960</t>
        </is>
      </c>
    </row>
    <row r="1696">
      <c r="A1696" t="inlineStr">
        <is>
          <t>No</t>
        </is>
      </c>
      <c r="B1696" t="inlineStr">
        <is>
          <t>LC485 .D57</t>
        </is>
      </c>
      <c r="C1696" t="inlineStr">
        <is>
          <t>0                      LC 0485000D  57</t>
        </is>
      </c>
      <c r="D1696" t="inlineStr">
        <is>
          <t>Disputed questions in education.</t>
        </is>
      </c>
      <c r="E1696" t="inlineStr">
        <is>
          <t>V.1</t>
        </is>
      </c>
      <c r="F1696" t="inlineStr">
        <is>
          <t>Yes</t>
        </is>
      </c>
      <c r="G1696" t="inlineStr">
        <is>
          <t>1</t>
        </is>
      </c>
      <c r="H1696" t="inlineStr">
        <is>
          <t>No</t>
        </is>
      </c>
      <c r="I1696" t="inlineStr">
        <is>
          <t>No</t>
        </is>
      </c>
      <c r="J1696" t="inlineStr">
        <is>
          <t>0</t>
        </is>
      </c>
      <c r="L1696" t="inlineStr">
        <is>
          <t>New York : Catholic Textbook Division, Doubleday, [1954-</t>
        </is>
      </c>
      <c r="M1696" t="inlineStr">
        <is>
          <t>1954</t>
        </is>
      </c>
      <c r="O1696" t="inlineStr">
        <is>
          <t>eng</t>
        </is>
      </c>
      <c r="P1696" t="inlineStr">
        <is>
          <t xml:space="preserve">xx </t>
        </is>
      </c>
      <c r="R1696" t="inlineStr">
        <is>
          <t xml:space="preserve">LC </t>
        </is>
      </c>
      <c r="S1696" t="n">
        <v>1</v>
      </c>
      <c r="T1696" t="n">
        <v>2</v>
      </c>
      <c r="U1696" t="inlineStr">
        <is>
          <t>2005-01-27</t>
        </is>
      </c>
      <c r="V1696" t="inlineStr">
        <is>
          <t>2005-01-27</t>
        </is>
      </c>
      <c r="W1696" t="inlineStr">
        <is>
          <t>1991-07-03</t>
        </is>
      </c>
      <c r="X1696" t="inlineStr">
        <is>
          <t>1991-07-03</t>
        </is>
      </c>
      <c r="Y1696" t="n">
        <v>45</v>
      </c>
      <c r="Z1696" t="n">
        <v>42</v>
      </c>
      <c r="AA1696" t="n">
        <v>43</v>
      </c>
      <c r="AB1696" t="n">
        <v>1</v>
      </c>
      <c r="AC1696" t="n">
        <v>1</v>
      </c>
      <c r="AD1696" t="n">
        <v>16</v>
      </c>
      <c r="AE1696" t="n">
        <v>16</v>
      </c>
      <c r="AF1696" t="n">
        <v>6</v>
      </c>
      <c r="AG1696" t="n">
        <v>6</v>
      </c>
      <c r="AH1696" t="n">
        <v>4</v>
      </c>
      <c r="AI1696" t="n">
        <v>4</v>
      </c>
      <c r="AJ1696" t="n">
        <v>14</v>
      </c>
      <c r="AK1696" t="n">
        <v>14</v>
      </c>
      <c r="AL1696" t="n">
        <v>0</v>
      </c>
      <c r="AM1696" t="n">
        <v>0</v>
      </c>
      <c r="AN1696" t="n">
        <v>0</v>
      </c>
      <c r="AO1696" t="n">
        <v>0</v>
      </c>
      <c r="AP1696" t="inlineStr">
        <is>
          <t>No</t>
        </is>
      </c>
      <c r="AQ1696" t="inlineStr">
        <is>
          <t>No</t>
        </is>
      </c>
      <c r="AS1696">
        <f>HYPERLINK("https://creighton-primo.hosted.exlibrisgroup.com/primo-explore/search?tab=default_tab&amp;search_scope=EVERYTHING&amp;vid=01CRU&amp;lang=en_US&amp;offset=0&amp;query=any,contains,991003631049702656","Catalog Record")</f>
        <v/>
      </c>
      <c r="AT1696">
        <f>HYPERLINK("http://www.worldcat.org/oclc/1223637","WorldCat Record")</f>
        <v/>
      </c>
      <c r="AU1696" t="inlineStr">
        <is>
          <t>10355221459:eng</t>
        </is>
      </c>
      <c r="AV1696" t="inlineStr">
        <is>
          <t>1223637</t>
        </is>
      </c>
      <c r="AW1696" t="inlineStr">
        <is>
          <t>991003631049702656</t>
        </is>
      </c>
      <c r="AX1696" t="inlineStr">
        <is>
          <t>991003631049702656</t>
        </is>
      </c>
      <c r="AY1696" t="inlineStr">
        <is>
          <t>2264497260002656</t>
        </is>
      </c>
      <c r="AZ1696" t="inlineStr">
        <is>
          <t>BOOK</t>
        </is>
      </c>
      <c r="BC1696" t="inlineStr">
        <is>
          <t>32285000635812</t>
        </is>
      </c>
      <c r="BD1696" t="inlineStr">
        <is>
          <t>893330592</t>
        </is>
      </c>
    </row>
    <row r="1697">
      <c r="A1697" t="inlineStr">
        <is>
          <t>No</t>
        </is>
      </c>
      <c r="B1697" t="inlineStr">
        <is>
          <t>LC485 .M19</t>
        </is>
      </c>
      <c r="C1697" t="inlineStr">
        <is>
          <t>0                      LC 0485000M  19</t>
        </is>
      </c>
      <c r="D1697" t="inlineStr">
        <is>
          <t>Progressive educators and the Catholic Church.</t>
        </is>
      </c>
      <c r="F1697" t="inlineStr">
        <is>
          <t>No</t>
        </is>
      </c>
      <c r="G1697" t="inlineStr">
        <is>
          <t>1</t>
        </is>
      </c>
      <c r="H1697" t="inlineStr">
        <is>
          <t>No</t>
        </is>
      </c>
      <c r="I1697" t="inlineStr">
        <is>
          <t>No</t>
        </is>
      </c>
      <c r="J1697" t="inlineStr">
        <is>
          <t>0</t>
        </is>
      </c>
      <c r="K1697" t="inlineStr">
        <is>
          <t>McGlade, Joseph.</t>
        </is>
      </c>
      <c r="L1697" t="inlineStr">
        <is>
          <t>Westminister, Md., Newman Press, 1953.</t>
        </is>
      </c>
      <c r="M1697" t="inlineStr">
        <is>
          <t>1953</t>
        </is>
      </c>
      <c r="O1697" t="inlineStr">
        <is>
          <t>eng</t>
        </is>
      </c>
      <c r="P1697" t="inlineStr">
        <is>
          <t>mdu</t>
        </is>
      </c>
      <c r="R1697" t="inlineStr">
        <is>
          <t xml:space="preserve">LC </t>
        </is>
      </c>
      <c r="S1697" t="n">
        <v>1</v>
      </c>
      <c r="T1697" t="n">
        <v>1</v>
      </c>
      <c r="U1697" t="inlineStr">
        <is>
          <t>2007-07-30</t>
        </is>
      </c>
      <c r="V1697" t="inlineStr">
        <is>
          <t>2007-07-30</t>
        </is>
      </c>
      <c r="W1697" t="inlineStr">
        <is>
          <t>1997-06-06</t>
        </is>
      </c>
      <c r="X1697" t="inlineStr">
        <is>
          <t>1997-06-06</t>
        </is>
      </c>
      <c r="Y1697" t="n">
        <v>205</v>
      </c>
      <c r="Z1697" t="n">
        <v>187</v>
      </c>
      <c r="AA1697" t="n">
        <v>189</v>
      </c>
      <c r="AB1697" t="n">
        <v>5</v>
      </c>
      <c r="AC1697" t="n">
        <v>5</v>
      </c>
      <c r="AD1697" t="n">
        <v>21</v>
      </c>
      <c r="AE1697" t="n">
        <v>21</v>
      </c>
      <c r="AF1697" t="n">
        <v>6</v>
      </c>
      <c r="AG1697" t="n">
        <v>6</v>
      </c>
      <c r="AH1697" t="n">
        <v>4</v>
      </c>
      <c r="AI1697" t="n">
        <v>4</v>
      </c>
      <c r="AJ1697" t="n">
        <v>15</v>
      </c>
      <c r="AK1697" t="n">
        <v>15</v>
      </c>
      <c r="AL1697" t="n">
        <v>2</v>
      </c>
      <c r="AM1697" t="n">
        <v>2</v>
      </c>
      <c r="AN1697" t="n">
        <v>0</v>
      </c>
      <c r="AO1697" t="n">
        <v>0</v>
      </c>
      <c r="AP1697" t="inlineStr">
        <is>
          <t>No</t>
        </is>
      </c>
      <c r="AQ1697" t="inlineStr">
        <is>
          <t>No</t>
        </is>
      </c>
      <c r="AR1697">
        <f>HYPERLINK("http://catalog.hathitrust.org/Record/001449832","HathiTrust Record")</f>
        <v/>
      </c>
      <c r="AS1697">
        <f>HYPERLINK("https://creighton-primo.hosted.exlibrisgroup.com/primo-explore/search?tab=default_tab&amp;search_scope=EVERYTHING&amp;vid=01CRU&amp;lang=en_US&amp;offset=0&amp;query=any,contains,991002026139702656","Catalog Record")</f>
        <v/>
      </c>
      <c r="AT1697">
        <f>HYPERLINK("http://www.worldcat.org/oclc/259838","WorldCat Record")</f>
        <v/>
      </c>
      <c r="AU1697" t="inlineStr">
        <is>
          <t>1366529:eng</t>
        </is>
      </c>
      <c r="AV1697" t="inlineStr">
        <is>
          <t>259838</t>
        </is>
      </c>
      <c r="AW1697" t="inlineStr">
        <is>
          <t>991002026139702656</t>
        </is>
      </c>
      <c r="AX1697" t="inlineStr">
        <is>
          <t>991002026139702656</t>
        </is>
      </c>
      <c r="AY1697" t="inlineStr">
        <is>
          <t>2272792380002656</t>
        </is>
      </c>
      <c r="AZ1697" t="inlineStr">
        <is>
          <t>BOOK</t>
        </is>
      </c>
      <c r="BC1697" t="inlineStr">
        <is>
          <t>32285002801602</t>
        </is>
      </c>
      <c r="BD1697" t="inlineStr">
        <is>
          <t>893709783</t>
        </is>
      </c>
    </row>
    <row r="1698">
      <c r="A1698" t="inlineStr">
        <is>
          <t>No</t>
        </is>
      </c>
      <c r="B1698" t="inlineStr">
        <is>
          <t>LC485 .S53 2007</t>
        </is>
      </c>
      <c r="C1698" t="inlineStr">
        <is>
          <t>0                      LC 0485000S  53          2007</t>
        </is>
      </c>
      <c r="D1698" t="inlineStr">
        <is>
          <t>Volunteers make a difference in Catholic education: some things you should know / Mary Angela Shaughnessy.</t>
        </is>
      </c>
      <c r="F1698" t="inlineStr">
        <is>
          <t>No</t>
        </is>
      </c>
      <c r="G1698" t="inlineStr">
        <is>
          <t>1</t>
        </is>
      </c>
      <c r="H1698" t="inlineStr">
        <is>
          <t>No</t>
        </is>
      </c>
      <c r="I1698" t="inlineStr">
        <is>
          <t>No</t>
        </is>
      </c>
      <c r="J1698" t="inlineStr">
        <is>
          <t>0</t>
        </is>
      </c>
      <c r="K1698" t="inlineStr">
        <is>
          <t>Shaughnessy, Mary Angela.</t>
        </is>
      </c>
      <c r="L1698" t="inlineStr">
        <is>
          <t>Washington, DC : National Catholic Educational Association, 2007.</t>
        </is>
      </c>
      <c r="M1698" t="inlineStr">
        <is>
          <t>2007</t>
        </is>
      </c>
      <c r="O1698" t="inlineStr">
        <is>
          <t>eng</t>
        </is>
      </c>
      <c r="P1698" t="inlineStr">
        <is>
          <t>dcu</t>
        </is>
      </c>
      <c r="R1698" t="inlineStr">
        <is>
          <t xml:space="preserve">LC </t>
        </is>
      </c>
      <c r="S1698" t="n">
        <v>1</v>
      </c>
      <c r="T1698" t="n">
        <v>1</v>
      </c>
      <c r="U1698" t="inlineStr">
        <is>
          <t>2007-09-28</t>
        </is>
      </c>
      <c r="V1698" t="inlineStr">
        <is>
          <t>2007-09-28</t>
        </is>
      </c>
      <c r="W1698" t="inlineStr">
        <is>
          <t>2007-06-28</t>
        </is>
      </c>
      <c r="X1698" t="inlineStr">
        <is>
          <t>2007-06-28</t>
        </is>
      </c>
      <c r="Y1698" t="n">
        <v>9</v>
      </c>
      <c r="Z1698" t="n">
        <v>9</v>
      </c>
      <c r="AA1698" t="n">
        <v>9</v>
      </c>
      <c r="AB1698" t="n">
        <v>1</v>
      </c>
      <c r="AC1698" t="n">
        <v>1</v>
      </c>
      <c r="AD1698" t="n">
        <v>4</v>
      </c>
      <c r="AE1698" t="n">
        <v>4</v>
      </c>
      <c r="AF1698" t="n">
        <v>2</v>
      </c>
      <c r="AG1698" t="n">
        <v>2</v>
      </c>
      <c r="AH1698" t="n">
        <v>1</v>
      </c>
      <c r="AI1698" t="n">
        <v>1</v>
      </c>
      <c r="AJ1698" t="n">
        <v>2</v>
      </c>
      <c r="AK1698" t="n">
        <v>2</v>
      </c>
      <c r="AL1698" t="n">
        <v>0</v>
      </c>
      <c r="AM1698" t="n">
        <v>0</v>
      </c>
      <c r="AN1698" t="n">
        <v>0</v>
      </c>
      <c r="AO1698" t="n">
        <v>0</v>
      </c>
      <c r="AP1698" t="inlineStr">
        <is>
          <t>No</t>
        </is>
      </c>
      <c r="AQ1698" t="inlineStr">
        <is>
          <t>No</t>
        </is>
      </c>
      <c r="AS1698">
        <f>HYPERLINK("https://creighton-primo.hosted.exlibrisgroup.com/primo-explore/search?tab=default_tab&amp;search_scope=EVERYTHING&amp;vid=01CRU&amp;lang=en_US&amp;offset=0&amp;query=any,contains,991005099299702656","Catalog Record")</f>
        <v/>
      </c>
      <c r="AT1698">
        <f>HYPERLINK("http://www.worldcat.org/oclc/144589009","WorldCat Record")</f>
        <v/>
      </c>
      <c r="AU1698" t="inlineStr">
        <is>
          <t>103288141:eng</t>
        </is>
      </c>
      <c r="AV1698" t="inlineStr">
        <is>
          <t>144589009</t>
        </is>
      </c>
      <c r="AW1698" t="inlineStr">
        <is>
          <t>991005099299702656</t>
        </is>
      </c>
      <c r="AX1698" t="inlineStr">
        <is>
          <t>991005099299702656</t>
        </is>
      </c>
      <c r="AY1698" t="inlineStr">
        <is>
          <t>2270235480002656</t>
        </is>
      </c>
      <c r="AZ1698" t="inlineStr">
        <is>
          <t>BOOK</t>
        </is>
      </c>
      <c r="BB1698" t="inlineStr">
        <is>
          <t>9781558334038</t>
        </is>
      </c>
      <c r="BC1698" t="inlineStr">
        <is>
          <t>32285005318422</t>
        </is>
      </c>
      <c r="BD1698" t="inlineStr">
        <is>
          <t>893514035</t>
        </is>
      </c>
    </row>
    <row r="1699">
      <c r="A1699" t="inlineStr">
        <is>
          <t>No</t>
        </is>
      </c>
      <c r="B1699" t="inlineStr">
        <is>
          <t>LC487 .U66 2005</t>
        </is>
      </c>
      <c r="C1699" t="inlineStr">
        <is>
          <t>0                      LC 0487000U  66          2005</t>
        </is>
      </c>
      <c r="D1699" t="inlineStr">
        <is>
          <t>The University of Portland : teaching, faith and service : the foundation of freedom / William Hund, Margaret Monahan Hogan, editors.</t>
        </is>
      </c>
      <c r="F1699" t="inlineStr">
        <is>
          <t>No</t>
        </is>
      </c>
      <c r="G1699" t="inlineStr">
        <is>
          <t>1</t>
        </is>
      </c>
      <c r="H1699" t="inlineStr">
        <is>
          <t>No</t>
        </is>
      </c>
      <c r="I1699" t="inlineStr">
        <is>
          <t>No</t>
        </is>
      </c>
      <c r="J1699" t="inlineStr">
        <is>
          <t>0</t>
        </is>
      </c>
      <c r="L1699" t="inlineStr">
        <is>
          <t>[Portland, OR : University of Portland, 2005?]</t>
        </is>
      </c>
      <c r="M1699" t="inlineStr">
        <is>
          <t>2005</t>
        </is>
      </c>
      <c r="O1699" t="inlineStr">
        <is>
          <t>eng</t>
        </is>
      </c>
      <c r="P1699" t="inlineStr">
        <is>
          <t>oru</t>
        </is>
      </c>
      <c r="R1699" t="inlineStr">
        <is>
          <t xml:space="preserve">LC </t>
        </is>
      </c>
      <c r="S1699" t="n">
        <v>1</v>
      </c>
      <c r="T1699" t="n">
        <v>1</v>
      </c>
      <c r="U1699" t="inlineStr">
        <is>
          <t>2008-03-26</t>
        </is>
      </c>
      <c r="V1699" t="inlineStr">
        <is>
          <t>2008-03-26</t>
        </is>
      </c>
      <c r="W1699" t="inlineStr">
        <is>
          <t>2008-03-26</t>
        </is>
      </c>
      <c r="X1699" t="inlineStr">
        <is>
          <t>2008-03-26</t>
        </is>
      </c>
      <c r="Y1699" t="n">
        <v>40</v>
      </c>
      <c r="Z1699" t="n">
        <v>40</v>
      </c>
      <c r="AA1699" t="n">
        <v>40</v>
      </c>
      <c r="AB1699" t="n">
        <v>2</v>
      </c>
      <c r="AC1699" t="n">
        <v>2</v>
      </c>
      <c r="AD1699" t="n">
        <v>10</v>
      </c>
      <c r="AE1699" t="n">
        <v>10</v>
      </c>
      <c r="AF1699" t="n">
        <v>4</v>
      </c>
      <c r="AG1699" t="n">
        <v>4</v>
      </c>
      <c r="AH1699" t="n">
        <v>1</v>
      </c>
      <c r="AI1699" t="n">
        <v>1</v>
      </c>
      <c r="AJ1699" t="n">
        <v>6</v>
      </c>
      <c r="AK1699" t="n">
        <v>6</v>
      </c>
      <c r="AL1699" t="n">
        <v>1</v>
      </c>
      <c r="AM1699" t="n">
        <v>1</v>
      </c>
      <c r="AN1699" t="n">
        <v>0</v>
      </c>
      <c r="AO1699" t="n">
        <v>0</v>
      </c>
      <c r="AP1699" t="inlineStr">
        <is>
          <t>No</t>
        </is>
      </c>
      <c r="AQ1699" t="inlineStr">
        <is>
          <t>No</t>
        </is>
      </c>
      <c r="AS1699">
        <f>HYPERLINK("https://creighton-primo.hosted.exlibrisgroup.com/primo-explore/search?tab=default_tab&amp;search_scope=EVERYTHING&amp;vid=01CRU&amp;lang=en_US&amp;offset=0&amp;query=any,contains,991005197559702656","Catalog Record")</f>
        <v/>
      </c>
      <c r="AT1699">
        <f>HYPERLINK("http://www.worldcat.org/oclc/75489478","WorldCat Record")</f>
        <v/>
      </c>
      <c r="AU1699" t="inlineStr">
        <is>
          <t>61512039:eng</t>
        </is>
      </c>
      <c r="AV1699" t="inlineStr">
        <is>
          <t>75489478</t>
        </is>
      </c>
      <c r="AW1699" t="inlineStr">
        <is>
          <t>991005197559702656</t>
        </is>
      </c>
      <c r="AX1699" t="inlineStr">
        <is>
          <t>991005197559702656</t>
        </is>
      </c>
      <c r="AY1699" t="inlineStr">
        <is>
          <t>2258032860002656</t>
        </is>
      </c>
      <c r="AZ1699" t="inlineStr">
        <is>
          <t>BOOK</t>
        </is>
      </c>
      <c r="BC1699" t="inlineStr">
        <is>
          <t>32285005398663</t>
        </is>
      </c>
      <c r="BD1699" t="inlineStr">
        <is>
          <t>893889839</t>
        </is>
      </c>
    </row>
    <row r="1700">
      <c r="A1700" t="inlineStr">
        <is>
          <t>No</t>
        </is>
      </c>
      <c r="B1700" t="inlineStr">
        <is>
          <t>LC49 .E57 2006</t>
        </is>
      </c>
      <c r="C1700" t="inlineStr">
        <is>
          <t>0                      LC 0049000E  57          2006</t>
        </is>
      </c>
      <c r="D1700" t="inlineStr">
        <is>
          <t>The kindergarten wars : the battle to get into America's best private schools / Alan Eisenstock.</t>
        </is>
      </c>
      <c r="F1700" t="inlineStr">
        <is>
          <t>No</t>
        </is>
      </c>
      <c r="G1700" t="inlineStr">
        <is>
          <t>1</t>
        </is>
      </c>
      <c r="H1700" t="inlineStr">
        <is>
          <t>No</t>
        </is>
      </c>
      <c r="I1700" t="inlineStr">
        <is>
          <t>No</t>
        </is>
      </c>
      <c r="J1700" t="inlineStr">
        <is>
          <t>0</t>
        </is>
      </c>
      <c r="K1700" t="inlineStr">
        <is>
          <t>Eisenstock, Alan.</t>
        </is>
      </c>
      <c r="L1700" t="inlineStr">
        <is>
          <t>New York, N.Y. : Warner Books, 2006.</t>
        </is>
      </c>
      <c r="M1700" t="inlineStr">
        <is>
          <t>2006</t>
        </is>
      </c>
      <c r="O1700" t="inlineStr">
        <is>
          <t>eng</t>
        </is>
      </c>
      <c r="P1700" t="inlineStr">
        <is>
          <t>nyu</t>
        </is>
      </c>
      <c r="R1700" t="inlineStr">
        <is>
          <t xml:space="preserve">LC </t>
        </is>
      </c>
      <c r="S1700" t="n">
        <v>2</v>
      </c>
      <c r="T1700" t="n">
        <v>2</v>
      </c>
      <c r="U1700" t="inlineStr">
        <is>
          <t>2006-12-12</t>
        </is>
      </c>
      <c r="V1700" t="inlineStr">
        <is>
          <t>2006-12-12</t>
        </is>
      </c>
      <c r="W1700" t="inlineStr">
        <is>
          <t>2006-12-12</t>
        </is>
      </c>
      <c r="X1700" t="inlineStr">
        <is>
          <t>2006-12-12</t>
        </is>
      </c>
      <c r="Y1700" t="n">
        <v>166</v>
      </c>
      <c r="Z1700" t="n">
        <v>161</v>
      </c>
      <c r="AA1700" t="n">
        <v>191</v>
      </c>
      <c r="AB1700" t="n">
        <v>2</v>
      </c>
      <c r="AC1700" t="n">
        <v>2</v>
      </c>
      <c r="AD1700" t="n">
        <v>3</v>
      </c>
      <c r="AE1700" t="n">
        <v>3</v>
      </c>
      <c r="AF1700" t="n">
        <v>1</v>
      </c>
      <c r="AG1700" t="n">
        <v>1</v>
      </c>
      <c r="AH1700" t="n">
        <v>0</v>
      </c>
      <c r="AI1700" t="n">
        <v>0</v>
      </c>
      <c r="AJ1700" t="n">
        <v>2</v>
      </c>
      <c r="AK1700" t="n">
        <v>2</v>
      </c>
      <c r="AL1700" t="n">
        <v>1</v>
      </c>
      <c r="AM1700" t="n">
        <v>1</v>
      </c>
      <c r="AN1700" t="n">
        <v>0</v>
      </c>
      <c r="AO1700" t="n">
        <v>0</v>
      </c>
      <c r="AP1700" t="inlineStr">
        <is>
          <t>No</t>
        </is>
      </c>
      <c r="AQ1700" t="inlineStr">
        <is>
          <t>No</t>
        </is>
      </c>
      <c r="AS1700">
        <f>HYPERLINK("https://creighton-primo.hosted.exlibrisgroup.com/primo-explore/search?tab=default_tab&amp;search_scope=EVERYTHING&amp;vid=01CRU&amp;lang=en_US&amp;offset=0&amp;query=any,contains,991004989149702656","Catalog Record")</f>
        <v/>
      </c>
      <c r="AT1700">
        <f>HYPERLINK("http://www.worldcat.org/oclc/64510467","WorldCat Record")</f>
        <v/>
      </c>
      <c r="AU1700" t="inlineStr">
        <is>
          <t>198875718:eng</t>
        </is>
      </c>
      <c r="AV1700" t="inlineStr">
        <is>
          <t>64510467</t>
        </is>
      </c>
      <c r="AW1700" t="inlineStr">
        <is>
          <t>991004989149702656</t>
        </is>
      </c>
      <c r="AX1700" t="inlineStr">
        <is>
          <t>991004989149702656</t>
        </is>
      </c>
      <c r="AY1700" t="inlineStr">
        <is>
          <t>2256152650002656</t>
        </is>
      </c>
      <c r="AZ1700" t="inlineStr">
        <is>
          <t>BOOK</t>
        </is>
      </c>
      <c r="BB1700" t="inlineStr">
        <is>
          <t>9780446577748</t>
        </is>
      </c>
      <c r="BC1700" t="inlineStr">
        <is>
          <t>32285005265615</t>
        </is>
      </c>
      <c r="BD1700" t="inlineStr">
        <is>
          <t>893688444</t>
        </is>
      </c>
    </row>
    <row r="1701">
      <c r="A1701" t="inlineStr">
        <is>
          <t>No</t>
        </is>
      </c>
      <c r="B1701" t="inlineStr">
        <is>
          <t>LC4941 .M38 1998</t>
        </is>
      </c>
      <c r="C1701" t="inlineStr">
        <is>
          <t>0                      LC 4941000M  38          1998</t>
        </is>
      </c>
      <c r="D1701" t="inlineStr">
        <is>
          <t>Class struggle : what's wrong (and right) with America's best public high schools / Jay Mathews.</t>
        </is>
      </c>
      <c r="F1701" t="inlineStr">
        <is>
          <t>No</t>
        </is>
      </c>
      <c r="G1701" t="inlineStr">
        <is>
          <t>1</t>
        </is>
      </c>
      <c r="H1701" t="inlineStr">
        <is>
          <t>No</t>
        </is>
      </c>
      <c r="I1701" t="inlineStr">
        <is>
          <t>No</t>
        </is>
      </c>
      <c r="J1701" t="inlineStr">
        <is>
          <t>0</t>
        </is>
      </c>
      <c r="K1701" t="inlineStr">
        <is>
          <t>Mathews, Jay, 1945-</t>
        </is>
      </c>
      <c r="L1701" t="inlineStr">
        <is>
          <t>New York : Times Books, c1998.</t>
        </is>
      </c>
      <c r="M1701" t="inlineStr">
        <is>
          <t>1998</t>
        </is>
      </c>
      <c r="N1701" t="inlineStr">
        <is>
          <t>1st ed.</t>
        </is>
      </c>
      <c r="O1701" t="inlineStr">
        <is>
          <t>eng</t>
        </is>
      </c>
      <c r="P1701" t="inlineStr">
        <is>
          <t>nyu</t>
        </is>
      </c>
      <c r="R1701" t="inlineStr">
        <is>
          <t xml:space="preserve">LC </t>
        </is>
      </c>
      <c r="S1701" t="n">
        <v>1</v>
      </c>
      <c r="T1701" t="n">
        <v>1</v>
      </c>
      <c r="U1701" t="inlineStr">
        <is>
          <t>2002-11-11</t>
        </is>
      </c>
      <c r="V1701" t="inlineStr">
        <is>
          <t>2002-11-11</t>
        </is>
      </c>
      <c r="W1701" t="inlineStr">
        <is>
          <t>1998-06-08</t>
        </is>
      </c>
      <c r="X1701" t="inlineStr">
        <is>
          <t>1998-06-08</t>
        </is>
      </c>
      <c r="Y1701" t="n">
        <v>834</v>
      </c>
      <c r="Z1701" t="n">
        <v>809</v>
      </c>
      <c r="AA1701" t="n">
        <v>822</v>
      </c>
      <c r="AB1701" t="n">
        <v>6</v>
      </c>
      <c r="AC1701" t="n">
        <v>6</v>
      </c>
      <c r="AD1701" t="n">
        <v>33</v>
      </c>
      <c r="AE1701" t="n">
        <v>33</v>
      </c>
      <c r="AF1701" t="n">
        <v>15</v>
      </c>
      <c r="AG1701" t="n">
        <v>15</v>
      </c>
      <c r="AH1701" t="n">
        <v>6</v>
      </c>
      <c r="AI1701" t="n">
        <v>6</v>
      </c>
      <c r="AJ1701" t="n">
        <v>17</v>
      </c>
      <c r="AK1701" t="n">
        <v>17</v>
      </c>
      <c r="AL1701" t="n">
        <v>5</v>
      </c>
      <c r="AM1701" t="n">
        <v>5</v>
      </c>
      <c r="AN1701" t="n">
        <v>0</v>
      </c>
      <c r="AO1701" t="n">
        <v>0</v>
      </c>
      <c r="AP1701" t="inlineStr">
        <is>
          <t>No</t>
        </is>
      </c>
      <c r="AQ1701" t="inlineStr">
        <is>
          <t>No</t>
        </is>
      </c>
      <c r="AS1701">
        <f>HYPERLINK("https://creighton-primo.hosted.exlibrisgroup.com/primo-explore/search?tab=default_tab&amp;search_scope=EVERYTHING&amp;vid=01CRU&amp;lang=en_US&amp;offset=0&amp;query=any,contains,991002837939702656","Catalog Record")</f>
        <v/>
      </c>
      <c r="AT1701">
        <f>HYPERLINK("http://www.worldcat.org/oclc/37373538","WorldCat Record")</f>
        <v/>
      </c>
      <c r="AU1701" t="inlineStr">
        <is>
          <t>1819613681:eng</t>
        </is>
      </c>
      <c r="AV1701" t="inlineStr">
        <is>
          <t>37373538</t>
        </is>
      </c>
      <c r="AW1701" t="inlineStr">
        <is>
          <t>991002837939702656</t>
        </is>
      </c>
      <c r="AX1701" t="inlineStr">
        <is>
          <t>991002837939702656</t>
        </is>
      </c>
      <c r="AY1701" t="inlineStr">
        <is>
          <t>2268683930002656</t>
        </is>
      </c>
      <c r="AZ1701" t="inlineStr">
        <is>
          <t>BOOK</t>
        </is>
      </c>
      <c r="BB1701" t="inlineStr">
        <is>
          <t>9780812924473</t>
        </is>
      </c>
      <c r="BC1701" t="inlineStr">
        <is>
          <t>32285003413134</t>
        </is>
      </c>
      <c r="BD1701" t="inlineStr">
        <is>
          <t>893805113</t>
        </is>
      </c>
    </row>
    <row r="1702">
      <c r="A1702" t="inlineStr">
        <is>
          <t>No</t>
        </is>
      </c>
      <c r="B1702" t="inlineStr">
        <is>
          <t>LC501 .B62 1970</t>
        </is>
      </c>
      <c r="C1702" t="inlineStr">
        <is>
          <t>0                      LC 0501000B  62          1970</t>
        </is>
      </c>
      <c r="D1702" t="inlineStr">
        <is>
          <t>Can Catholic schools survive? / William E. Brown [and] Andrew M. Greeley.</t>
        </is>
      </c>
      <c r="F1702" t="inlineStr">
        <is>
          <t>No</t>
        </is>
      </c>
      <c r="G1702" t="inlineStr">
        <is>
          <t>1</t>
        </is>
      </c>
      <c r="H1702" t="inlineStr">
        <is>
          <t>No</t>
        </is>
      </c>
      <c r="I1702" t="inlineStr">
        <is>
          <t>No</t>
        </is>
      </c>
      <c r="J1702" t="inlineStr">
        <is>
          <t>0</t>
        </is>
      </c>
      <c r="K1702" t="inlineStr">
        <is>
          <t>Brown, William E., 1907-</t>
        </is>
      </c>
      <c r="L1702" t="inlineStr">
        <is>
          <t>New York : Sheed and Ward, [1970]</t>
        </is>
      </c>
      <c r="M1702" t="inlineStr">
        <is>
          <t>1970</t>
        </is>
      </c>
      <c r="O1702" t="inlineStr">
        <is>
          <t>eng</t>
        </is>
      </c>
      <c r="P1702" t="inlineStr">
        <is>
          <t>nyu</t>
        </is>
      </c>
      <c r="R1702" t="inlineStr">
        <is>
          <t xml:space="preserve">LC </t>
        </is>
      </c>
      <c r="S1702" t="n">
        <v>5</v>
      </c>
      <c r="T1702" t="n">
        <v>5</v>
      </c>
      <c r="U1702" t="inlineStr">
        <is>
          <t>2009-07-07</t>
        </is>
      </c>
      <c r="V1702" t="inlineStr">
        <is>
          <t>2009-07-07</t>
        </is>
      </c>
      <c r="W1702" t="inlineStr">
        <is>
          <t>1990-11-02</t>
        </is>
      </c>
      <c r="X1702" t="inlineStr">
        <is>
          <t>1990-11-02</t>
        </is>
      </c>
      <c r="Y1702" t="n">
        <v>437</v>
      </c>
      <c r="Z1702" t="n">
        <v>404</v>
      </c>
      <c r="AA1702" t="n">
        <v>411</v>
      </c>
      <c r="AB1702" t="n">
        <v>7</v>
      </c>
      <c r="AC1702" t="n">
        <v>7</v>
      </c>
      <c r="AD1702" t="n">
        <v>29</v>
      </c>
      <c r="AE1702" t="n">
        <v>29</v>
      </c>
      <c r="AF1702" t="n">
        <v>9</v>
      </c>
      <c r="AG1702" t="n">
        <v>9</v>
      </c>
      <c r="AH1702" t="n">
        <v>5</v>
      </c>
      <c r="AI1702" t="n">
        <v>5</v>
      </c>
      <c r="AJ1702" t="n">
        <v>16</v>
      </c>
      <c r="AK1702" t="n">
        <v>16</v>
      </c>
      <c r="AL1702" t="n">
        <v>4</v>
      </c>
      <c r="AM1702" t="n">
        <v>4</v>
      </c>
      <c r="AN1702" t="n">
        <v>0</v>
      </c>
      <c r="AO1702" t="n">
        <v>0</v>
      </c>
      <c r="AP1702" t="inlineStr">
        <is>
          <t>No</t>
        </is>
      </c>
      <c r="AQ1702" t="inlineStr">
        <is>
          <t>Yes</t>
        </is>
      </c>
      <c r="AR1702">
        <f>HYPERLINK("http://catalog.hathitrust.org/Record/001449865","HathiTrust Record")</f>
        <v/>
      </c>
      <c r="AS1702">
        <f>HYPERLINK("https://creighton-primo.hosted.exlibrisgroup.com/primo-explore/search?tab=default_tab&amp;search_scope=EVERYTHING&amp;vid=01CRU&amp;lang=en_US&amp;offset=0&amp;query=any,contains,991000940709702656","Catalog Record")</f>
        <v/>
      </c>
      <c r="AT1702">
        <f>HYPERLINK("http://www.worldcat.org/oclc/166062","WorldCat Record")</f>
        <v/>
      </c>
      <c r="AU1702" t="inlineStr">
        <is>
          <t>181222503:eng</t>
        </is>
      </c>
      <c r="AV1702" t="inlineStr">
        <is>
          <t>166062</t>
        </is>
      </c>
      <c r="AW1702" t="inlineStr">
        <is>
          <t>991000940709702656</t>
        </is>
      </c>
      <c r="AX1702" t="inlineStr">
        <is>
          <t>991000940709702656</t>
        </is>
      </c>
      <c r="AY1702" t="inlineStr">
        <is>
          <t>2271138650002656</t>
        </is>
      </c>
      <c r="AZ1702" t="inlineStr">
        <is>
          <t>BOOK</t>
        </is>
      </c>
      <c r="BB1702" t="inlineStr">
        <is>
          <t>9780836210798</t>
        </is>
      </c>
      <c r="BC1702" t="inlineStr">
        <is>
          <t>32285000296557</t>
        </is>
      </c>
      <c r="BD1702" t="inlineStr">
        <is>
          <t>893683883</t>
        </is>
      </c>
    </row>
    <row r="1703">
      <c r="A1703" t="inlineStr">
        <is>
          <t>No</t>
        </is>
      </c>
      <c r="B1703" t="inlineStr">
        <is>
          <t>LC501 .D73 1981</t>
        </is>
      </c>
      <c r="C1703" t="inlineStr">
        <is>
          <t>0                      LC 0501000D  73          1981</t>
        </is>
      </c>
      <c r="D1703" t="inlineStr">
        <is>
          <t>The Catholic school principal : an outline for action / Brother Theodore Drahmann.</t>
        </is>
      </c>
      <c r="F1703" t="inlineStr">
        <is>
          <t>No</t>
        </is>
      </c>
      <c r="G1703" t="inlineStr">
        <is>
          <t>1</t>
        </is>
      </c>
      <c r="H1703" t="inlineStr">
        <is>
          <t>No</t>
        </is>
      </c>
      <c r="I1703" t="inlineStr">
        <is>
          <t>No</t>
        </is>
      </c>
      <c r="J1703" t="inlineStr">
        <is>
          <t>0</t>
        </is>
      </c>
      <c r="K1703" t="inlineStr">
        <is>
          <t>Drahmann, Theodore.</t>
        </is>
      </c>
      <c r="L1703" t="inlineStr">
        <is>
          <t>Washington, D.C. : N.C.E.A. c1981, 1982 printing.</t>
        </is>
      </c>
      <c r="M1703" t="inlineStr">
        <is>
          <t>1981</t>
        </is>
      </c>
      <c r="O1703" t="inlineStr">
        <is>
          <t>eng</t>
        </is>
      </c>
      <c r="P1703" t="inlineStr">
        <is>
          <t>dcu</t>
        </is>
      </c>
      <c r="R1703" t="inlineStr">
        <is>
          <t xml:space="preserve">LC </t>
        </is>
      </c>
      <c r="S1703" t="n">
        <v>1</v>
      </c>
      <c r="T1703" t="n">
        <v>1</v>
      </c>
      <c r="U1703" t="inlineStr">
        <is>
          <t>2001-07-09</t>
        </is>
      </c>
      <c r="V1703" t="inlineStr">
        <is>
          <t>2001-07-09</t>
        </is>
      </c>
      <c r="W1703" t="inlineStr">
        <is>
          <t>1992-05-07</t>
        </is>
      </c>
      <c r="X1703" t="inlineStr">
        <is>
          <t>1992-05-07</t>
        </is>
      </c>
      <c r="Y1703" t="n">
        <v>19</v>
      </c>
      <c r="Z1703" t="n">
        <v>18</v>
      </c>
      <c r="AA1703" t="n">
        <v>34</v>
      </c>
      <c r="AB1703" t="n">
        <v>1</v>
      </c>
      <c r="AC1703" t="n">
        <v>1</v>
      </c>
      <c r="AD1703" t="n">
        <v>2</v>
      </c>
      <c r="AE1703" t="n">
        <v>6</v>
      </c>
      <c r="AF1703" t="n">
        <v>0</v>
      </c>
      <c r="AG1703" t="n">
        <v>1</v>
      </c>
      <c r="AH1703" t="n">
        <v>0</v>
      </c>
      <c r="AI1703" t="n">
        <v>1</v>
      </c>
      <c r="AJ1703" t="n">
        <v>2</v>
      </c>
      <c r="AK1703" t="n">
        <v>4</v>
      </c>
      <c r="AL1703" t="n">
        <v>0</v>
      </c>
      <c r="AM1703" t="n">
        <v>0</v>
      </c>
      <c r="AN1703" t="n">
        <v>0</v>
      </c>
      <c r="AO1703" t="n">
        <v>0</v>
      </c>
      <c r="AP1703" t="inlineStr">
        <is>
          <t>No</t>
        </is>
      </c>
      <c r="AQ1703" t="inlineStr">
        <is>
          <t>No</t>
        </is>
      </c>
      <c r="AS1703">
        <f>HYPERLINK("https://creighton-primo.hosted.exlibrisgroup.com/primo-explore/search?tab=default_tab&amp;search_scope=EVERYTHING&amp;vid=01CRU&amp;lang=en_US&amp;offset=0&amp;query=any,contains,991000077489702656","Catalog Record")</f>
        <v/>
      </c>
      <c r="AT1703">
        <f>HYPERLINK("http://www.worldcat.org/oclc/8816600","WorldCat Record")</f>
        <v/>
      </c>
      <c r="AU1703" t="inlineStr">
        <is>
          <t>21733174:eng</t>
        </is>
      </c>
      <c r="AV1703" t="inlineStr">
        <is>
          <t>8816600</t>
        </is>
      </c>
      <c r="AW1703" t="inlineStr">
        <is>
          <t>991000077489702656</t>
        </is>
      </c>
      <c r="AX1703" t="inlineStr">
        <is>
          <t>991000077489702656</t>
        </is>
      </c>
      <c r="AY1703" t="inlineStr">
        <is>
          <t>2272436650002656</t>
        </is>
      </c>
      <c r="AZ1703" t="inlineStr">
        <is>
          <t>BOOK</t>
        </is>
      </c>
      <c r="BC1703" t="inlineStr">
        <is>
          <t>32285001105864</t>
        </is>
      </c>
      <c r="BD1703" t="inlineStr">
        <is>
          <t>893777662</t>
        </is>
      </c>
    </row>
    <row r="1704">
      <c r="A1704" t="inlineStr">
        <is>
          <t>No</t>
        </is>
      </c>
      <c r="B1704" t="inlineStr">
        <is>
          <t>LC501 .K6</t>
        </is>
      </c>
      <c r="C1704" t="inlineStr">
        <is>
          <t>0                      LC 0501000K  6</t>
        </is>
      </c>
      <c r="D1704" t="inlineStr">
        <is>
          <t>Catholic education : a book of readings / edited by Walter B. Kolesnik [and] Edward J. Power.</t>
        </is>
      </c>
      <c r="F1704" t="inlineStr">
        <is>
          <t>No</t>
        </is>
      </c>
      <c r="G1704" t="inlineStr">
        <is>
          <t>1</t>
        </is>
      </c>
      <c r="H1704" t="inlineStr">
        <is>
          <t>No</t>
        </is>
      </c>
      <c r="I1704" t="inlineStr">
        <is>
          <t>No</t>
        </is>
      </c>
      <c r="J1704" t="inlineStr">
        <is>
          <t>0</t>
        </is>
      </c>
      <c r="K1704" t="inlineStr">
        <is>
          <t>Kolesnik, Walter Bernard, 1923- editor.</t>
        </is>
      </c>
      <c r="L1704" t="inlineStr">
        <is>
          <t>New York : McGraw-Hill, [1965]</t>
        </is>
      </c>
      <c r="M1704" t="inlineStr">
        <is>
          <t>1965</t>
        </is>
      </c>
      <c r="O1704" t="inlineStr">
        <is>
          <t>eng</t>
        </is>
      </c>
      <c r="P1704" t="inlineStr">
        <is>
          <t>nyu</t>
        </is>
      </c>
      <c r="Q1704" t="inlineStr">
        <is>
          <t>McGraw-Hill Catholic series in education</t>
        </is>
      </c>
      <c r="R1704" t="inlineStr">
        <is>
          <t xml:space="preserve">LC </t>
        </is>
      </c>
      <c r="S1704" t="n">
        <v>3</v>
      </c>
      <c r="T1704" t="n">
        <v>3</v>
      </c>
      <c r="U1704" t="inlineStr">
        <is>
          <t>1998-11-02</t>
        </is>
      </c>
      <c r="V1704" t="inlineStr">
        <is>
          <t>1998-11-02</t>
        </is>
      </c>
      <c r="W1704" t="inlineStr">
        <is>
          <t>1992-09-23</t>
        </is>
      </c>
      <c r="X1704" t="inlineStr">
        <is>
          <t>1992-09-23</t>
        </is>
      </c>
      <c r="Y1704" t="n">
        <v>280</v>
      </c>
      <c r="Z1704" t="n">
        <v>255</v>
      </c>
      <c r="AA1704" t="n">
        <v>256</v>
      </c>
      <c r="AB1704" t="n">
        <v>4</v>
      </c>
      <c r="AC1704" t="n">
        <v>4</v>
      </c>
      <c r="AD1704" t="n">
        <v>27</v>
      </c>
      <c r="AE1704" t="n">
        <v>27</v>
      </c>
      <c r="AF1704" t="n">
        <v>10</v>
      </c>
      <c r="AG1704" t="n">
        <v>10</v>
      </c>
      <c r="AH1704" t="n">
        <v>7</v>
      </c>
      <c r="AI1704" t="n">
        <v>7</v>
      </c>
      <c r="AJ1704" t="n">
        <v>16</v>
      </c>
      <c r="AK1704" t="n">
        <v>16</v>
      </c>
      <c r="AL1704" t="n">
        <v>3</v>
      </c>
      <c r="AM1704" t="n">
        <v>3</v>
      </c>
      <c r="AN1704" t="n">
        <v>0</v>
      </c>
      <c r="AO1704" t="n">
        <v>0</v>
      </c>
      <c r="AP1704" t="inlineStr">
        <is>
          <t>No</t>
        </is>
      </c>
      <c r="AQ1704" t="inlineStr">
        <is>
          <t>No</t>
        </is>
      </c>
      <c r="AS1704">
        <f>HYPERLINK("https://creighton-primo.hosted.exlibrisgroup.com/primo-explore/search?tab=default_tab&amp;search_scope=EVERYTHING&amp;vid=01CRU&amp;lang=en_US&amp;offset=0&amp;query=any,contains,991003260389702656","Catalog Record")</f>
        <v/>
      </c>
      <c r="AT1704">
        <f>HYPERLINK("http://www.worldcat.org/oclc/786396","WorldCat Record")</f>
        <v/>
      </c>
      <c r="AU1704" t="inlineStr">
        <is>
          <t>1722064:eng</t>
        </is>
      </c>
      <c r="AV1704" t="inlineStr">
        <is>
          <t>786396</t>
        </is>
      </c>
      <c r="AW1704" t="inlineStr">
        <is>
          <t>991003260389702656</t>
        </is>
      </c>
      <c r="AX1704" t="inlineStr">
        <is>
          <t>991003260389702656</t>
        </is>
      </c>
      <c r="AY1704" t="inlineStr">
        <is>
          <t>2262492650002656</t>
        </is>
      </c>
      <c r="AZ1704" t="inlineStr">
        <is>
          <t>BOOK</t>
        </is>
      </c>
      <c r="BC1704" t="inlineStr">
        <is>
          <t>32285001320562</t>
        </is>
      </c>
      <c r="BD1704" t="inlineStr">
        <is>
          <t>893610869</t>
        </is>
      </c>
    </row>
    <row r="1705">
      <c r="A1705" t="inlineStr">
        <is>
          <t>No</t>
        </is>
      </c>
      <c r="B1705" t="inlineStr">
        <is>
          <t>LC501 .L47 1988</t>
        </is>
      </c>
      <c r="C1705" t="inlineStr">
        <is>
          <t>0                      LC 0501000L  47          1988</t>
        </is>
      </c>
      <c r="D1705" t="inlineStr">
        <is>
          <t>Symbolizing society : stories, rites and structure in a Catholic high school / Nancy Lesko.</t>
        </is>
      </c>
      <c r="F1705" t="inlineStr">
        <is>
          <t>No</t>
        </is>
      </c>
      <c r="G1705" t="inlineStr">
        <is>
          <t>1</t>
        </is>
      </c>
      <c r="H1705" t="inlineStr">
        <is>
          <t>No</t>
        </is>
      </c>
      <c r="I1705" t="inlineStr">
        <is>
          <t>No</t>
        </is>
      </c>
      <c r="J1705" t="inlineStr">
        <is>
          <t>0</t>
        </is>
      </c>
      <c r="K1705" t="inlineStr">
        <is>
          <t>Lesko, Nancy.</t>
        </is>
      </c>
      <c r="L1705" t="inlineStr">
        <is>
          <t>New York : Falmer Press, c1988.</t>
        </is>
      </c>
      <c r="M1705" t="inlineStr">
        <is>
          <t>1988</t>
        </is>
      </c>
      <c r="O1705" t="inlineStr">
        <is>
          <t>eng</t>
        </is>
      </c>
      <c r="P1705" t="inlineStr">
        <is>
          <t>nyu</t>
        </is>
      </c>
      <c r="Q1705" t="inlineStr">
        <is>
          <t>Education policy perspectives</t>
        </is>
      </c>
      <c r="R1705" t="inlineStr">
        <is>
          <t xml:space="preserve">LC </t>
        </is>
      </c>
      <c r="S1705" t="n">
        <v>3</v>
      </c>
      <c r="T1705" t="n">
        <v>3</v>
      </c>
      <c r="U1705" t="inlineStr">
        <is>
          <t>1999-02-03</t>
        </is>
      </c>
      <c r="V1705" t="inlineStr">
        <is>
          <t>1999-02-03</t>
        </is>
      </c>
      <c r="W1705" t="inlineStr">
        <is>
          <t>1992-02-06</t>
        </is>
      </c>
      <c r="X1705" t="inlineStr">
        <is>
          <t>1992-02-06</t>
        </is>
      </c>
      <c r="Y1705" t="n">
        <v>236</v>
      </c>
      <c r="Z1705" t="n">
        <v>167</v>
      </c>
      <c r="AA1705" t="n">
        <v>174</v>
      </c>
      <c r="AB1705" t="n">
        <v>2</v>
      </c>
      <c r="AC1705" t="n">
        <v>2</v>
      </c>
      <c r="AD1705" t="n">
        <v>17</v>
      </c>
      <c r="AE1705" t="n">
        <v>17</v>
      </c>
      <c r="AF1705" t="n">
        <v>7</v>
      </c>
      <c r="AG1705" t="n">
        <v>7</v>
      </c>
      <c r="AH1705" t="n">
        <v>5</v>
      </c>
      <c r="AI1705" t="n">
        <v>5</v>
      </c>
      <c r="AJ1705" t="n">
        <v>11</v>
      </c>
      <c r="AK1705" t="n">
        <v>11</v>
      </c>
      <c r="AL1705" t="n">
        <v>1</v>
      </c>
      <c r="AM1705" t="n">
        <v>1</v>
      </c>
      <c r="AN1705" t="n">
        <v>0</v>
      </c>
      <c r="AO1705" t="n">
        <v>0</v>
      </c>
      <c r="AP1705" t="inlineStr">
        <is>
          <t>No</t>
        </is>
      </c>
      <c r="AQ1705" t="inlineStr">
        <is>
          <t>Yes</t>
        </is>
      </c>
      <c r="AR1705">
        <f>HYPERLINK("http://catalog.hathitrust.org/Record/000928781","HathiTrust Record")</f>
        <v/>
      </c>
      <c r="AS1705">
        <f>HYPERLINK("https://creighton-primo.hosted.exlibrisgroup.com/primo-explore/search?tab=default_tab&amp;search_scope=EVERYTHING&amp;vid=01CRU&amp;lang=en_US&amp;offset=0&amp;query=any,contains,991001325499702656","Catalog Record")</f>
        <v/>
      </c>
      <c r="AT1705">
        <f>HYPERLINK("http://www.worldcat.org/oclc/21162574","WorldCat Record")</f>
        <v/>
      </c>
      <c r="AU1705" t="inlineStr">
        <is>
          <t>836862274:eng</t>
        </is>
      </c>
      <c r="AV1705" t="inlineStr">
        <is>
          <t>21162574</t>
        </is>
      </c>
      <c r="AW1705" t="inlineStr">
        <is>
          <t>991001325499702656</t>
        </is>
      </c>
      <c r="AX1705" t="inlineStr">
        <is>
          <t>991001325499702656</t>
        </is>
      </c>
      <c r="AY1705" t="inlineStr">
        <is>
          <t>2267194390002656</t>
        </is>
      </c>
      <c r="AZ1705" t="inlineStr">
        <is>
          <t>BOOK</t>
        </is>
      </c>
      <c r="BB1705" t="inlineStr">
        <is>
          <t>9781850003021</t>
        </is>
      </c>
      <c r="BC1705" t="inlineStr">
        <is>
          <t>32285000943562</t>
        </is>
      </c>
      <c r="BD1705" t="inlineStr">
        <is>
          <t>893497002</t>
        </is>
      </c>
    </row>
    <row r="1706">
      <c r="A1706" t="inlineStr">
        <is>
          <t>No</t>
        </is>
      </c>
      <c r="B1706" t="inlineStr">
        <is>
          <t>LC501 .M66 2000</t>
        </is>
      </c>
      <c r="C1706" t="inlineStr">
        <is>
          <t>0                      LC 0501000M  66          2000</t>
        </is>
      </c>
      <c r="D1706" t="inlineStr">
        <is>
          <t>Comprehensive planning in the Catholic school / by Justin Morrill.</t>
        </is>
      </c>
      <c r="F1706" t="inlineStr">
        <is>
          <t>No</t>
        </is>
      </c>
      <c r="G1706" t="inlineStr">
        <is>
          <t>1</t>
        </is>
      </c>
      <c r="H1706" t="inlineStr">
        <is>
          <t>No</t>
        </is>
      </c>
      <c r="I1706" t="inlineStr">
        <is>
          <t>No</t>
        </is>
      </c>
      <c r="J1706" t="inlineStr">
        <is>
          <t>0</t>
        </is>
      </c>
      <c r="K1706" t="inlineStr">
        <is>
          <t>Morrill, Justin.</t>
        </is>
      </c>
      <c r="L1706" t="inlineStr">
        <is>
          <t>Washington, DC : Secondary Schools Dept., National Catholic Education Association, c2000.</t>
        </is>
      </c>
      <c r="M1706" t="inlineStr">
        <is>
          <t>2000</t>
        </is>
      </c>
      <c r="O1706" t="inlineStr">
        <is>
          <t>eng</t>
        </is>
      </c>
      <c r="P1706" t="inlineStr">
        <is>
          <t>dcu</t>
        </is>
      </c>
      <c r="R1706" t="inlineStr">
        <is>
          <t xml:space="preserve">LC </t>
        </is>
      </c>
      <c r="S1706" t="n">
        <v>4</v>
      </c>
      <c r="T1706" t="n">
        <v>4</v>
      </c>
      <c r="U1706" t="inlineStr">
        <is>
          <t>2008-09-04</t>
        </is>
      </c>
      <c r="V1706" t="inlineStr">
        <is>
          <t>2008-09-04</t>
        </is>
      </c>
      <c r="W1706" t="inlineStr">
        <is>
          <t>2001-03-19</t>
        </is>
      </c>
      <c r="X1706" t="inlineStr">
        <is>
          <t>2001-03-19</t>
        </is>
      </c>
      <c r="Y1706" t="n">
        <v>22</v>
      </c>
      <c r="Z1706" t="n">
        <v>20</v>
      </c>
      <c r="AA1706" t="n">
        <v>20</v>
      </c>
      <c r="AB1706" t="n">
        <v>1</v>
      </c>
      <c r="AC1706" t="n">
        <v>1</v>
      </c>
      <c r="AD1706" t="n">
        <v>5</v>
      </c>
      <c r="AE1706" t="n">
        <v>5</v>
      </c>
      <c r="AF1706" t="n">
        <v>1</v>
      </c>
      <c r="AG1706" t="n">
        <v>1</v>
      </c>
      <c r="AH1706" t="n">
        <v>1</v>
      </c>
      <c r="AI1706" t="n">
        <v>1</v>
      </c>
      <c r="AJ1706" t="n">
        <v>3</v>
      </c>
      <c r="AK1706" t="n">
        <v>3</v>
      </c>
      <c r="AL1706" t="n">
        <v>0</v>
      </c>
      <c r="AM1706" t="n">
        <v>0</v>
      </c>
      <c r="AN1706" t="n">
        <v>0</v>
      </c>
      <c r="AO1706" t="n">
        <v>0</v>
      </c>
      <c r="AP1706" t="inlineStr">
        <is>
          <t>No</t>
        </is>
      </c>
      <c r="AQ1706" t="inlineStr">
        <is>
          <t>No</t>
        </is>
      </c>
      <c r="AS1706">
        <f>HYPERLINK("https://creighton-primo.hosted.exlibrisgroup.com/primo-explore/search?tab=default_tab&amp;search_scope=EVERYTHING&amp;vid=01CRU&amp;lang=en_US&amp;offset=0&amp;query=any,contains,991003516179702656","Catalog Record")</f>
        <v/>
      </c>
      <c r="AT1706">
        <f>HYPERLINK("http://www.worldcat.org/oclc/45835658","WorldCat Record")</f>
        <v/>
      </c>
      <c r="AU1706" t="inlineStr">
        <is>
          <t>4624010088:eng</t>
        </is>
      </c>
      <c r="AV1706" t="inlineStr">
        <is>
          <t>45835658</t>
        </is>
      </c>
      <c r="AW1706" t="inlineStr">
        <is>
          <t>991003516179702656</t>
        </is>
      </c>
      <c r="AX1706" t="inlineStr">
        <is>
          <t>991003516179702656</t>
        </is>
      </c>
      <c r="AY1706" t="inlineStr">
        <is>
          <t>2268271100002656</t>
        </is>
      </c>
      <c r="AZ1706" t="inlineStr">
        <is>
          <t>BOOK</t>
        </is>
      </c>
      <c r="BB1706" t="inlineStr">
        <is>
          <t>9781558332263</t>
        </is>
      </c>
      <c r="BC1706" t="inlineStr">
        <is>
          <t>32285004306055</t>
        </is>
      </c>
      <c r="BD1706" t="inlineStr">
        <is>
          <t>893868505</t>
        </is>
      </c>
    </row>
    <row r="1707">
      <c r="A1707" t="inlineStr">
        <is>
          <t>No</t>
        </is>
      </c>
      <c r="B1707" t="inlineStr">
        <is>
          <t>LC501 .M87 1991</t>
        </is>
      </c>
      <c r="C1707" t="inlineStr">
        <is>
          <t>0                      LC 0501000M  87          1991</t>
        </is>
      </c>
      <c r="D1707" t="inlineStr">
        <is>
          <t>Visions and values in Catholic higher education / [edited by] J. Patrick Murphy.</t>
        </is>
      </c>
      <c r="F1707" t="inlineStr">
        <is>
          <t>No</t>
        </is>
      </c>
      <c r="G1707" t="inlineStr">
        <is>
          <t>1</t>
        </is>
      </c>
      <c r="H1707" t="inlineStr">
        <is>
          <t>No</t>
        </is>
      </c>
      <c r="I1707" t="inlineStr">
        <is>
          <t>No</t>
        </is>
      </c>
      <c r="J1707" t="inlineStr">
        <is>
          <t>0</t>
        </is>
      </c>
      <c r="L1707" t="inlineStr">
        <is>
          <t>Kansas City, MO : Sheed &amp; Ward, c1991.</t>
        </is>
      </c>
      <c r="M1707" t="inlineStr">
        <is>
          <t>1991</t>
        </is>
      </c>
      <c r="O1707" t="inlineStr">
        <is>
          <t>eng</t>
        </is>
      </c>
      <c r="P1707" t="inlineStr">
        <is>
          <t>mou</t>
        </is>
      </c>
      <c r="R1707" t="inlineStr">
        <is>
          <t xml:space="preserve">LC </t>
        </is>
      </c>
      <c r="S1707" t="n">
        <v>5</v>
      </c>
      <c r="T1707" t="n">
        <v>5</v>
      </c>
      <c r="U1707" t="inlineStr">
        <is>
          <t>2006-12-03</t>
        </is>
      </c>
      <c r="V1707" t="inlineStr">
        <is>
          <t>2006-12-03</t>
        </is>
      </c>
      <c r="W1707" t="inlineStr">
        <is>
          <t>1997-02-12</t>
        </is>
      </c>
      <c r="X1707" t="inlineStr">
        <is>
          <t>1997-02-12</t>
        </is>
      </c>
      <c r="Y1707" t="n">
        <v>149</v>
      </c>
      <c r="Z1707" t="n">
        <v>141</v>
      </c>
      <c r="AA1707" t="n">
        <v>149</v>
      </c>
      <c r="AB1707" t="n">
        <v>2</v>
      </c>
      <c r="AC1707" t="n">
        <v>2</v>
      </c>
      <c r="AD1707" t="n">
        <v>20</v>
      </c>
      <c r="AE1707" t="n">
        <v>20</v>
      </c>
      <c r="AF1707" t="n">
        <v>5</v>
      </c>
      <c r="AG1707" t="n">
        <v>5</v>
      </c>
      <c r="AH1707" t="n">
        <v>5</v>
      </c>
      <c r="AI1707" t="n">
        <v>5</v>
      </c>
      <c r="AJ1707" t="n">
        <v>15</v>
      </c>
      <c r="AK1707" t="n">
        <v>15</v>
      </c>
      <c r="AL1707" t="n">
        <v>1</v>
      </c>
      <c r="AM1707" t="n">
        <v>1</v>
      </c>
      <c r="AN1707" t="n">
        <v>0</v>
      </c>
      <c r="AO1707" t="n">
        <v>0</v>
      </c>
      <c r="AP1707" t="inlineStr">
        <is>
          <t>No</t>
        </is>
      </c>
      <c r="AQ1707" t="inlineStr">
        <is>
          <t>Yes</t>
        </is>
      </c>
      <c r="AR1707">
        <f>HYPERLINK("http://catalog.hathitrust.org/Record/002870685","HathiTrust Record")</f>
        <v/>
      </c>
      <c r="AS1707">
        <f>HYPERLINK("https://creighton-primo.hosted.exlibrisgroup.com/primo-explore/search?tab=default_tab&amp;search_scope=EVERYTHING&amp;vid=01CRU&amp;lang=en_US&amp;offset=0&amp;query=any,contains,991001951089702656","Catalog Record")</f>
        <v/>
      </c>
      <c r="AT1707">
        <f>HYPERLINK("http://www.worldcat.org/oclc/24668060","WorldCat Record")</f>
        <v/>
      </c>
      <c r="AU1707" t="inlineStr">
        <is>
          <t>26654460:eng</t>
        </is>
      </c>
      <c r="AV1707" t="inlineStr">
        <is>
          <t>24668060</t>
        </is>
      </c>
      <c r="AW1707" t="inlineStr">
        <is>
          <t>991001951089702656</t>
        </is>
      </c>
      <c r="AX1707" t="inlineStr">
        <is>
          <t>991001951089702656</t>
        </is>
      </c>
      <c r="AY1707" t="inlineStr">
        <is>
          <t>2256802750002656</t>
        </is>
      </c>
      <c r="AZ1707" t="inlineStr">
        <is>
          <t>BOOK</t>
        </is>
      </c>
      <c r="BB1707" t="inlineStr">
        <is>
          <t>9781556124211</t>
        </is>
      </c>
      <c r="BC1707" t="inlineStr">
        <is>
          <t>32285002430493</t>
        </is>
      </c>
      <c r="BD1707" t="inlineStr">
        <is>
          <t>893596872</t>
        </is>
      </c>
    </row>
    <row r="1708">
      <c r="A1708" t="inlineStr">
        <is>
          <t>No</t>
        </is>
      </c>
      <c r="B1708" t="inlineStr">
        <is>
          <t>LC501 .N67</t>
        </is>
      </c>
      <c r="C1708" t="inlineStr">
        <is>
          <t>0                      LC 0501000N  67</t>
        </is>
      </c>
      <c r="D1708" t="inlineStr">
        <is>
          <t>Catholic schools in action; a report, edited by Reginald A. Neuwien.</t>
        </is>
      </c>
      <c r="F1708" t="inlineStr">
        <is>
          <t>No</t>
        </is>
      </c>
      <c r="G1708" t="inlineStr">
        <is>
          <t>1</t>
        </is>
      </c>
      <c r="H1708" t="inlineStr">
        <is>
          <t>No</t>
        </is>
      </c>
      <c r="I1708" t="inlineStr">
        <is>
          <t>No</t>
        </is>
      </c>
      <c r="J1708" t="inlineStr">
        <is>
          <t>0</t>
        </is>
      </c>
      <c r="K1708" t="inlineStr">
        <is>
          <t>Notre Dame Study of Catholic Elementary and Secondary Schools in the United States.</t>
        </is>
      </c>
      <c r="L1708" t="inlineStr">
        <is>
          <t>Notre Dame, University of Notre Dame Press, 1966.</t>
        </is>
      </c>
      <c r="M1708" t="inlineStr">
        <is>
          <t>1966</t>
        </is>
      </c>
      <c r="O1708" t="inlineStr">
        <is>
          <t>eng</t>
        </is>
      </c>
      <c r="P1708" t="inlineStr">
        <is>
          <t>inu</t>
        </is>
      </c>
      <c r="R1708" t="inlineStr">
        <is>
          <t xml:space="preserve">LC </t>
        </is>
      </c>
      <c r="S1708" t="n">
        <v>1</v>
      </c>
      <c r="T1708" t="n">
        <v>1</v>
      </c>
      <c r="U1708" t="inlineStr">
        <is>
          <t>2001-02-27</t>
        </is>
      </c>
      <c r="V1708" t="inlineStr">
        <is>
          <t>2001-02-27</t>
        </is>
      </c>
      <c r="W1708" t="inlineStr">
        <is>
          <t>1997-06-06</t>
        </is>
      </c>
      <c r="X1708" t="inlineStr">
        <is>
          <t>1997-06-06</t>
        </is>
      </c>
      <c r="Y1708" t="n">
        <v>496</v>
      </c>
      <c r="Z1708" t="n">
        <v>453</v>
      </c>
      <c r="AA1708" t="n">
        <v>455</v>
      </c>
      <c r="AB1708" t="n">
        <v>5</v>
      </c>
      <c r="AC1708" t="n">
        <v>5</v>
      </c>
      <c r="AD1708" t="n">
        <v>33</v>
      </c>
      <c r="AE1708" t="n">
        <v>33</v>
      </c>
      <c r="AF1708" t="n">
        <v>10</v>
      </c>
      <c r="AG1708" t="n">
        <v>10</v>
      </c>
      <c r="AH1708" t="n">
        <v>9</v>
      </c>
      <c r="AI1708" t="n">
        <v>9</v>
      </c>
      <c r="AJ1708" t="n">
        <v>21</v>
      </c>
      <c r="AK1708" t="n">
        <v>21</v>
      </c>
      <c r="AL1708" t="n">
        <v>3</v>
      </c>
      <c r="AM1708" t="n">
        <v>3</v>
      </c>
      <c r="AN1708" t="n">
        <v>0</v>
      </c>
      <c r="AO1708" t="n">
        <v>0</v>
      </c>
      <c r="AP1708" t="inlineStr">
        <is>
          <t>No</t>
        </is>
      </c>
      <c r="AQ1708" t="inlineStr">
        <is>
          <t>No</t>
        </is>
      </c>
      <c r="AS1708">
        <f>HYPERLINK("https://creighton-primo.hosted.exlibrisgroup.com/primo-explore/search?tab=default_tab&amp;search_scope=EVERYTHING&amp;vid=01CRU&amp;lang=en_US&amp;offset=0&amp;query=any,contains,991002167829702656","Catalog Record")</f>
        <v/>
      </c>
      <c r="AT1708">
        <f>HYPERLINK("http://www.worldcat.org/oclc/275906","WorldCat Record")</f>
        <v/>
      </c>
      <c r="AU1708" t="inlineStr">
        <is>
          <t>836698637:eng</t>
        </is>
      </c>
      <c r="AV1708" t="inlineStr">
        <is>
          <t>275906</t>
        </is>
      </c>
      <c r="AW1708" t="inlineStr">
        <is>
          <t>991002167829702656</t>
        </is>
      </c>
      <c r="AX1708" t="inlineStr">
        <is>
          <t>991002167829702656</t>
        </is>
      </c>
      <c r="AY1708" t="inlineStr">
        <is>
          <t>2263428040002656</t>
        </is>
      </c>
      <c r="AZ1708" t="inlineStr">
        <is>
          <t>BOOK</t>
        </is>
      </c>
      <c r="BC1708" t="inlineStr">
        <is>
          <t>32285002801867</t>
        </is>
      </c>
      <c r="BD1708" t="inlineStr">
        <is>
          <t>893335003</t>
        </is>
      </c>
    </row>
    <row r="1709">
      <c r="A1709" t="inlineStr">
        <is>
          <t>No</t>
        </is>
      </c>
      <c r="B1709" t="inlineStr">
        <is>
          <t>LC501 .O63 1997</t>
        </is>
      </c>
      <c r="C1709" t="inlineStr">
        <is>
          <t>0                      LC 0501000O  63          1997</t>
        </is>
      </c>
      <c r="D1709" t="inlineStr">
        <is>
          <t>Opening a new Catholic school : a series of case studies / Robert J. Kealey, editor.</t>
        </is>
      </c>
      <c r="F1709" t="inlineStr">
        <is>
          <t>No</t>
        </is>
      </c>
      <c r="G1709" t="inlineStr">
        <is>
          <t>1</t>
        </is>
      </c>
      <c r="H1709" t="inlineStr">
        <is>
          <t>No</t>
        </is>
      </c>
      <c r="I1709" t="inlineStr">
        <is>
          <t>No</t>
        </is>
      </c>
      <c r="J1709" t="inlineStr">
        <is>
          <t>0</t>
        </is>
      </c>
      <c r="L1709" t="inlineStr">
        <is>
          <t>Washington, D.C. : National Catholic Educational Association, c1997.</t>
        </is>
      </c>
      <c r="M1709" t="inlineStr">
        <is>
          <t>1997</t>
        </is>
      </c>
      <c r="O1709" t="inlineStr">
        <is>
          <t>eng</t>
        </is>
      </c>
      <c r="P1709" t="inlineStr">
        <is>
          <t>dcu</t>
        </is>
      </c>
      <c r="R1709" t="inlineStr">
        <is>
          <t xml:space="preserve">LC </t>
        </is>
      </c>
      <c r="S1709" t="n">
        <v>1</v>
      </c>
      <c r="T1709" t="n">
        <v>1</v>
      </c>
      <c r="U1709" t="inlineStr">
        <is>
          <t>1998-11-13</t>
        </is>
      </c>
      <c r="V1709" t="inlineStr">
        <is>
          <t>1998-11-13</t>
        </is>
      </c>
      <c r="W1709" t="inlineStr">
        <is>
          <t>1997-12-11</t>
        </is>
      </c>
      <c r="X1709" t="inlineStr">
        <is>
          <t>1997-12-11</t>
        </is>
      </c>
      <c r="Y1709" t="n">
        <v>33</v>
      </c>
      <c r="Z1709" t="n">
        <v>29</v>
      </c>
      <c r="AA1709" t="n">
        <v>31</v>
      </c>
      <c r="AB1709" t="n">
        <v>1</v>
      </c>
      <c r="AC1709" t="n">
        <v>1</v>
      </c>
      <c r="AD1709" t="n">
        <v>7</v>
      </c>
      <c r="AE1709" t="n">
        <v>7</v>
      </c>
      <c r="AF1709" t="n">
        <v>2</v>
      </c>
      <c r="AG1709" t="n">
        <v>2</v>
      </c>
      <c r="AH1709" t="n">
        <v>2</v>
      </c>
      <c r="AI1709" t="n">
        <v>2</v>
      </c>
      <c r="AJ1709" t="n">
        <v>5</v>
      </c>
      <c r="AK1709" t="n">
        <v>5</v>
      </c>
      <c r="AL1709" t="n">
        <v>0</v>
      </c>
      <c r="AM1709" t="n">
        <v>0</v>
      </c>
      <c r="AN1709" t="n">
        <v>0</v>
      </c>
      <c r="AO1709" t="n">
        <v>0</v>
      </c>
      <c r="AP1709" t="inlineStr">
        <is>
          <t>No</t>
        </is>
      </c>
      <c r="AQ1709" t="inlineStr">
        <is>
          <t>No</t>
        </is>
      </c>
      <c r="AS1709">
        <f>HYPERLINK("https://creighton-primo.hosted.exlibrisgroup.com/primo-explore/search?tab=default_tab&amp;search_scope=EVERYTHING&amp;vid=01CRU&amp;lang=en_US&amp;offset=0&amp;query=any,contains,991002888499702656","Catalog Record")</f>
        <v/>
      </c>
      <c r="AT1709">
        <f>HYPERLINK("http://www.worldcat.org/oclc/38068205","WorldCat Record")</f>
        <v/>
      </c>
      <c r="AU1709" t="inlineStr">
        <is>
          <t>4004691855:eng</t>
        </is>
      </c>
      <c r="AV1709" t="inlineStr">
        <is>
          <t>38068205</t>
        </is>
      </c>
      <c r="AW1709" t="inlineStr">
        <is>
          <t>991002888499702656</t>
        </is>
      </c>
      <c r="AX1709" t="inlineStr">
        <is>
          <t>991002888499702656</t>
        </is>
      </c>
      <c r="AY1709" t="inlineStr">
        <is>
          <t>2261275600002656</t>
        </is>
      </c>
      <c r="AZ1709" t="inlineStr">
        <is>
          <t>BOOK</t>
        </is>
      </c>
      <c r="BB1709" t="inlineStr">
        <is>
          <t>9781558331891</t>
        </is>
      </c>
      <c r="BC1709" t="inlineStr">
        <is>
          <t>32285003266284</t>
        </is>
      </c>
      <c r="BD1709" t="inlineStr">
        <is>
          <t>893335860</t>
        </is>
      </c>
    </row>
    <row r="1710">
      <c r="A1710" t="inlineStr">
        <is>
          <t>No</t>
        </is>
      </c>
      <c r="B1710" t="inlineStr">
        <is>
          <t>LC501 .P76 2001</t>
        </is>
      </c>
      <c r="C1710" t="inlineStr">
        <is>
          <t>0                      LC 0501000P  76          2001</t>
        </is>
      </c>
      <c r="D1710" t="inlineStr">
        <is>
          <t>Programs that educate / collected by Robert J. Kealey.</t>
        </is>
      </c>
      <c r="F1710" t="inlineStr">
        <is>
          <t>No</t>
        </is>
      </c>
      <c r="G1710" t="inlineStr">
        <is>
          <t>1</t>
        </is>
      </c>
      <c r="H1710" t="inlineStr">
        <is>
          <t>No</t>
        </is>
      </c>
      <c r="I1710" t="inlineStr">
        <is>
          <t>No</t>
        </is>
      </c>
      <c r="J1710" t="inlineStr">
        <is>
          <t>0</t>
        </is>
      </c>
      <c r="L1710" t="inlineStr">
        <is>
          <t>Washington, DC : Department of Elementary Schools, National Catholic Educational Association, c2001.</t>
        </is>
      </c>
      <c r="M1710" t="inlineStr">
        <is>
          <t>2001</t>
        </is>
      </c>
      <c r="O1710" t="inlineStr">
        <is>
          <t>eng</t>
        </is>
      </c>
      <c r="P1710" t="inlineStr">
        <is>
          <t xml:space="preserve">xx </t>
        </is>
      </c>
      <c r="R1710" t="inlineStr">
        <is>
          <t xml:space="preserve">LC </t>
        </is>
      </c>
      <c r="S1710" t="n">
        <v>1</v>
      </c>
      <c r="T1710" t="n">
        <v>1</v>
      </c>
      <c r="U1710" t="inlineStr">
        <is>
          <t>2001-05-15</t>
        </is>
      </c>
      <c r="V1710" t="inlineStr">
        <is>
          <t>2001-05-15</t>
        </is>
      </c>
      <c r="W1710" t="inlineStr">
        <is>
          <t>2001-05-15</t>
        </is>
      </c>
      <c r="X1710" t="inlineStr">
        <is>
          <t>2001-05-15</t>
        </is>
      </c>
      <c r="Y1710" t="n">
        <v>22</v>
      </c>
      <c r="Z1710" t="n">
        <v>20</v>
      </c>
      <c r="AA1710" t="n">
        <v>23</v>
      </c>
      <c r="AB1710" t="n">
        <v>1</v>
      </c>
      <c r="AC1710" t="n">
        <v>1</v>
      </c>
      <c r="AD1710" t="n">
        <v>7</v>
      </c>
      <c r="AE1710" t="n">
        <v>7</v>
      </c>
      <c r="AF1710" t="n">
        <v>3</v>
      </c>
      <c r="AG1710" t="n">
        <v>3</v>
      </c>
      <c r="AH1710" t="n">
        <v>1</v>
      </c>
      <c r="AI1710" t="n">
        <v>1</v>
      </c>
      <c r="AJ1710" t="n">
        <v>5</v>
      </c>
      <c r="AK1710" t="n">
        <v>5</v>
      </c>
      <c r="AL1710" t="n">
        <v>0</v>
      </c>
      <c r="AM1710" t="n">
        <v>0</v>
      </c>
      <c r="AN1710" t="n">
        <v>0</v>
      </c>
      <c r="AO1710" t="n">
        <v>0</v>
      </c>
      <c r="AP1710" t="inlineStr">
        <is>
          <t>No</t>
        </is>
      </c>
      <c r="AQ1710" t="inlineStr">
        <is>
          <t>No</t>
        </is>
      </c>
      <c r="AS1710">
        <f>HYPERLINK("https://creighton-primo.hosted.exlibrisgroup.com/primo-explore/search?tab=default_tab&amp;search_scope=EVERYTHING&amp;vid=01CRU&amp;lang=en_US&amp;offset=0&amp;query=any,contains,991003531429702656","Catalog Record")</f>
        <v/>
      </c>
      <c r="AT1710">
        <f>HYPERLINK("http://www.worldcat.org/oclc/46894059","WorldCat Record")</f>
        <v/>
      </c>
      <c r="AU1710" t="inlineStr">
        <is>
          <t>36301143:eng</t>
        </is>
      </c>
      <c r="AV1710" t="inlineStr">
        <is>
          <t>46894059</t>
        </is>
      </c>
      <c r="AW1710" t="inlineStr">
        <is>
          <t>991003531429702656</t>
        </is>
      </c>
      <c r="AX1710" t="inlineStr">
        <is>
          <t>991003531429702656</t>
        </is>
      </c>
      <c r="AY1710" t="inlineStr">
        <is>
          <t>2268705820002656</t>
        </is>
      </c>
      <c r="AZ1710" t="inlineStr">
        <is>
          <t>BOOK</t>
        </is>
      </c>
      <c r="BB1710" t="inlineStr">
        <is>
          <t>9781558332621</t>
        </is>
      </c>
      <c r="BC1710" t="inlineStr">
        <is>
          <t>32285004317516</t>
        </is>
      </c>
      <c r="BD1710" t="inlineStr">
        <is>
          <t>893324158</t>
        </is>
      </c>
    </row>
    <row r="1711">
      <c r="A1711" t="inlineStr">
        <is>
          <t>No</t>
        </is>
      </c>
      <c r="B1711" t="inlineStr">
        <is>
          <t>LC501 .W24</t>
        </is>
      </c>
      <c r="C1711" t="inlineStr">
        <is>
          <t>0                      LC 0501000W  24</t>
        </is>
      </c>
      <c r="D1711" t="inlineStr">
        <is>
          <t>Teaching and morality.</t>
        </is>
      </c>
      <c r="F1711" t="inlineStr">
        <is>
          <t>No</t>
        </is>
      </c>
      <c r="G1711" t="inlineStr">
        <is>
          <t>1</t>
        </is>
      </c>
      <c r="H1711" t="inlineStr">
        <is>
          <t>No</t>
        </is>
      </c>
      <c r="I1711" t="inlineStr">
        <is>
          <t>No</t>
        </is>
      </c>
      <c r="J1711" t="inlineStr">
        <is>
          <t>0</t>
        </is>
      </c>
      <c r="K1711" t="inlineStr">
        <is>
          <t>Wade, Francis C.</t>
        </is>
      </c>
      <c r="L1711" t="inlineStr">
        <is>
          <t>[Chicago] : Loyola University Press, 1963.</t>
        </is>
      </c>
      <c r="M1711" t="inlineStr">
        <is>
          <t>1963</t>
        </is>
      </c>
      <c r="O1711" t="inlineStr">
        <is>
          <t>eng</t>
        </is>
      </c>
      <c r="P1711" t="inlineStr">
        <is>
          <t xml:space="preserve">xx </t>
        </is>
      </c>
      <c r="R1711" t="inlineStr">
        <is>
          <t xml:space="preserve">LC </t>
        </is>
      </c>
      <c r="S1711" t="n">
        <v>1</v>
      </c>
      <c r="T1711" t="n">
        <v>1</v>
      </c>
      <c r="U1711" t="inlineStr">
        <is>
          <t>1992-05-14</t>
        </is>
      </c>
      <c r="V1711" t="inlineStr">
        <is>
          <t>1992-05-14</t>
        </is>
      </c>
      <c r="W1711" t="inlineStr">
        <is>
          <t>1991-10-18</t>
        </is>
      </c>
      <c r="X1711" t="inlineStr">
        <is>
          <t>1991-10-18</t>
        </is>
      </c>
      <c r="Y1711" t="n">
        <v>188</v>
      </c>
      <c r="Z1711" t="n">
        <v>164</v>
      </c>
      <c r="AA1711" t="n">
        <v>165</v>
      </c>
      <c r="AB1711" t="n">
        <v>2</v>
      </c>
      <c r="AC1711" t="n">
        <v>2</v>
      </c>
      <c r="AD1711" t="n">
        <v>17</v>
      </c>
      <c r="AE1711" t="n">
        <v>17</v>
      </c>
      <c r="AF1711" t="n">
        <v>3</v>
      </c>
      <c r="AG1711" t="n">
        <v>3</v>
      </c>
      <c r="AH1711" t="n">
        <v>4</v>
      </c>
      <c r="AI1711" t="n">
        <v>4</v>
      </c>
      <c r="AJ1711" t="n">
        <v>15</v>
      </c>
      <c r="AK1711" t="n">
        <v>15</v>
      </c>
      <c r="AL1711" t="n">
        <v>1</v>
      </c>
      <c r="AM1711" t="n">
        <v>1</v>
      </c>
      <c r="AN1711" t="n">
        <v>0</v>
      </c>
      <c r="AO1711" t="n">
        <v>0</v>
      </c>
      <c r="AP1711" t="inlineStr">
        <is>
          <t>No</t>
        </is>
      </c>
      <c r="AQ1711" t="inlineStr">
        <is>
          <t>Yes</t>
        </is>
      </c>
      <c r="AR1711">
        <f>HYPERLINK("http://catalog.hathitrust.org/Record/006227865","HathiTrust Record")</f>
        <v/>
      </c>
      <c r="AS1711">
        <f>HYPERLINK("https://creighton-primo.hosted.exlibrisgroup.com/primo-explore/search?tab=default_tab&amp;search_scope=EVERYTHING&amp;vid=01CRU&amp;lang=en_US&amp;offset=0&amp;query=any,contains,991001173469702656","Catalog Record")</f>
        <v/>
      </c>
      <c r="AT1711">
        <f>HYPERLINK("http://www.worldcat.org/oclc/188399","WorldCat Record")</f>
        <v/>
      </c>
      <c r="AU1711" t="inlineStr">
        <is>
          <t>1342221:eng</t>
        </is>
      </c>
      <c r="AV1711" t="inlineStr">
        <is>
          <t>188399</t>
        </is>
      </c>
      <c r="AW1711" t="inlineStr">
        <is>
          <t>991001173469702656</t>
        </is>
      </c>
      <c r="AX1711" t="inlineStr">
        <is>
          <t>991001173469702656</t>
        </is>
      </c>
      <c r="AY1711" t="inlineStr">
        <is>
          <t>2265500850002656</t>
        </is>
      </c>
      <c r="AZ1711" t="inlineStr">
        <is>
          <t>BOOK</t>
        </is>
      </c>
      <c r="BC1711" t="inlineStr">
        <is>
          <t>32285000775196</t>
        </is>
      </c>
      <c r="BD1711" t="inlineStr">
        <is>
          <t>893709049</t>
        </is>
      </c>
    </row>
    <row r="1712">
      <c r="A1712" t="inlineStr">
        <is>
          <t>No</t>
        </is>
      </c>
      <c r="B1712" t="inlineStr">
        <is>
          <t>LC501 .W46 1998</t>
        </is>
      </c>
      <c r="C1712" t="inlineStr">
        <is>
          <t>0                      LC 0501000W  46          1998</t>
        </is>
      </c>
      <c r="D1712" t="inlineStr">
        <is>
          <t>Why small Catholic schools succeed / Robert J. Kealey, editor.</t>
        </is>
      </c>
      <c r="F1712" t="inlineStr">
        <is>
          <t>No</t>
        </is>
      </c>
      <c r="G1712" t="inlineStr">
        <is>
          <t>1</t>
        </is>
      </c>
      <c r="H1712" t="inlineStr">
        <is>
          <t>No</t>
        </is>
      </c>
      <c r="I1712" t="inlineStr">
        <is>
          <t>No</t>
        </is>
      </c>
      <c r="J1712" t="inlineStr">
        <is>
          <t>0</t>
        </is>
      </c>
      <c r="L1712" t="inlineStr">
        <is>
          <t>Washington, D.C. : Department of Elementary Schools, National Catholic Educational Association, c1998.</t>
        </is>
      </c>
      <c r="M1712" t="inlineStr">
        <is>
          <t>1998</t>
        </is>
      </c>
      <c r="O1712" t="inlineStr">
        <is>
          <t>eng</t>
        </is>
      </c>
      <c r="P1712" t="inlineStr">
        <is>
          <t>dcu</t>
        </is>
      </c>
      <c r="R1712" t="inlineStr">
        <is>
          <t xml:space="preserve">LC </t>
        </is>
      </c>
      <c r="S1712" t="n">
        <v>2</v>
      </c>
      <c r="T1712" t="n">
        <v>2</v>
      </c>
      <c r="U1712" t="inlineStr">
        <is>
          <t>2004-06-02</t>
        </is>
      </c>
      <c r="V1712" t="inlineStr">
        <is>
          <t>2004-06-02</t>
        </is>
      </c>
      <c r="W1712" t="inlineStr">
        <is>
          <t>1998-10-08</t>
        </is>
      </c>
      <c r="X1712" t="inlineStr">
        <is>
          <t>1998-10-08</t>
        </is>
      </c>
      <c r="Y1712" t="n">
        <v>35</v>
      </c>
      <c r="Z1712" t="n">
        <v>31</v>
      </c>
      <c r="AA1712" t="n">
        <v>33</v>
      </c>
      <c r="AB1712" t="n">
        <v>1</v>
      </c>
      <c r="AC1712" t="n">
        <v>1</v>
      </c>
      <c r="AD1712" t="n">
        <v>7</v>
      </c>
      <c r="AE1712" t="n">
        <v>7</v>
      </c>
      <c r="AF1712" t="n">
        <v>3</v>
      </c>
      <c r="AG1712" t="n">
        <v>3</v>
      </c>
      <c r="AH1712" t="n">
        <v>1</v>
      </c>
      <c r="AI1712" t="n">
        <v>1</v>
      </c>
      <c r="AJ1712" t="n">
        <v>5</v>
      </c>
      <c r="AK1712" t="n">
        <v>5</v>
      </c>
      <c r="AL1712" t="n">
        <v>0</v>
      </c>
      <c r="AM1712" t="n">
        <v>0</v>
      </c>
      <c r="AN1712" t="n">
        <v>0</v>
      </c>
      <c r="AO1712" t="n">
        <v>0</v>
      </c>
      <c r="AP1712" t="inlineStr">
        <is>
          <t>No</t>
        </is>
      </c>
      <c r="AQ1712" t="inlineStr">
        <is>
          <t>No</t>
        </is>
      </c>
      <c r="AS1712">
        <f>HYPERLINK("https://creighton-primo.hosted.exlibrisgroup.com/primo-explore/search?tab=default_tab&amp;search_scope=EVERYTHING&amp;vid=01CRU&amp;lang=en_US&amp;offset=0&amp;query=any,contains,991002978259702656","Catalog Record")</f>
        <v/>
      </c>
      <c r="AT1712">
        <f>HYPERLINK("http://www.worldcat.org/oclc/39979692","WorldCat Record")</f>
        <v/>
      </c>
      <c r="AU1712" t="inlineStr">
        <is>
          <t>4018530395:eng</t>
        </is>
      </c>
      <c r="AV1712" t="inlineStr">
        <is>
          <t>39979692</t>
        </is>
      </c>
      <c r="AW1712" t="inlineStr">
        <is>
          <t>991002978259702656</t>
        </is>
      </c>
      <c r="AX1712" t="inlineStr">
        <is>
          <t>991002978259702656</t>
        </is>
      </c>
      <c r="AY1712" t="inlineStr">
        <is>
          <t>2271740000002656</t>
        </is>
      </c>
      <c r="AZ1712" t="inlineStr">
        <is>
          <t>BOOK</t>
        </is>
      </c>
      <c r="BB1712" t="inlineStr">
        <is>
          <t>9781558332140</t>
        </is>
      </c>
      <c r="BC1712" t="inlineStr">
        <is>
          <t>32285003474110</t>
        </is>
      </c>
      <c r="BD1712" t="inlineStr">
        <is>
          <t>893604303</t>
        </is>
      </c>
    </row>
    <row r="1713">
      <c r="A1713" t="inlineStr">
        <is>
          <t>No</t>
        </is>
      </c>
      <c r="B1713" t="inlineStr">
        <is>
          <t>LC501 .W55</t>
        </is>
      </c>
      <c r="C1713" t="inlineStr">
        <is>
          <t>0                      LC 0501000W  55</t>
        </is>
      </c>
      <c r="D1713" t="inlineStr">
        <is>
          <t>Why should the Catholic university survive? : a study of the character and commitments of Catholic higher education / George A. Kelly, editor.</t>
        </is>
      </c>
      <c r="F1713" t="inlineStr">
        <is>
          <t>No</t>
        </is>
      </c>
      <c r="G1713" t="inlineStr">
        <is>
          <t>1</t>
        </is>
      </c>
      <c r="H1713" t="inlineStr">
        <is>
          <t>No</t>
        </is>
      </c>
      <c r="I1713" t="inlineStr">
        <is>
          <t>No</t>
        </is>
      </c>
      <c r="J1713" t="inlineStr">
        <is>
          <t>0</t>
        </is>
      </c>
      <c r="L1713" t="inlineStr">
        <is>
          <t>[New York : St. John's University Press, 1974, c1973]</t>
        </is>
      </c>
      <c r="M1713" t="inlineStr">
        <is>
          <t>1974</t>
        </is>
      </c>
      <c r="O1713" t="inlineStr">
        <is>
          <t>eng</t>
        </is>
      </c>
      <c r="P1713" t="inlineStr">
        <is>
          <t>nyu</t>
        </is>
      </c>
      <c r="R1713" t="inlineStr">
        <is>
          <t xml:space="preserve">LC </t>
        </is>
      </c>
      <c r="S1713" t="n">
        <v>3</v>
      </c>
      <c r="T1713" t="n">
        <v>3</v>
      </c>
      <c r="U1713" t="inlineStr">
        <is>
          <t>1995-03-23</t>
        </is>
      </c>
      <c r="V1713" t="inlineStr">
        <is>
          <t>1995-03-23</t>
        </is>
      </c>
      <c r="W1713" t="inlineStr">
        <is>
          <t>1992-09-30</t>
        </is>
      </c>
      <c r="X1713" t="inlineStr">
        <is>
          <t>1992-09-30</t>
        </is>
      </c>
      <c r="Y1713" t="n">
        <v>129</v>
      </c>
      <c r="Z1713" t="n">
        <v>123</v>
      </c>
      <c r="AA1713" t="n">
        <v>128</v>
      </c>
      <c r="AB1713" t="n">
        <v>1</v>
      </c>
      <c r="AC1713" t="n">
        <v>1</v>
      </c>
      <c r="AD1713" t="n">
        <v>20</v>
      </c>
      <c r="AE1713" t="n">
        <v>20</v>
      </c>
      <c r="AF1713" t="n">
        <v>6</v>
      </c>
      <c r="AG1713" t="n">
        <v>6</v>
      </c>
      <c r="AH1713" t="n">
        <v>6</v>
      </c>
      <c r="AI1713" t="n">
        <v>6</v>
      </c>
      <c r="AJ1713" t="n">
        <v>17</v>
      </c>
      <c r="AK1713" t="n">
        <v>17</v>
      </c>
      <c r="AL1713" t="n">
        <v>0</v>
      </c>
      <c r="AM1713" t="n">
        <v>0</v>
      </c>
      <c r="AN1713" t="n">
        <v>0</v>
      </c>
      <c r="AO1713" t="n">
        <v>0</v>
      </c>
      <c r="AP1713" t="inlineStr">
        <is>
          <t>No</t>
        </is>
      </c>
      <c r="AQ1713" t="inlineStr">
        <is>
          <t>Yes</t>
        </is>
      </c>
      <c r="AR1713">
        <f>HYPERLINK("http://catalog.hathitrust.org/Record/006227909","HathiTrust Record")</f>
        <v/>
      </c>
      <c r="AS1713">
        <f>HYPERLINK("https://creighton-primo.hosted.exlibrisgroup.com/primo-explore/search?tab=default_tab&amp;search_scope=EVERYTHING&amp;vid=01CRU&amp;lang=en_US&amp;offset=0&amp;query=any,contains,991003225539702656","Catalog Record")</f>
        <v/>
      </c>
      <c r="AT1713">
        <f>HYPERLINK("http://www.worldcat.org/oclc/749966","WorldCat Record")</f>
        <v/>
      </c>
      <c r="AU1713" t="inlineStr">
        <is>
          <t>1832790:eng</t>
        </is>
      </c>
      <c r="AV1713" t="inlineStr">
        <is>
          <t>749966</t>
        </is>
      </c>
      <c r="AW1713" t="inlineStr">
        <is>
          <t>991003225539702656</t>
        </is>
      </c>
      <c r="AX1713" t="inlineStr">
        <is>
          <t>991003225539702656</t>
        </is>
      </c>
      <c r="AY1713" t="inlineStr">
        <is>
          <t>2255268530002656</t>
        </is>
      </c>
      <c r="AZ1713" t="inlineStr">
        <is>
          <t>BOOK</t>
        </is>
      </c>
      <c r="BB1713" t="inlineStr">
        <is>
          <t>9780870750717</t>
        </is>
      </c>
      <c r="BC1713" t="inlineStr">
        <is>
          <t>32285001322642</t>
        </is>
      </c>
      <c r="BD1713" t="inlineStr">
        <is>
          <t>893623269</t>
        </is>
      </c>
    </row>
    <row r="1714">
      <c r="A1714" t="inlineStr">
        <is>
          <t>No</t>
        </is>
      </c>
      <c r="B1714" t="inlineStr">
        <is>
          <t>LC501 .W57 2003</t>
        </is>
      </c>
      <c r="C1714" t="inlineStr">
        <is>
          <t>0                      LC 0501000W  57          2003</t>
        </is>
      </c>
      <c r="D1714" t="inlineStr">
        <is>
          <t>Effective Catholic high school public relations : a book of cases / Eileen Wirth.</t>
        </is>
      </c>
      <c r="F1714" t="inlineStr">
        <is>
          <t>No</t>
        </is>
      </c>
      <c r="G1714" t="inlineStr">
        <is>
          <t>1</t>
        </is>
      </c>
      <c r="H1714" t="inlineStr">
        <is>
          <t>No</t>
        </is>
      </c>
      <c r="I1714" t="inlineStr">
        <is>
          <t>No</t>
        </is>
      </c>
      <c r="J1714" t="inlineStr">
        <is>
          <t>0</t>
        </is>
      </c>
      <c r="K1714" t="inlineStr">
        <is>
          <t>Wirth, Eileen M., 1947-</t>
        </is>
      </c>
      <c r="L1714" t="inlineStr">
        <is>
          <t>Washington, DC : National Catholic Educational Association, 2003.</t>
        </is>
      </c>
      <c r="M1714" t="inlineStr">
        <is>
          <t>2003</t>
        </is>
      </c>
      <c r="O1714" t="inlineStr">
        <is>
          <t>eng</t>
        </is>
      </c>
      <c r="P1714" t="inlineStr">
        <is>
          <t>dcu</t>
        </is>
      </c>
      <c r="R1714" t="inlineStr">
        <is>
          <t xml:space="preserve">LC </t>
        </is>
      </c>
      <c r="S1714" t="n">
        <v>4</v>
      </c>
      <c r="T1714" t="n">
        <v>4</v>
      </c>
      <c r="U1714" t="inlineStr">
        <is>
          <t>2005-05-03</t>
        </is>
      </c>
      <c r="V1714" t="inlineStr">
        <is>
          <t>2005-05-03</t>
        </is>
      </c>
      <c r="W1714" t="inlineStr">
        <is>
          <t>2003-12-02</t>
        </is>
      </c>
      <c r="X1714" t="inlineStr">
        <is>
          <t>2003-12-02</t>
        </is>
      </c>
      <c r="Y1714" t="n">
        <v>25</v>
      </c>
      <c r="Z1714" t="n">
        <v>21</v>
      </c>
      <c r="AA1714" t="n">
        <v>21</v>
      </c>
      <c r="AB1714" t="n">
        <v>1</v>
      </c>
      <c r="AC1714" t="n">
        <v>1</v>
      </c>
      <c r="AD1714" t="n">
        <v>9</v>
      </c>
      <c r="AE1714" t="n">
        <v>9</v>
      </c>
      <c r="AF1714" t="n">
        <v>3</v>
      </c>
      <c r="AG1714" t="n">
        <v>3</v>
      </c>
      <c r="AH1714" t="n">
        <v>2</v>
      </c>
      <c r="AI1714" t="n">
        <v>2</v>
      </c>
      <c r="AJ1714" t="n">
        <v>7</v>
      </c>
      <c r="AK1714" t="n">
        <v>7</v>
      </c>
      <c r="AL1714" t="n">
        <v>0</v>
      </c>
      <c r="AM1714" t="n">
        <v>0</v>
      </c>
      <c r="AN1714" t="n">
        <v>0</v>
      </c>
      <c r="AO1714" t="n">
        <v>0</v>
      </c>
      <c r="AP1714" t="inlineStr">
        <is>
          <t>No</t>
        </is>
      </c>
      <c r="AQ1714" t="inlineStr">
        <is>
          <t>No</t>
        </is>
      </c>
      <c r="AS1714">
        <f>HYPERLINK("https://creighton-primo.hosted.exlibrisgroup.com/primo-explore/search?tab=default_tab&amp;search_scope=EVERYTHING&amp;vid=01CRU&amp;lang=en_US&amp;offset=0&amp;query=any,contains,991004056959702656","Catalog Record")</f>
        <v/>
      </c>
      <c r="AT1714">
        <f>HYPERLINK("http://www.worldcat.org/oclc/53236204","WorldCat Record")</f>
        <v/>
      </c>
      <c r="AU1714" t="inlineStr">
        <is>
          <t>11605476:eng</t>
        </is>
      </c>
      <c r="AV1714" t="inlineStr">
        <is>
          <t>53236204</t>
        </is>
      </c>
      <c r="AW1714" t="inlineStr">
        <is>
          <t>991004056959702656</t>
        </is>
      </c>
      <c r="AX1714" t="inlineStr">
        <is>
          <t>991004056959702656</t>
        </is>
      </c>
      <c r="AY1714" t="inlineStr">
        <is>
          <t>2258260320002656</t>
        </is>
      </c>
      <c r="AZ1714" t="inlineStr">
        <is>
          <t>BOOK</t>
        </is>
      </c>
      <c r="BB1714" t="inlineStr">
        <is>
          <t>9781558332942</t>
        </is>
      </c>
      <c r="BC1714" t="inlineStr">
        <is>
          <t>32285004843719</t>
        </is>
      </c>
      <c r="BD1714" t="inlineStr">
        <is>
          <t>893531931</t>
        </is>
      </c>
    </row>
    <row r="1715">
      <c r="A1715" t="inlineStr">
        <is>
          <t>No</t>
        </is>
      </c>
      <c r="B1715" t="inlineStr">
        <is>
          <t>LC501 .W57 2004</t>
        </is>
      </c>
      <c r="C1715" t="inlineStr">
        <is>
          <t>0                      LC 0501000W  57          2004</t>
        </is>
      </c>
      <c r="D1715" t="inlineStr">
        <is>
          <t>Communication tactics, tips &amp; tools for Catholic Education Boards / Eileen Wirth.</t>
        </is>
      </c>
      <c r="F1715" t="inlineStr">
        <is>
          <t>No</t>
        </is>
      </c>
      <c r="G1715" t="inlineStr">
        <is>
          <t>1</t>
        </is>
      </c>
      <c r="H1715" t="inlineStr">
        <is>
          <t>No</t>
        </is>
      </c>
      <c r="I1715" t="inlineStr">
        <is>
          <t>No</t>
        </is>
      </c>
      <c r="J1715" t="inlineStr">
        <is>
          <t>0</t>
        </is>
      </c>
      <c r="K1715" t="inlineStr">
        <is>
          <t>Wirth, Eileen M., 1947-</t>
        </is>
      </c>
      <c r="L1715" t="inlineStr">
        <is>
          <t>Washington, DC : National Catholic Educational Association, c2004.</t>
        </is>
      </c>
      <c r="M1715" t="inlineStr">
        <is>
          <t>2004</t>
        </is>
      </c>
      <c r="O1715" t="inlineStr">
        <is>
          <t>eng</t>
        </is>
      </c>
      <c r="P1715" t="inlineStr">
        <is>
          <t>dcu</t>
        </is>
      </c>
      <c r="R1715" t="inlineStr">
        <is>
          <t xml:space="preserve">LC </t>
        </is>
      </c>
      <c r="S1715" t="n">
        <v>1</v>
      </c>
      <c r="T1715" t="n">
        <v>1</v>
      </c>
      <c r="U1715" t="inlineStr">
        <is>
          <t>2005-04-18</t>
        </is>
      </c>
      <c r="V1715" t="inlineStr">
        <is>
          <t>2005-04-18</t>
        </is>
      </c>
      <c r="W1715" t="inlineStr">
        <is>
          <t>2005-04-18</t>
        </is>
      </c>
      <c r="X1715" t="inlineStr">
        <is>
          <t>2005-04-18</t>
        </is>
      </c>
      <c r="Y1715" t="n">
        <v>21</v>
      </c>
      <c r="Z1715" t="n">
        <v>18</v>
      </c>
      <c r="AA1715" t="n">
        <v>18</v>
      </c>
      <c r="AB1715" t="n">
        <v>1</v>
      </c>
      <c r="AC1715" t="n">
        <v>1</v>
      </c>
      <c r="AD1715" t="n">
        <v>5</v>
      </c>
      <c r="AE1715" t="n">
        <v>5</v>
      </c>
      <c r="AF1715" t="n">
        <v>2</v>
      </c>
      <c r="AG1715" t="n">
        <v>2</v>
      </c>
      <c r="AH1715" t="n">
        <v>1</v>
      </c>
      <c r="AI1715" t="n">
        <v>1</v>
      </c>
      <c r="AJ1715" t="n">
        <v>3</v>
      </c>
      <c r="AK1715" t="n">
        <v>3</v>
      </c>
      <c r="AL1715" t="n">
        <v>0</v>
      </c>
      <c r="AM1715" t="n">
        <v>0</v>
      </c>
      <c r="AN1715" t="n">
        <v>0</v>
      </c>
      <c r="AO1715" t="n">
        <v>0</v>
      </c>
      <c r="AP1715" t="inlineStr">
        <is>
          <t>No</t>
        </is>
      </c>
      <c r="AQ1715" t="inlineStr">
        <is>
          <t>No</t>
        </is>
      </c>
      <c r="AS1715">
        <f>HYPERLINK("https://creighton-primo.hosted.exlibrisgroup.com/primo-explore/search?tab=default_tab&amp;search_scope=EVERYTHING&amp;vid=01CRU&amp;lang=en_US&amp;offset=0&amp;query=any,contains,991004464679702656","Catalog Record")</f>
        <v/>
      </c>
      <c r="AT1715">
        <f>HYPERLINK("http://www.worldcat.org/oclc/57618813","WorldCat Record")</f>
        <v/>
      </c>
      <c r="AU1715" t="inlineStr">
        <is>
          <t>18812911:eng</t>
        </is>
      </c>
      <c r="AV1715" t="inlineStr">
        <is>
          <t>57618813</t>
        </is>
      </c>
      <c r="AW1715" t="inlineStr">
        <is>
          <t>991004464679702656</t>
        </is>
      </c>
      <c r="AX1715" t="inlineStr">
        <is>
          <t>991004464679702656</t>
        </is>
      </c>
      <c r="AY1715" t="inlineStr">
        <is>
          <t>2272446060002656</t>
        </is>
      </c>
      <c r="AZ1715" t="inlineStr">
        <is>
          <t>BOOK</t>
        </is>
      </c>
      <c r="BB1715" t="inlineStr">
        <is>
          <t>9781558333345</t>
        </is>
      </c>
      <c r="BC1715" t="inlineStr">
        <is>
          <t>32285005031157</t>
        </is>
      </c>
      <c r="BD1715" t="inlineStr">
        <is>
          <t>893319253</t>
        </is>
      </c>
    </row>
    <row r="1716">
      <c r="A1716" t="inlineStr">
        <is>
          <t>No</t>
        </is>
      </c>
      <c r="B1716" t="inlineStr">
        <is>
          <t>LC503.G35 K56 2003</t>
        </is>
      </c>
      <c r="C1716" t="inlineStr">
        <is>
          <t>0                      LC 0503000G  35                 K  56          2003</t>
        </is>
      </c>
      <c r="D1716" t="inlineStr">
        <is>
          <t>Issues in education : the development of Catholic education in the Diocese of Galveston-Houston / Georgia B. Kimmey.</t>
        </is>
      </c>
      <c r="F1716" t="inlineStr">
        <is>
          <t>No</t>
        </is>
      </c>
      <c r="G1716" t="inlineStr">
        <is>
          <t>1</t>
        </is>
      </c>
      <c r="H1716" t="inlineStr">
        <is>
          <t>No</t>
        </is>
      </c>
      <c r="I1716" t="inlineStr">
        <is>
          <t>No</t>
        </is>
      </c>
      <c r="J1716" t="inlineStr">
        <is>
          <t>0</t>
        </is>
      </c>
      <c r="K1716" t="inlineStr">
        <is>
          <t>Kimmey, Georgia B.</t>
        </is>
      </c>
      <c r="L1716" t="inlineStr">
        <is>
          <t>Lanham, Md. : University Press of America, c2003.</t>
        </is>
      </c>
      <c r="M1716" t="inlineStr">
        <is>
          <t>2003</t>
        </is>
      </c>
      <c r="O1716" t="inlineStr">
        <is>
          <t>eng</t>
        </is>
      </c>
      <c r="P1716" t="inlineStr">
        <is>
          <t>mdu</t>
        </is>
      </c>
      <c r="R1716" t="inlineStr">
        <is>
          <t xml:space="preserve">LC </t>
        </is>
      </c>
      <c r="S1716" t="n">
        <v>2</v>
      </c>
      <c r="T1716" t="n">
        <v>2</v>
      </c>
      <c r="U1716" t="inlineStr">
        <is>
          <t>2007-09-28</t>
        </is>
      </c>
      <c r="V1716" t="inlineStr">
        <is>
          <t>2007-09-28</t>
        </is>
      </c>
      <c r="W1716" t="inlineStr">
        <is>
          <t>2003-11-08</t>
        </is>
      </c>
      <c r="X1716" t="inlineStr">
        <is>
          <t>2003-11-08</t>
        </is>
      </c>
      <c r="Y1716" t="n">
        <v>51</v>
      </c>
      <c r="Z1716" t="n">
        <v>50</v>
      </c>
      <c r="AA1716" t="n">
        <v>51</v>
      </c>
      <c r="AB1716" t="n">
        <v>2</v>
      </c>
      <c r="AC1716" t="n">
        <v>2</v>
      </c>
      <c r="AD1716" t="n">
        <v>4</v>
      </c>
      <c r="AE1716" t="n">
        <v>4</v>
      </c>
      <c r="AF1716" t="n">
        <v>1</v>
      </c>
      <c r="AG1716" t="n">
        <v>1</v>
      </c>
      <c r="AH1716" t="n">
        <v>0</v>
      </c>
      <c r="AI1716" t="n">
        <v>0</v>
      </c>
      <c r="AJ1716" t="n">
        <v>3</v>
      </c>
      <c r="AK1716" t="n">
        <v>3</v>
      </c>
      <c r="AL1716" t="n">
        <v>1</v>
      </c>
      <c r="AM1716" t="n">
        <v>1</v>
      </c>
      <c r="AN1716" t="n">
        <v>0</v>
      </c>
      <c r="AO1716" t="n">
        <v>0</v>
      </c>
      <c r="AP1716" t="inlineStr">
        <is>
          <t>No</t>
        </is>
      </c>
      <c r="AQ1716" t="inlineStr">
        <is>
          <t>Yes</t>
        </is>
      </c>
      <c r="AR1716">
        <f>HYPERLINK("http://catalog.hathitrust.org/Record/102029657","HathiTrust Record")</f>
        <v/>
      </c>
      <c r="AS1716">
        <f>HYPERLINK("https://creighton-primo.hosted.exlibrisgroup.com/primo-explore/search?tab=default_tab&amp;search_scope=EVERYTHING&amp;vid=01CRU&amp;lang=en_US&amp;offset=0&amp;query=any,contains,991004168639702656","Catalog Record")</f>
        <v/>
      </c>
      <c r="AT1716">
        <f>HYPERLINK("http://www.worldcat.org/oclc/52587822","WorldCat Record")</f>
        <v/>
      </c>
      <c r="AU1716" t="inlineStr">
        <is>
          <t>4235070700:eng</t>
        </is>
      </c>
      <c r="AV1716" t="inlineStr">
        <is>
          <t>52587822</t>
        </is>
      </c>
      <c r="AW1716" t="inlineStr">
        <is>
          <t>991004168639702656</t>
        </is>
      </c>
      <c r="AX1716" t="inlineStr">
        <is>
          <t>991004168639702656</t>
        </is>
      </c>
      <c r="AY1716" t="inlineStr">
        <is>
          <t>2257751450002656</t>
        </is>
      </c>
      <c r="AZ1716" t="inlineStr">
        <is>
          <t>BOOK</t>
        </is>
      </c>
      <c r="BB1716" t="inlineStr">
        <is>
          <t>9780761826255</t>
        </is>
      </c>
      <c r="BC1716" t="inlineStr">
        <is>
          <t>32285004795430</t>
        </is>
      </c>
      <c r="BD1716" t="inlineStr">
        <is>
          <t>893229014</t>
        </is>
      </c>
    </row>
    <row r="1717">
      <c r="A1717" t="inlineStr">
        <is>
          <t>No</t>
        </is>
      </c>
      <c r="B1717" t="inlineStr">
        <is>
          <t>LC503.L58 M67 2009</t>
        </is>
      </c>
      <c r="C1717" t="inlineStr">
        <is>
          <t>0                      LC 0503000L  58                 M  67          2009</t>
        </is>
      </c>
      <c r="D1717" t="inlineStr">
        <is>
          <t>Proudly we speak your name : forty-four years at Little Rock Catholic High School / Michael J. Moran.</t>
        </is>
      </c>
      <c r="F1717" t="inlineStr">
        <is>
          <t>No</t>
        </is>
      </c>
      <c r="G1717" t="inlineStr">
        <is>
          <t>1</t>
        </is>
      </c>
      <c r="H1717" t="inlineStr">
        <is>
          <t>No</t>
        </is>
      </c>
      <c r="I1717" t="inlineStr">
        <is>
          <t>No</t>
        </is>
      </c>
      <c r="J1717" t="inlineStr">
        <is>
          <t>0</t>
        </is>
      </c>
      <c r="K1717" t="inlineStr">
        <is>
          <t>Moran, Michael J., 1943-</t>
        </is>
      </c>
      <c r="L1717" t="inlineStr">
        <is>
          <t>Little Rock : Butler Center Books, 2009.</t>
        </is>
      </c>
      <c r="M1717" t="inlineStr">
        <is>
          <t>2009</t>
        </is>
      </c>
      <c r="O1717" t="inlineStr">
        <is>
          <t>eng</t>
        </is>
      </c>
      <c r="P1717" t="inlineStr">
        <is>
          <t>aru</t>
        </is>
      </c>
      <c r="R1717" t="inlineStr">
        <is>
          <t xml:space="preserve">LC </t>
        </is>
      </c>
      <c r="S1717" t="n">
        <v>1</v>
      </c>
      <c r="T1717" t="n">
        <v>1</v>
      </c>
      <c r="U1717" t="inlineStr">
        <is>
          <t>2009-08-04</t>
        </is>
      </c>
      <c r="V1717" t="inlineStr">
        <is>
          <t>2009-08-04</t>
        </is>
      </c>
      <c r="W1717" t="inlineStr">
        <is>
          <t>2009-08-04</t>
        </is>
      </c>
      <c r="X1717" t="inlineStr">
        <is>
          <t>2009-08-04</t>
        </is>
      </c>
      <c r="Y1717" t="n">
        <v>39</v>
      </c>
      <c r="Z1717" t="n">
        <v>39</v>
      </c>
      <c r="AA1717" t="n">
        <v>39</v>
      </c>
      <c r="AB1717" t="n">
        <v>1</v>
      </c>
      <c r="AC1717" t="n">
        <v>1</v>
      </c>
      <c r="AD1717" t="n">
        <v>2</v>
      </c>
      <c r="AE1717" t="n">
        <v>2</v>
      </c>
      <c r="AF1717" t="n">
        <v>1</v>
      </c>
      <c r="AG1717" t="n">
        <v>1</v>
      </c>
      <c r="AH1717" t="n">
        <v>1</v>
      </c>
      <c r="AI1717" t="n">
        <v>1</v>
      </c>
      <c r="AJ1717" t="n">
        <v>2</v>
      </c>
      <c r="AK1717" t="n">
        <v>2</v>
      </c>
      <c r="AL1717" t="n">
        <v>0</v>
      </c>
      <c r="AM1717" t="n">
        <v>0</v>
      </c>
      <c r="AN1717" t="n">
        <v>0</v>
      </c>
      <c r="AO1717" t="n">
        <v>0</v>
      </c>
      <c r="AP1717" t="inlineStr">
        <is>
          <t>No</t>
        </is>
      </c>
      <c r="AQ1717" t="inlineStr">
        <is>
          <t>No</t>
        </is>
      </c>
      <c r="AS1717">
        <f>HYPERLINK("https://creighton-primo.hosted.exlibrisgroup.com/primo-explore/search?tab=default_tab&amp;search_scope=EVERYTHING&amp;vid=01CRU&amp;lang=en_US&amp;offset=0&amp;query=any,contains,991005327089702656","Catalog Record")</f>
        <v/>
      </c>
      <c r="AT1717">
        <f>HYPERLINK("http://www.worldcat.org/oclc/276340438","WorldCat Record")</f>
        <v/>
      </c>
      <c r="AU1717" t="inlineStr">
        <is>
          <t>159165756:eng</t>
        </is>
      </c>
      <c r="AV1717" t="inlineStr">
        <is>
          <t>276340438</t>
        </is>
      </c>
      <c r="AW1717" t="inlineStr">
        <is>
          <t>991005327089702656</t>
        </is>
      </c>
      <c r="AX1717" t="inlineStr">
        <is>
          <t>991005327089702656</t>
        </is>
      </c>
      <c r="AY1717" t="inlineStr">
        <is>
          <t>2259174630002656</t>
        </is>
      </c>
      <c r="AZ1717" t="inlineStr">
        <is>
          <t>BOOK</t>
        </is>
      </c>
      <c r="BB1717" t="inlineStr">
        <is>
          <t>9781935106074</t>
        </is>
      </c>
      <c r="BC1717" t="inlineStr">
        <is>
          <t>32285005540397</t>
        </is>
      </c>
      <c r="BD1717" t="inlineStr">
        <is>
          <t>893501699</t>
        </is>
      </c>
    </row>
    <row r="1718">
      <c r="A1718" t="inlineStr">
        <is>
          <t>No</t>
        </is>
      </c>
      <c r="B1718" t="inlineStr">
        <is>
          <t>LC504 .C37 2003</t>
        </is>
      </c>
      <c r="C1718" t="inlineStr">
        <is>
          <t>0                      LC 0504000C  37          2003</t>
        </is>
      </c>
      <c r="D1718" t="inlineStr">
        <is>
          <t>Catholic schools across Canada : into a new millennium / edited by John J. Flynn.</t>
        </is>
      </c>
      <c r="F1718" t="inlineStr">
        <is>
          <t>No</t>
        </is>
      </c>
      <c r="G1718" t="inlineStr">
        <is>
          <t>1</t>
        </is>
      </c>
      <c r="H1718" t="inlineStr">
        <is>
          <t>No</t>
        </is>
      </c>
      <c r="I1718" t="inlineStr">
        <is>
          <t>No</t>
        </is>
      </c>
      <c r="J1718" t="inlineStr">
        <is>
          <t>0</t>
        </is>
      </c>
      <c r="L1718" t="inlineStr">
        <is>
          <t>Toronto : Canadian Catholic School Trustees' Association, 2003.</t>
        </is>
      </c>
      <c r="M1718" t="inlineStr">
        <is>
          <t>2003</t>
        </is>
      </c>
      <c r="O1718" t="inlineStr">
        <is>
          <t>eng</t>
        </is>
      </c>
      <c r="P1718" t="inlineStr">
        <is>
          <t>onc</t>
        </is>
      </c>
      <c r="R1718" t="inlineStr">
        <is>
          <t xml:space="preserve">LC </t>
        </is>
      </c>
      <c r="S1718" t="n">
        <v>1</v>
      </c>
      <c r="T1718" t="n">
        <v>1</v>
      </c>
      <c r="U1718" t="inlineStr">
        <is>
          <t>2006-06-05</t>
        </is>
      </c>
      <c r="V1718" t="inlineStr">
        <is>
          <t>2006-06-05</t>
        </is>
      </c>
      <c r="W1718" t="inlineStr">
        <is>
          <t>2006-06-05</t>
        </is>
      </c>
      <c r="X1718" t="inlineStr">
        <is>
          <t>2006-06-05</t>
        </is>
      </c>
      <c r="Y1718" t="n">
        <v>4</v>
      </c>
      <c r="Z1718" t="n">
        <v>1</v>
      </c>
      <c r="AA1718" t="n">
        <v>1</v>
      </c>
      <c r="AB1718" t="n">
        <v>1</v>
      </c>
      <c r="AC1718" t="n">
        <v>1</v>
      </c>
      <c r="AD1718" t="n">
        <v>0</v>
      </c>
      <c r="AE1718" t="n">
        <v>0</v>
      </c>
      <c r="AF1718" t="n">
        <v>0</v>
      </c>
      <c r="AG1718" t="n">
        <v>0</v>
      </c>
      <c r="AH1718" t="n">
        <v>0</v>
      </c>
      <c r="AI1718" t="n">
        <v>0</v>
      </c>
      <c r="AJ1718" t="n">
        <v>0</v>
      </c>
      <c r="AK1718" t="n">
        <v>0</v>
      </c>
      <c r="AL1718" t="n">
        <v>0</v>
      </c>
      <c r="AM1718" t="n">
        <v>0</v>
      </c>
      <c r="AN1718" t="n">
        <v>0</v>
      </c>
      <c r="AO1718" t="n">
        <v>0</v>
      </c>
      <c r="AP1718" t="inlineStr">
        <is>
          <t>No</t>
        </is>
      </c>
      <c r="AQ1718" t="inlineStr">
        <is>
          <t>No</t>
        </is>
      </c>
      <c r="AS1718">
        <f>HYPERLINK("https://creighton-primo.hosted.exlibrisgroup.com/primo-explore/search?tab=default_tab&amp;search_scope=EVERYTHING&amp;vid=01CRU&amp;lang=en_US&amp;offset=0&amp;query=any,contains,991004488499702656","Catalog Record")</f>
        <v/>
      </c>
      <c r="AT1718">
        <f>HYPERLINK("http://www.worldcat.org/oclc/65979348","WorldCat Record")</f>
        <v/>
      </c>
      <c r="AU1718" t="inlineStr">
        <is>
          <t>4132238261:eng</t>
        </is>
      </c>
      <c r="AV1718" t="inlineStr">
        <is>
          <t>65979348</t>
        </is>
      </c>
      <c r="AW1718" t="inlineStr">
        <is>
          <t>991004488499702656</t>
        </is>
      </c>
      <c r="AX1718" t="inlineStr">
        <is>
          <t>991004488499702656</t>
        </is>
      </c>
      <c r="AY1718" t="inlineStr">
        <is>
          <t>2263149430002656</t>
        </is>
      </c>
      <c r="AZ1718" t="inlineStr">
        <is>
          <t>BOOK</t>
        </is>
      </c>
      <c r="BB1718" t="inlineStr">
        <is>
          <t>9780973157819</t>
        </is>
      </c>
      <c r="BC1718" t="inlineStr">
        <is>
          <t>32285005042899</t>
        </is>
      </c>
      <c r="BD1718" t="inlineStr">
        <is>
          <t>893901282</t>
        </is>
      </c>
    </row>
    <row r="1719">
      <c r="A1719" t="inlineStr">
        <is>
          <t>No</t>
        </is>
      </c>
      <c r="B1719" t="inlineStr">
        <is>
          <t>LC504.3.T67 M35 1993</t>
        </is>
      </c>
      <c r="C1719" t="inlineStr">
        <is>
          <t>0                      LC 0504300T  67                 M  35          1993</t>
        </is>
      </c>
      <c r="D1719" t="inlineStr">
        <is>
          <t>Schooling as a ritual performance : towards a political economy of educational symbols and gestures / Peter McLaren ; foreword to the first edition by Henry A. Giroux ; foreword to the second edition by Colin Lankshear ; afterword by Phil Francis Carspecken.</t>
        </is>
      </c>
      <c r="F1719" t="inlineStr">
        <is>
          <t>No</t>
        </is>
      </c>
      <c r="G1719" t="inlineStr">
        <is>
          <t>1</t>
        </is>
      </c>
      <c r="H1719" t="inlineStr">
        <is>
          <t>No</t>
        </is>
      </c>
      <c r="I1719" t="inlineStr">
        <is>
          <t>No</t>
        </is>
      </c>
      <c r="J1719" t="inlineStr">
        <is>
          <t>0</t>
        </is>
      </c>
      <c r="K1719" t="inlineStr">
        <is>
          <t>McLaren, Peter, 1948-</t>
        </is>
      </c>
      <c r="L1719" t="inlineStr">
        <is>
          <t>London ; New York : Routledge, 1993.</t>
        </is>
      </c>
      <c r="M1719" t="inlineStr">
        <is>
          <t>1993</t>
        </is>
      </c>
      <c r="N1719" t="inlineStr">
        <is>
          <t>2nd ed.</t>
        </is>
      </c>
      <c r="O1719" t="inlineStr">
        <is>
          <t>eng</t>
        </is>
      </c>
      <c r="P1719" t="inlineStr">
        <is>
          <t>enk</t>
        </is>
      </c>
      <c r="R1719" t="inlineStr">
        <is>
          <t xml:space="preserve">LC </t>
        </is>
      </c>
      <c r="S1719" t="n">
        <v>8</v>
      </c>
      <c r="T1719" t="n">
        <v>8</v>
      </c>
      <c r="U1719" t="inlineStr">
        <is>
          <t>2007-07-23</t>
        </is>
      </c>
      <c r="V1719" t="inlineStr">
        <is>
          <t>2007-07-23</t>
        </is>
      </c>
      <c r="W1719" t="inlineStr">
        <is>
          <t>1994-12-06</t>
        </is>
      </c>
      <c r="X1719" t="inlineStr">
        <is>
          <t>1994-12-06</t>
        </is>
      </c>
      <c r="Y1719" t="n">
        <v>296</v>
      </c>
      <c r="Z1719" t="n">
        <v>188</v>
      </c>
      <c r="AA1719" t="n">
        <v>446</v>
      </c>
      <c r="AB1719" t="n">
        <v>2</v>
      </c>
      <c r="AC1719" t="n">
        <v>3</v>
      </c>
      <c r="AD1719" t="n">
        <v>13</v>
      </c>
      <c r="AE1719" t="n">
        <v>25</v>
      </c>
      <c r="AF1719" t="n">
        <v>6</v>
      </c>
      <c r="AG1719" t="n">
        <v>9</v>
      </c>
      <c r="AH1719" t="n">
        <v>3</v>
      </c>
      <c r="AI1719" t="n">
        <v>7</v>
      </c>
      <c r="AJ1719" t="n">
        <v>6</v>
      </c>
      <c r="AK1719" t="n">
        <v>13</v>
      </c>
      <c r="AL1719" t="n">
        <v>1</v>
      </c>
      <c r="AM1719" t="n">
        <v>2</v>
      </c>
      <c r="AN1719" t="n">
        <v>0</v>
      </c>
      <c r="AO1719" t="n">
        <v>0</v>
      </c>
      <c r="AP1719" t="inlineStr">
        <is>
          <t>No</t>
        </is>
      </c>
      <c r="AQ1719" t="inlineStr">
        <is>
          <t>Yes</t>
        </is>
      </c>
      <c r="AR1719">
        <f>HYPERLINK("http://catalog.hathitrust.org/Record/005083206","HathiTrust Record")</f>
        <v/>
      </c>
      <c r="AS1719">
        <f>HYPERLINK("https://creighton-primo.hosted.exlibrisgroup.com/primo-explore/search?tab=default_tab&amp;search_scope=EVERYTHING&amp;vid=01CRU&amp;lang=en_US&amp;offset=0&amp;query=any,contains,991002129779702656","Catalog Record")</f>
        <v/>
      </c>
      <c r="AT1719">
        <f>HYPERLINK("http://www.worldcat.org/oclc/27266440","WorldCat Record")</f>
        <v/>
      </c>
      <c r="AU1719" t="inlineStr">
        <is>
          <t>337551:eng</t>
        </is>
      </c>
      <c r="AV1719" t="inlineStr">
        <is>
          <t>27266440</t>
        </is>
      </c>
      <c r="AW1719" t="inlineStr">
        <is>
          <t>991002129779702656</t>
        </is>
      </c>
      <c r="AX1719" t="inlineStr">
        <is>
          <t>991002129779702656</t>
        </is>
      </c>
      <c r="AY1719" t="inlineStr">
        <is>
          <t>2269469820002656</t>
        </is>
      </c>
      <c r="AZ1719" t="inlineStr">
        <is>
          <t>BOOK</t>
        </is>
      </c>
      <c r="BB1719" t="inlineStr">
        <is>
          <t>9780415082655</t>
        </is>
      </c>
      <c r="BC1719" t="inlineStr">
        <is>
          <t>32285001976165</t>
        </is>
      </c>
      <c r="BD1719" t="inlineStr">
        <is>
          <t>893420968</t>
        </is>
      </c>
    </row>
    <row r="1720">
      <c r="A1720" t="inlineStr">
        <is>
          <t>No</t>
        </is>
      </c>
      <c r="B1720" t="inlineStr">
        <is>
          <t>LC506.E84 L4</t>
        </is>
      </c>
      <c r="C1720" t="inlineStr">
        <is>
          <t>0                      LC 0506000E  84                 L  4</t>
        </is>
      </c>
      <c r="D1720" t="inlineStr">
        <is>
          <t>Catholic education in the Western World. Edited by James Michael Lee. Foreword by George N. Shuster. Contributors Didier J. Piveteau [and others.</t>
        </is>
      </c>
      <c r="F1720" t="inlineStr">
        <is>
          <t>No</t>
        </is>
      </c>
      <c r="G1720" t="inlineStr">
        <is>
          <t>1</t>
        </is>
      </c>
      <c r="H1720" t="inlineStr">
        <is>
          <t>No</t>
        </is>
      </c>
      <c r="I1720" t="inlineStr">
        <is>
          <t>No</t>
        </is>
      </c>
      <c r="J1720" t="inlineStr">
        <is>
          <t>0</t>
        </is>
      </c>
      <c r="K1720" t="inlineStr">
        <is>
          <t>Lee, James Michael.</t>
        </is>
      </c>
      <c r="L1720" t="inlineStr">
        <is>
          <t>Notre Dame] University of Notre Dame Press, 1967.</t>
        </is>
      </c>
      <c r="M1720" t="inlineStr">
        <is>
          <t>1967</t>
        </is>
      </c>
      <c r="O1720" t="inlineStr">
        <is>
          <t>eng</t>
        </is>
      </c>
      <c r="P1720" t="inlineStr">
        <is>
          <t>inu</t>
        </is>
      </c>
      <c r="R1720" t="inlineStr">
        <is>
          <t xml:space="preserve">LC </t>
        </is>
      </c>
      <c r="S1720" t="n">
        <v>3</v>
      </c>
      <c r="T1720" t="n">
        <v>3</v>
      </c>
      <c r="U1720" t="inlineStr">
        <is>
          <t>1998-10-03</t>
        </is>
      </c>
      <c r="V1720" t="inlineStr">
        <is>
          <t>1998-10-03</t>
        </is>
      </c>
      <c r="W1720" t="inlineStr">
        <is>
          <t>1997-06-06</t>
        </is>
      </c>
      <c r="X1720" t="inlineStr">
        <is>
          <t>1997-06-06</t>
        </is>
      </c>
      <c r="Y1720" t="n">
        <v>562</v>
      </c>
      <c r="Z1720" t="n">
        <v>488</v>
      </c>
      <c r="AA1720" t="n">
        <v>495</v>
      </c>
      <c r="AB1720" t="n">
        <v>2</v>
      </c>
      <c r="AC1720" t="n">
        <v>2</v>
      </c>
      <c r="AD1720" t="n">
        <v>24</v>
      </c>
      <c r="AE1720" t="n">
        <v>24</v>
      </c>
      <c r="AF1720" t="n">
        <v>6</v>
      </c>
      <c r="AG1720" t="n">
        <v>6</v>
      </c>
      <c r="AH1720" t="n">
        <v>7</v>
      </c>
      <c r="AI1720" t="n">
        <v>7</v>
      </c>
      <c r="AJ1720" t="n">
        <v>16</v>
      </c>
      <c r="AK1720" t="n">
        <v>16</v>
      </c>
      <c r="AL1720" t="n">
        <v>0</v>
      </c>
      <c r="AM1720" t="n">
        <v>0</v>
      </c>
      <c r="AN1720" t="n">
        <v>0</v>
      </c>
      <c r="AO1720" t="n">
        <v>0</v>
      </c>
      <c r="AP1720" t="inlineStr">
        <is>
          <t>No</t>
        </is>
      </c>
      <c r="AQ1720" t="inlineStr">
        <is>
          <t>Yes</t>
        </is>
      </c>
      <c r="AR1720">
        <f>HYPERLINK("http://catalog.hathitrust.org/Record/001958916","HathiTrust Record")</f>
        <v/>
      </c>
      <c r="AS1720">
        <f>HYPERLINK("https://creighton-primo.hosted.exlibrisgroup.com/primo-explore/search?tab=default_tab&amp;search_scope=EVERYTHING&amp;vid=01CRU&amp;lang=en_US&amp;offset=0&amp;query=any,contains,991001179139702656","Catalog Record")</f>
        <v/>
      </c>
      <c r="AT1720">
        <f>HYPERLINK("http://www.worldcat.org/oclc/189611","WorldCat Record")</f>
        <v/>
      </c>
      <c r="AU1720" t="inlineStr">
        <is>
          <t>191886687:eng</t>
        </is>
      </c>
      <c r="AV1720" t="inlineStr">
        <is>
          <t>189611</t>
        </is>
      </c>
      <c r="AW1720" t="inlineStr">
        <is>
          <t>991001179139702656</t>
        </is>
      </c>
      <c r="AX1720" t="inlineStr">
        <is>
          <t>991001179139702656</t>
        </is>
      </c>
      <c r="AY1720" t="inlineStr">
        <is>
          <t>2268072650002656</t>
        </is>
      </c>
      <c r="AZ1720" t="inlineStr">
        <is>
          <t>BOOK</t>
        </is>
      </c>
      <c r="BC1720" t="inlineStr">
        <is>
          <t>32285002801966</t>
        </is>
      </c>
      <c r="BD1720" t="inlineStr">
        <is>
          <t>893808979</t>
        </is>
      </c>
    </row>
    <row r="1721">
      <c r="A1721" t="inlineStr">
        <is>
          <t>No</t>
        </is>
      </c>
      <c r="B1721" t="inlineStr">
        <is>
          <t>LC506.G72 I745 1999</t>
        </is>
      </c>
      <c r="C1721" t="inlineStr">
        <is>
          <t>0                      LC 0506000G  72                 I  745         1999</t>
        </is>
      </c>
      <c r="D1721" t="inlineStr">
        <is>
          <t>The Catholic Church and the secondary school curriculum in Ireland, 1922-1962 / Thomas A. O'Donoghue.</t>
        </is>
      </c>
      <c r="F1721" t="inlineStr">
        <is>
          <t>No</t>
        </is>
      </c>
      <c r="G1721" t="inlineStr">
        <is>
          <t>1</t>
        </is>
      </c>
      <c r="H1721" t="inlineStr">
        <is>
          <t>No</t>
        </is>
      </c>
      <c r="I1721" t="inlineStr">
        <is>
          <t>No</t>
        </is>
      </c>
      <c r="J1721" t="inlineStr">
        <is>
          <t>0</t>
        </is>
      </c>
      <c r="K1721" t="inlineStr">
        <is>
          <t>O'Donoghue, T. A. (Tom A.), 1953-</t>
        </is>
      </c>
      <c r="L1721" t="inlineStr">
        <is>
          <t>New York : P. Lang, c1999.</t>
        </is>
      </c>
      <c r="M1721" t="inlineStr">
        <is>
          <t>1999</t>
        </is>
      </c>
      <c r="O1721" t="inlineStr">
        <is>
          <t>eng</t>
        </is>
      </c>
      <c r="P1721" t="inlineStr">
        <is>
          <t>nyu</t>
        </is>
      </c>
      <c r="Q1721" t="inlineStr">
        <is>
          <t>Irish studies, 1043-5743 ; vol. 5</t>
        </is>
      </c>
      <c r="R1721" t="inlineStr">
        <is>
          <t xml:space="preserve">LC </t>
        </is>
      </c>
      <c r="S1721" t="n">
        <v>1</v>
      </c>
      <c r="T1721" t="n">
        <v>1</v>
      </c>
      <c r="U1721" t="inlineStr">
        <is>
          <t>2003-10-07</t>
        </is>
      </c>
      <c r="V1721" t="inlineStr">
        <is>
          <t>2003-10-07</t>
        </is>
      </c>
      <c r="W1721" t="inlineStr">
        <is>
          <t>1999-08-31</t>
        </is>
      </c>
      <c r="X1721" t="inlineStr">
        <is>
          <t>1999-08-31</t>
        </is>
      </c>
      <c r="Y1721" t="n">
        <v>93</v>
      </c>
      <c r="Z1721" t="n">
        <v>55</v>
      </c>
      <c r="AA1721" t="n">
        <v>57</v>
      </c>
      <c r="AB1721" t="n">
        <v>2</v>
      </c>
      <c r="AC1721" t="n">
        <v>2</v>
      </c>
      <c r="AD1721" t="n">
        <v>8</v>
      </c>
      <c r="AE1721" t="n">
        <v>8</v>
      </c>
      <c r="AF1721" t="n">
        <v>0</v>
      </c>
      <c r="AG1721" t="n">
        <v>0</v>
      </c>
      <c r="AH1721" t="n">
        <v>3</v>
      </c>
      <c r="AI1721" t="n">
        <v>3</v>
      </c>
      <c r="AJ1721" t="n">
        <v>6</v>
      </c>
      <c r="AK1721" t="n">
        <v>6</v>
      </c>
      <c r="AL1721" t="n">
        <v>1</v>
      </c>
      <c r="AM1721" t="n">
        <v>1</v>
      </c>
      <c r="AN1721" t="n">
        <v>0</v>
      </c>
      <c r="AO1721" t="n">
        <v>0</v>
      </c>
      <c r="AP1721" t="inlineStr">
        <is>
          <t>No</t>
        </is>
      </c>
      <c r="AQ1721" t="inlineStr">
        <is>
          <t>Yes</t>
        </is>
      </c>
      <c r="AR1721">
        <f>HYPERLINK("http://catalog.hathitrust.org/Record/004047485","HathiTrust Record")</f>
        <v/>
      </c>
      <c r="AS1721">
        <f>HYPERLINK("https://creighton-primo.hosted.exlibrisgroup.com/primo-explore/search?tab=default_tab&amp;search_scope=EVERYTHING&amp;vid=01CRU&amp;lang=en_US&amp;offset=0&amp;query=any,contains,991002973599702656","Catalog Record")</f>
        <v/>
      </c>
      <c r="AT1721">
        <f>HYPERLINK("http://www.worldcat.org/oclc/39856024","WorldCat Record")</f>
        <v/>
      </c>
      <c r="AU1721" t="inlineStr">
        <is>
          <t>20505657:eng</t>
        </is>
      </c>
      <c r="AV1721" t="inlineStr">
        <is>
          <t>39856024</t>
        </is>
      </c>
      <c r="AW1721" t="inlineStr">
        <is>
          <t>991002973599702656</t>
        </is>
      </c>
      <c r="AX1721" t="inlineStr">
        <is>
          <t>991002973599702656</t>
        </is>
      </c>
      <c r="AY1721" t="inlineStr">
        <is>
          <t>2258134430002656</t>
        </is>
      </c>
      <c r="AZ1721" t="inlineStr">
        <is>
          <t>BOOK</t>
        </is>
      </c>
      <c r="BB1721" t="inlineStr">
        <is>
          <t>9780820444246</t>
        </is>
      </c>
      <c r="BC1721" t="inlineStr">
        <is>
          <t>32285003585089</t>
        </is>
      </c>
      <c r="BD1721" t="inlineStr">
        <is>
          <t>893505051</t>
        </is>
      </c>
    </row>
    <row r="1722">
      <c r="A1722" t="inlineStr">
        <is>
          <t>No</t>
        </is>
      </c>
      <c r="B1722" t="inlineStr">
        <is>
          <t>LC509 .O36 2001</t>
        </is>
      </c>
      <c r="C1722" t="inlineStr">
        <is>
          <t>0                      LC 0509000O  36          2001</t>
        </is>
      </c>
      <c r="D1722" t="inlineStr">
        <is>
          <t>Upholding the faith : the process of education in Catholic schools in Australia, 1922-1965 / Thomas A. O'Donoghue.</t>
        </is>
      </c>
      <c r="F1722" t="inlineStr">
        <is>
          <t>No</t>
        </is>
      </c>
      <c r="G1722" t="inlineStr">
        <is>
          <t>1</t>
        </is>
      </c>
      <c r="H1722" t="inlineStr">
        <is>
          <t>No</t>
        </is>
      </c>
      <c r="I1722" t="inlineStr">
        <is>
          <t>No</t>
        </is>
      </c>
      <c r="J1722" t="inlineStr">
        <is>
          <t>0</t>
        </is>
      </c>
      <c r="K1722" t="inlineStr">
        <is>
          <t>O'Donoghue, T. A. (Tom A.), 1953-</t>
        </is>
      </c>
      <c r="L1722" t="inlineStr">
        <is>
          <t>New York : P. Lang, 2001.</t>
        </is>
      </c>
      <c r="M1722" t="inlineStr">
        <is>
          <t>2001</t>
        </is>
      </c>
      <c r="O1722" t="inlineStr">
        <is>
          <t>eng</t>
        </is>
      </c>
      <c r="P1722" t="inlineStr">
        <is>
          <t>nyu</t>
        </is>
      </c>
      <c r="Q1722" t="inlineStr">
        <is>
          <t>History of schools &amp; schooling ; vol. 24</t>
        </is>
      </c>
      <c r="R1722" t="inlineStr">
        <is>
          <t xml:space="preserve">LC </t>
        </is>
      </c>
      <c r="S1722" t="n">
        <v>1</v>
      </c>
      <c r="T1722" t="n">
        <v>1</v>
      </c>
      <c r="U1722" t="inlineStr">
        <is>
          <t>2006-02-13</t>
        </is>
      </c>
      <c r="V1722" t="inlineStr">
        <is>
          <t>2006-02-13</t>
        </is>
      </c>
      <c r="W1722" t="inlineStr">
        <is>
          <t>2002-03-14</t>
        </is>
      </c>
      <c r="X1722" t="inlineStr">
        <is>
          <t>2002-03-14</t>
        </is>
      </c>
      <c r="Y1722" t="n">
        <v>89</v>
      </c>
      <c r="Z1722" t="n">
        <v>55</v>
      </c>
      <c r="AA1722" t="n">
        <v>57</v>
      </c>
      <c r="AB1722" t="n">
        <v>1</v>
      </c>
      <c r="AC1722" t="n">
        <v>1</v>
      </c>
      <c r="AD1722" t="n">
        <v>6</v>
      </c>
      <c r="AE1722" t="n">
        <v>6</v>
      </c>
      <c r="AF1722" t="n">
        <v>2</v>
      </c>
      <c r="AG1722" t="n">
        <v>2</v>
      </c>
      <c r="AH1722" t="n">
        <v>2</v>
      </c>
      <c r="AI1722" t="n">
        <v>2</v>
      </c>
      <c r="AJ1722" t="n">
        <v>6</v>
      </c>
      <c r="AK1722" t="n">
        <v>6</v>
      </c>
      <c r="AL1722" t="n">
        <v>0</v>
      </c>
      <c r="AM1722" t="n">
        <v>0</v>
      </c>
      <c r="AN1722" t="n">
        <v>0</v>
      </c>
      <c r="AO1722" t="n">
        <v>0</v>
      </c>
      <c r="AP1722" t="inlineStr">
        <is>
          <t>No</t>
        </is>
      </c>
      <c r="AQ1722" t="inlineStr">
        <is>
          <t>Yes</t>
        </is>
      </c>
      <c r="AR1722">
        <f>HYPERLINK("http://catalog.hathitrust.org/Record/004229564","HathiTrust Record")</f>
        <v/>
      </c>
      <c r="AS1722">
        <f>HYPERLINK("https://creighton-primo.hosted.exlibrisgroup.com/primo-explore/search?tab=default_tab&amp;search_scope=EVERYTHING&amp;vid=01CRU&amp;lang=en_US&amp;offset=0&amp;query=any,contains,991003764729702656","Catalog Record")</f>
        <v/>
      </c>
      <c r="AT1722">
        <f>HYPERLINK("http://www.worldcat.org/oclc/46678405","WorldCat Record")</f>
        <v/>
      </c>
      <c r="AU1722" t="inlineStr">
        <is>
          <t>203310571:eng</t>
        </is>
      </c>
      <c r="AV1722" t="inlineStr">
        <is>
          <t>46678405</t>
        </is>
      </c>
      <c r="AW1722" t="inlineStr">
        <is>
          <t>991003764729702656</t>
        </is>
      </c>
      <c r="AX1722" t="inlineStr">
        <is>
          <t>991003764729702656</t>
        </is>
      </c>
      <c r="AY1722" t="inlineStr">
        <is>
          <t>2269946400002656</t>
        </is>
      </c>
      <c r="AZ1722" t="inlineStr">
        <is>
          <t>BOOK</t>
        </is>
      </c>
      <c r="BB1722" t="inlineStr">
        <is>
          <t>9780820456539</t>
        </is>
      </c>
      <c r="BC1722" t="inlineStr">
        <is>
          <t>32285004461587</t>
        </is>
      </c>
      <c r="BD1722" t="inlineStr">
        <is>
          <t>893228432</t>
        </is>
      </c>
    </row>
    <row r="1723">
      <c r="A1723" t="inlineStr">
        <is>
          <t>No</t>
        </is>
      </c>
      <c r="B1723" t="inlineStr">
        <is>
          <t>LC5131 .L44 1998</t>
        </is>
      </c>
      <c r="C1723" t="inlineStr">
        <is>
          <t>0                      LC 5131000L  44          1998</t>
        </is>
      </c>
      <c r="D1723" t="inlineStr">
        <is>
          <t>Teach me! : kids will learn when oppression is the lesson / Murray Levin.</t>
        </is>
      </c>
      <c r="F1723" t="inlineStr">
        <is>
          <t>No</t>
        </is>
      </c>
      <c r="G1723" t="inlineStr">
        <is>
          <t>1</t>
        </is>
      </c>
      <c r="H1723" t="inlineStr">
        <is>
          <t>No</t>
        </is>
      </c>
      <c r="I1723" t="inlineStr">
        <is>
          <t>No</t>
        </is>
      </c>
      <c r="J1723" t="inlineStr">
        <is>
          <t>0</t>
        </is>
      </c>
      <c r="K1723" t="inlineStr">
        <is>
          <t>Levin, Murray Burton.</t>
        </is>
      </c>
      <c r="L1723" t="inlineStr">
        <is>
          <t>New York : Monthly Review Press, c1998.</t>
        </is>
      </c>
      <c r="M1723" t="inlineStr">
        <is>
          <t>1998</t>
        </is>
      </c>
      <c r="O1723" t="inlineStr">
        <is>
          <t>eng</t>
        </is>
      </c>
      <c r="P1723" t="inlineStr">
        <is>
          <t>nyu</t>
        </is>
      </c>
      <c r="R1723" t="inlineStr">
        <is>
          <t xml:space="preserve">LC </t>
        </is>
      </c>
      <c r="S1723" t="n">
        <v>1</v>
      </c>
      <c r="T1723" t="n">
        <v>1</v>
      </c>
      <c r="U1723" t="inlineStr">
        <is>
          <t>2004-06-07</t>
        </is>
      </c>
      <c r="V1723" t="inlineStr">
        <is>
          <t>2004-06-07</t>
        </is>
      </c>
      <c r="W1723" t="inlineStr">
        <is>
          <t>1999-09-13</t>
        </is>
      </c>
      <c r="X1723" t="inlineStr">
        <is>
          <t>1999-09-13</t>
        </is>
      </c>
      <c r="Y1723" t="n">
        <v>456</v>
      </c>
      <c r="Z1723" t="n">
        <v>432</v>
      </c>
      <c r="AA1723" t="n">
        <v>438</v>
      </c>
      <c r="AB1723" t="n">
        <v>4</v>
      </c>
      <c r="AC1723" t="n">
        <v>4</v>
      </c>
      <c r="AD1723" t="n">
        <v>22</v>
      </c>
      <c r="AE1723" t="n">
        <v>22</v>
      </c>
      <c r="AF1723" t="n">
        <v>9</v>
      </c>
      <c r="AG1723" t="n">
        <v>9</v>
      </c>
      <c r="AH1723" t="n">
        <v>6</v>
      </c>
      <c r="AI1723" t="n">
        <v>6</v>
      </c>
      <c r="AJ1723" t="n">
        <v>10</v>
      </c>
      <c r="AK1723" t="n">
        <v>10</v>
      </c>
      <c r="AL1723" t="n">
        <v>3</v>
      </c>
      <c r="AM1723" t="n">
        <v>3</v>
      </c>
      <c r="AN1723" t="n">
        <v>0</v>
      </c>
      <c r="AO1723" t="n">
        <v>0</v>
      </c>
      <c r="AP1723" t="inlineStr">
        <is>
          <t>No</t>
        </is>
      </c>
      <c r="AQ1723" t="inlineStr">
        <is>
          <t>Yes</t>
        </is>
      </c>
      <c r="AR1723">
        <f>HYPERLINK("http://catalog.hathitrust.org/Record/004024628","HathiTrust Record")</f>
        <v/>
      </c>
      <c r="AS1723">
        <f>HYPERLINK("https://creighton-primo.hosted.exlibrisgroup.com/primo-explore/search?tab=default_tab&amp;search_scope=EVERYTHING&amp;vid=01CRU&amp;lang=en_US&amp;offset=0&amp;query=any,contains,991002911999702656","Catalog Record")</f>
        <v/>
      </c>
      <c r="AT1723">
        <f>HYPERLINK("http://www.worldcat.org/oclc/38504433","WorldCat Record")</f>
        <v/>
      </c>
      <c r="AU1723" t="inlineStr">
        <is>
          <t>9592969736:eng</t>
        </is>
      </c>
      <c r="AV1723" t="inlineStr">
        <is>
          <t>38504433</t>
        </is>
      </c>
      <c r="AW1723" t="inlineStr">
        <is>
          <t>991002911999702656</t>
        </is>
      </c>
      <c r="AX1723" t="inlineStr">
        <is>
          <t>991002911999702656</t>
        </is>
      </c>
      <c r="AY1723" t="inlineStr">
        <is>
          <t>2266929940002656</t>
        </is>
      </c>
      <c r="AZ1723" t="inlineStr">
        <is>
          <t>BOOK</t>
        </is>
      </c>
      <c r="BB1723" t="inlineStr">
        <is>
          <t>9780853459316</t>
        </is>
      </c>
      <c r="BC1723" t="inlineStr">
        <is>
          <t>32285003587911</t>
        </is>
      </c>
      <c r="BD1723" t="inlineStr">
        <is>
          <t>893530622</t>
        </is>
      </c>
    </row>
    <row r="1724">
      <c r="A1724" t="inlineStr">
        <is>
          <t>No</t>
        </is>
      </c>
      <c r="B1724" t="inlineStr">
        <is>
          <t>LC5131 .T39 1988</t>
        </is>
      </c>
      <c r="C1724" t="inlineStr">
        <is>
          <t>0                      LC 5131000T  39          1988</t>
        </is>
      </c>
      <c r="D1724" t="inlineStr">
        <is>
          <t>Growing up literate : learning from inner-city families / Denny Taylor, Catherine Dorsey-Gaines ; with a foreword by Rudine Sims Bishop.</t>
        </is>
      </c>
      <c r="F1724" t="inlineStr">
        <is>
          <t>No</t>
        </is>
      </c>
      <c r="G1724" t="inlineStr">
        <is>
          <t>1</t>
        </is>
      </c>
      <c r="H1724" t="inlineStr">
        <is>
          <t>No</t>
        </is>
      </c>
      <c r="I1724" t="inlineStr">
        <is>
          <t>No</t>
        </is>
      </c>
      <c r="J1724" t="inlineStr">
        <is>
          <t>0</t>
        </is>
      </c>
      <c r="K1724" t="inlineStr">
        <is>
          <t>Taylor, Denny, 1947-</t>
        </is>
      </c>
      <c r="L1724" t="inlineStr">
        <is>
          <t>Portsmouth, N.H. : Heinemann, c1988.</t>
        </is>
      </c>
      <c r="M1724" t="inlineStr">
        <is>
          <t>1988</t>
        </is>
      </c>
      <c r="O1724" t="inlineStr">
        <is>
          <t>eng</t>
        </is>
      </c>
      <c r="P1724" t="inlineStr">
        <is>
          <t>nhu</t>
        </is>
      </c>
      <c r="R1724" t="inlineStr">
        <is>
          <t xml:space="preserve">LC </t>
        </is>
      </c>
      <c r="S1724" t="n">
        <v>1</v>
      </c>
      <c r="T1724" t="n">
        <v>1</v>
      </c>
      <c r="U1724" t="inlineStr">
        <is>
          <t>1992-09-28</t>
        </is>
      </c>
      <c r="V1724" t="inlineStr">
        <is>
          <t>1992-09-28</t>
        </is>
      </c>
      <c r="W1724" t="inlineStr">
        <is>
          <t>1990-02-26</t>
        </is>
      </c>
      <c r="X1724" t="inlineStr">
        <is>
          <t>1990-02-26</t>
        </is>
      </c>
      <c r="Y1724" t="n">
        <v>748</v>
      </c>
      <c r="Z1724" t="n">
        <v>691</v>
      </c>
      <c r="AA1724" t="n">
        <v>699</v>
      </c>
      <c r="AB1724" t="n">
        <v>4</v>
      </c>
      <c r="AC1724" t="n">
        <v>4</v>
      </c>
      <c r="AD1724" t="n">
        <v>31</v>
      </c>
      <c r="AE1724" t="n">
        <v>31</v>
      </c>
      <c r="AF1724" t="n">
        <v>12</v>
      </c>
      <c r="AG1724" t="n">
        <v>12</v>
      </c>
      <c r="AH1724" t="n">
        <v>6</v>
      </c>
      <c r="AI1724" t="n">
        <v>6</v>
      </c>
      <c r="AJ1724" t="n">
        <v>16</v>
      </c>
      <c r="AK1724" t="n">
        <v>16</v>
      </c>
      <c r="AL1724" t="n">
        <v>3</v>
      </c>
      <c r="AM1724" t="n">
        <v>3</v>
      </c>
      <c r="AN1724" t="n">
        <v>0</v>
      </c>
      <c r="AO1724" t="n">
        <v>0</v>
      </c>
      <c r="AP1724" t="inlineStr">
        <is>
          <t>No</t>
        </is>
      </c>
      <c r="AQ1724" t="inlineStr">
        <is>
          <t>Yes</t>
        </is>
      </c>
      <c r="AR1724">
        <f>HYPERLINK("http://catalog.hathitrust.org/Record/000913346","HathiTrust Record")</f>
        <v/>
      </c>
      <c r="AS1724">
        <f>HYPERLINK("https://creighton-primo.hosted.exlibrisgroup.com/primo-explore/search?tab=default_tab&amp;search_scope=EVERYTHING&amp;vid=01CRU&amp;lang=en_US&amp;offset=0&amp;query=any,contains,991001203309702656","Catalog Record")</f>
        <v/>
      </c>
      <c r="AT1724">
        <f>HYPERLINK("http://www.worldcat.org/oclc/17327647","WorldCat Record")</f>
        <v/>
      </c>
      <c r="AU1724" t="inlineStr">
        <is>
          <t>138615631:eng</t>
        </is>
      </c>
      <c r="AV1724" t="inlineStr">
        <is>
          <t>17327647</t>
        </is>
      </c>
      <c r="AW1724" t="inlineStr">
        <is>
          <t>991001203309702656</t>
        </is>
      </c>
      <c r="AX1724" t="inlineStr">
        <is>
          <t>991001203309702656</t>
        </is>
      </c>
      <c r="AY1724" t="inlineStr">
        <is>
          <t>2263995270002656</t>
        </is>
      </c>
      <c r="AZ1724" t="inlineStr">
        <is>
          <t>BOOK</t>
        </is>
      </c>
      <c r="BB1724" t="inlineStr">
        <is>
          <t>9780435084578</t>
        </is>
      </c>
      <c r="BC1724" t="inlineStr">
        <is>
          <t>32285000041037</t>
        </is>
      </c>
      <c r="BD1724" t="inlineStr">
        <is>
          <t>893432681</t>
        </is>
      </c>
    </row>
    <row r="1725">
      <c r="A1725" t="inlineStr">
        <is>
          <t>No</t>
        </is>
      </c>
      <c r="B1725" t="inlineStr">
        <is>
          <t>LC5131 .T43 2002</t>
        </is>
      </c>
      <c r="C1725" t="inlineStr">
        <is>
          <t>0                      LC 5131000T  43          2002</t>
        </is>
      </c>
      <c r="D1725" t="inlineStr">
        <is>
          <t>Teacher education and urban education : the move from the traditional to the pragmatic / edited by Barry Kanpol.</t>
        </is>
      </c>
      <c r="F1725" t="inlineStr">
        <is>
          <t>No</t>
        </is>
      </c>
      <c r="G1725" t="inlineStr">
        <is>
          <t>1</t>
        </is>
      </c>
      <c r="H1725" t="inlineStr">
        <is>
          <t>No</t>
        </is>
      </c>
      <c r="I1725" t="inlineStr">
        <is>
          <t>No</t>
        </is>
      </c>
      <c r="J1725" t="inlineStr">
        <is>
          <t>0</t>
        </is>
      </c>
      <c r="L1725" t="inlineStr">
        <is>
          <t>Cresskill, N.J. : Hampton Press, c2002.</t>
        </is>
      </c>
      <c r="M1725" t="inlineStr">
        <is>
          <t>2002</t>
        </is>
      </c>
      <c r="O1725" t="inlineStr">
        <is>
          <t>eng</t>
        </is>
      </c>
      <c r="P1725" t="inlineStr">
        <is>
          <t>nju</t>
        </is>
      </c>
      <c r="Q1725" t="inlineStr">
        <is>
          <t>Themes of urban and inner-city education</t>
        </is>
      </c>
      <c r="R1725" t="inlineStr">
        <is>
          <t xml:space="preserve">LC </t>
        </is>
      </c>
      <c r="S1725" t="n">
        <v>1</v>
      </c>
      <c r="T1725" t="n">
        <v>1</v>
      </c>
      <c r="U1725" t="inlineStr">
        <is>
          <t>2006-04-13</t>
        </is>
      </c>
      <c r="V1725" t="inlineStr">
        <is>
          <t>2006-04-13</t>
        </is>
      </c>
      <c r="W1725" t="inlineStr">
        <is>
          <t>2006-04-13</t>
        </is>
      </c>
      <c r="X1725" t="inlineStr">
        <is>
          <t>2006-04-13</t>
        </is>
      </c>
      <c r="Y1725" t="n">
        <v>173</v>
      </c>
      <c r="Z1725" t="n">
        <v>156</v>
      </c>
      <c r="AA1725" t="n">
        <v>158</v>
      </c>
      <c r="AB1725" t="n">
        <v>3</v>
      </c>
      <c r="AC1725" t="n">
        <v>3</v>
      </c>
      <c r="AD1725" t="n">
        <v>9</v>
      </c>
      <c r="AE1725" t="n">
        <v>9</v>
      </c>
      <c r="AF1725" t="n">
        <v>0</v>
      </c>
      <c r="AG1725" t="n">
        <v>0</v>
      </c>
      <c r="AH1725" t="n">
        <v>4</v>
      </c>
      <c r="AI1725" t="n">
        <v>4</v>
      </c>
      <c r="AJ1725" t="n">
        <v>4</v>
      </c>
      <c r="AK1725" t="n">
        <v>4</v>
      </c>
      <c r="AL1725" t="n">
        <v>2</v>
      </c>
      <c r="AM1725" t="n">
        <v>2</v>
      </c>
      <c r="AN1725" t="n">
        <v>0</v>
      </c>
      <c r="AO1725" t="n">
        <v>0</v>
      </c>
      <c r="AP1725" t="inlineStr">
        <is>
          <t>No</t>
        </is>
      </c>
      <c r="AQ1725" t="inlineStr">
        <is>
          <t>Yes</t>
        </is>
      </c>
      <c r="AR1725">
        <f>HYPERLINK("http://catalog.hathitrust.org/Record/004263179","HathiTrust Record")</f>
        <v/>
      </c>
      <c r="AS1725">
        <f>HYPERLINK("https://creighton-primo.hosted.exlibrisgroup.com/primo-explore/search?tab=default_tab&amp;search_scope=EVERYTHING&amp;vid=01CRU&amp;lang=en_US&amp;offset=0&amp;query=any,contains,991004782209702656","Catalog Record")</f>
        <v/>
      </c>
      <c r="AT1725">
        <f>HYPERLINK("http://www.worldcat.org/oclc/48958406","WorldCat Record")</f>
        <v/>
      </c>
      <c r="AU1725" t="inlineStr">
        <is>
          <t>38042605:eng</t>
        </is>
      </c>
      <c r="AV1725" t="inlineStr">
        <is>
          <t>48958406</t>
        </is>
      </c>
      <c r="AW1725" t="inlineStr">
        <is>
          <t>991004782209702656</t>
        </is>
      </c>
      <c r="AX1725" t="inlineStr">
        <is>
          <t>991004782209702656</t>
        </is>
      </c>
      <c r="AY1725" t="inlineStr">
        <is>
          <t>2271989840002656</t>
        </is>
      </c>
      <c r="AZ1725" t="inlineStr">
        <is>
          <t>BOOK</t>
        </is>
      </c>
      <c r="BB1725" t="inlineStr">
        <is>
          <t>9781572732896</t>
        </is>
      </c>
      <c r="BC1725" t="inlineStr">
        <is>
          <t>32285005181333</t>
        </is>
      </c>
      <c r="BD1725" t="inlineStr">
        <is>
          <t>893344253</t>
        </is>
      </c>
    </row>
    <row r="1726">
      <c r="A1726" t="inlineStr">
        <is>
          <t>No</t>
        </is>
      </c>
      <c r="B1726" t="inlineStr">
        <is>
          <t>LC5141 .F76 1999</t>
        </is>
      </c>
      <c r="C1726" t="inlineStr">
        <is>
          <t>0                      LC 5141000F  76          1999</t>
        </is>
      </c>
      <c r="D1726" t="inlineStr">
        <is>
          <t>From nihilism to possibility : democratic transformations for the inner city / edited by Frederick Yeo, Barry Kanpol.</t>
        </is>
      </c>
      <c r="F1726" t="inlineStr">
        <is>
          <t>No</t>
        </is>
      </c>
      <c r="G1726" t="inlineStr">
        <is>
          <t>1</t>
        </is>
      </c>
      <c r="H1726" t="inlineStr">
        <is>
          <t>No</t>
        </is>
      </c>
      <c r="I1726" t="inlineStr">
        <is>
          <t>No</t>
        </is>
      </c>
      <c r="J1726" t="inlineStr">
        <is>
          <t>0</t>
        </is>
      </c>
      <c r="L1726" t="inlineStr">
        <is>
          <t>Cresskill, N.J. : Hampton Press, c1999.</t>
        </is>
      </c>
      <c r="M1726" t="inlineStr">
        <is>
          <t>1999</t>
        </is>
      </c>
      <c r="O1726" t="inlineStr">
        <is>
          <t>eng</t>
        </is>
      </c>
      <c r="P1726" t="inlineStr">
        <is>
          <t>nju</t>
        </is>
      </c>
      <c r="Q1726" t="inlineStr">
        <is>
          <t>Understanding education and policy</t>
        </is>
      </c>
      <c r="R1726" t="inlineStr">
        <is>
          <t xml:space="preserve">LC </t>
        </is>
      </c>
      <c r="S1726" t="n">
        <v>1</v>
      </c>
      <c r="T1726" t="n">
        <v>1</v>
      </c>
      <c r="U1726" t="inlineStr">
        <is>
          <t>2006-04-13</t>
        </is>
      </c>
      <c r="V1726" t="inlineStr">
        <is>
          <t>2006-04-13</t>
        </is>
      </c>
      <c r="W1726" t="inlineStr">
        <is>
          <t>2006-04-13</t>
        </is>
      </c>
      <c r="X1726" t="inlineStr">
        <is>
          <t>2006-04-13</t>
        </is>
      </c>
      <c r="Y1726" t="n">
        <v>153</v>
      </c>
      <c r="Z1726" t="n">
        <v>138</v>
      </c>
      <c r="AA1726" t="n">
        <v>140</v>
      </c>
      <c r="AB1726" t="n">
        <v>1</v>
      </c>
      <c r="AC1726" t="n">
        <v>1</v>
      </c>
      <c r="AD1726" t="n">
        <v>7</v>
      </c>
      <c r="AE1726" t="n">
        <v>7</v>
      </c>
      <c r="AF1726" t="n">
        <v>0</v>
      </c>
      <c r="AG1726" t="n">
        <v>0</v>
      </c>
      <c r="AH1726" t="n">
        <v>4</v>
      </c>
      <c r="AI1726" t="n">
        <v>4</v>
      </c>
      <c r="AJ1726" t="n">
        <v>4</v>
      </c>
      <c r="AK1726" t="n">
        <v>4</v>
      </c>
      <c r="AL1726" t="n">
        <v>0</v>
      </c>
      <c r="AM1726" t="n">
        <v>0</v>
      </c>
      <c r="AN1726" t="n">
        <v>0</v>
      </c>
      <c r="AO1726" t="n">
        <v>0</v>
      </c>
      <c r="AP1726" t="inlineStr">
        <is>
          <t>No</t>
        </is>
      </c>
      <c r="AQ1726" t="inlineStr">
        <is>
          <t>Yes</t>
        </is>
      </c>
      <c r="AR1726">
        <f>HYPERLINK("http://catalog.hathitrust.org/Record/004053155","HathiTrust Record")</f>
        <v/>
      </c>
      <c r="AS1726">
        <f>HYPERLINK("https://creighton-primo.hosted.exlibrisgroup.com/primo-explore/search?tab=default_tab&amp;search_scope=EVERYTHING&amp;vid=01CRU&amp;lang=en_US&amp;offset=0&amp;query=any,contains,991004782309702656","Catalog Record")</f>
        <v/>
      </c>
      <c r="AT1726">
        <f>HYPERLINK("http://www.worldcat.org/oclc/41488766","WorldCat Record")</f>
        <v/>
      </c>
      <c r="AU1726" t="inlineStr">
        <is>
          <t>354083841:eng</t>
        </is>
      </c>
      <c r="AV1726" t="inlineStr">
        <is>
          <t>41488766</t>
        </is>
      </c>
      <c r="AW1726" t="inlineStr">
        <is>
          <t>991004782309702656</t>
        </is>
      </c>
      <c r="AX1726" t="inlineStr">
        <is>
          <t>991004782309702656</t>
        </is>
      </c>
      <c r="AY1726" t="inlineStr">
        <is>
          <t>2257724250002656</t>
        </is>
      </c>
      <c r="AZ1726" t="inlineStr">
        <is>
          <t>BOOK</t>
        </is>
      </c>
      <c r="BB1726" t="inlineStr">
        <is>
          <t>9781572732124</t>
        </is>
      </c>
      <c r="BC1726" t="inlineStr">
        <is>
          <t>32285005181341</t>
        </is>
      </c>
      <c r="BD1726" t="inlineStr">
        <is>
          <t>893507221</t>
        </is>
      </c>
    </row>
    <row r="1727">
      <c r="A1727" t="inlineStr">
        <is>
          <t>No</t>
        </is>
      </c>
      <c r="B1727" t="inlineStr">
        <is>
          <t>LC5144.2 .T68 1989</t>
        </is>
      </c>
      <c r="C1727" t="inlineStr">
        <is>
          <t>0                      LC 5144200T  68          1989</t>
        </is>
      </c>
      <c r="D1727" t="inlineStr">
        <is>
          <t>Homeless students / by Cynthia Crosson Tower, Donna J. White.</t>
        </is>
      </c>
      <c r="F1727" t="inlineStr">
        <is>
          <t>No</t>
        </is>
      </c>
      <c r="G1727" t="inlineStr">
        <is>
          <t>1</t>
        </is>
      </c>
      <c r="H1727" t="inlineStr">
        <is>
          <t>No</t>
        </is>
      </c>
      <c r="I1727" t="inlineStr">
        <is>
          <t>No</t>
        </is>
      </c>
      <c r="J1727" t="inlineStr">
        <is>
          <t>0</t>
        </is>
      </c>
      <c r="K1727" t="inlineStr">
        <is>
          <t>Crosson-Tower, Cynthia.</t>
        </is>
      </c>
      <c r="L1727" t="inlineStr">
        <is>
          <t>Washington, D.C. : National Education Association, c1989.</t>
        </is>
      </c>
      <c r="M1727" t="inlineStr">
        <is>
          <t>1989</t>
        </is>
      </c>
      <c r="O1727" t="inlineStr">
        <is>
          <t>eng</t>
        </is>
      </c>
      <c r="P1727" t="inlineStr">
        <is>
          <t>dcu</t>
        </is>
      </c>
      <c r="R1727" t="inlineStr">
        <is>
          <t xml:space="preserve">LC </t>
        </is>
      </c>
      <c r="S1727" t="n">
        <v>6</v>
      </c>
      <c r="T1727" t="n">
        <v>6</v>
      </c>
      <c r="U1727" t="inlineStr">
        <is>
          <t>1995-04-18</t>
        </is>
      </c>
      <c r="V1727" t="inlineStr">
        <is>
          <t>1995-04-18</t>
        </is>
      </c>
      <c r="W1727" t="inlineStr">
        <is>
          <t>1992-09-10</t>
        </is>
      </c>
      <c r="X1727" t="inlineStr">
        <is>
          <t>1992-09-10</t>
        </is>
      </c>
      <c r="Y1727" t="n">
        <v>345</v>
      </c>
      <c r="Z1727" t="n">
        <v>336</v>
      </c>
      <c r="AA1727" t="n">
        <v>345</v>
      </c>
      <c r="AB1727" t="n">
        <v>5</v>
      </c>
      <c r="AC1727" t="n">
        <v>5</v>
      </c>
      <c r="AD1727" t="n">
        <v>14</v>
      </c>
      <c r="AE1727" t="n">
        <v>14</v>
      </c>
      <c r="AF1727" t="n">
        <v>5</v>
      </c>
      <c r="AG1727" t="n">
        <v>5</v>
      </c>
      <c r="AH1727" t="n">
        <v>1</v>
      </c>
      <c r="AI1727" t="n">
        <v>1</v>
      </c>
      <c r="AJ1727" t="n">
        <v>6</v>
      </c>
      <c r="AK1727" t="n">
        <v>6</v>
      </c>
      <c r="AL1727" t="n">
        <v>4</v>
      </c>
      <c r="AM1727" t="n">
        <v>4</v>
      </c>
      <c r="AN1727" t="n">
        <v>0</v>
      </c>
      <c r="AO1727" t="n">
        <v>0</v>
      </c>
      <c r="AP1727" t="inlineStr">
        <is>
          <t>No</t>
        </is>
      </c>
      <c r="AQ1727" t="inlineStr">
        <is>
          <t>Yes</t>
        </is>
      </c>
      <c r="AR1727">
        <f>HYPERLINK("http://catalog.hathitrust.org/Record/001827831","HathiTrust Record")</f>
        <v/>
      </c>
      <c r="AS1727">
        <f>HYPERLINK("https://creighton-primo.hosted.exlibrisgroup.com/primo-explore/search?tab=default_tab&amp;search_scope=EVERYTHING&amp;vid=01CRU&amp;lang=en_US&amp;offset=0&amp;query=any,contains,991001513569702656","Catalog Record")</f>
        <v/>
      </c>
      <c r="AT1727">
        <f>HYPERLINK("http://www.worldcat.org/oclc/19920723","WorldCat Record")</f>
        <v/>
      </c>
      <c r="AU1727" t="inlineStr">
        <is>
          <t>46935901:eng</t>
        </is>
      </c>
      <c r="AV1727" t="inlineStr">
        <is>
          <t>19920723</t>
        </is>
      </c>
      <c r="AW1727" t="inlineStr">
        <is>
          <t>991001513569702656</t>
        </is>
      </c>
      <c r="AX1727" t="inlineStr">
        <is>
          <t>991001513569702656</t>
        </is>
      </c>
      <c r="AY1727" t="inlineStr">
        <is>
          <t>2270831980002656</t>
        </is>
      </c>
      <c r="AZ1727" t="inlineStr">
        <is>
          <t>BOOK</t>
        </is>
      </c>
      <c r="BB1727" t="inlineStr">
        <is>
          <t>9780810602458</t>
        </is>
      </c>
      <c r="BC1727" t="inlineStr">
        <is>
          <t>32285001309375</t>
        </is>
      </c>
      <c r="BD1727" t="inlineStr">
        <is>
          <t>893503462</t>
        </is>
      </c>
    </row>
    <row r="1728">
      <c r="A1728" t="inlineStr">
        <is>
          <t>No</t>
        </is>
      </c>
      <c r="B1728" t="inlineStr">
        <is>
          <t>LC5144.22.W2 Q85 1994</t>
        </is>
      </c>
      <c r="C1728" t="inlineStr">
        <is>
          <t>0                      LC 5144220W  2                  Q  85          1994</t>
        </is>
      </c>
      <c r="D1728" t="inlineStr">
        <is>
          <t>Schooling homeless children : a working model for America's public schools / Sharon Quint ; foreword by James P. Comer &amp; Norris M. Haynes.</t>
        </is>
      </c>
      <c r="F1728" t="inlineStr">
        <is>
          <t>No</t>
        </is>
      </c>
      <c r="G1728" t="inlineStr">
        <is>
          <t>1</t>
        </is>
      </c>
      <c r="H1728" t="inlineStr">
        <is>
          <t>No</t>
        </is>
      </c>
      <c r="I1728" t="inlineStr">
        <is>
          <t>No</t>
        </is>
      </c>
      <c r="J1728" t="inlineStr">
        <is>
          <t>0</t>
        </is>
      </c>
      <c r="K1728" t="inlineStr">
        <is>
          <t>Quint, Sharon, 1951-</t>
        </is>
      </c>
      <c r="L1728" t="inlineStr">
        <is>
          <t>New York : Teachers College Press, Teachers College, Columbia University, c1994.</t>
        </is>
      </c>
      <c r="M1728" t="inlineStr">
        <is>
          <t>1994</t>
        </is>
      </c>
      <c r="O1728" t="inlineStr">
        <is>
          <t>eng</t>
        </is>
      </c>
      <c r="P1728" t="inlineStr">
        <is>
          <t>nyu</t>
        </is>
      </c>
      <c r="R1728" t="inlineStr">
        <is>
          <t xml:space="preserve">LC </t>
        </is>
      </c>
      <c r="S1728" t="n">
        <v>1</v>
      </c>
      <c r="T1728" t="n">
        <v>1</v>
      </c>
      <c r="U1728" t="inlineStr">
        <is>
          <t>2001-10-15</t>
        </is>
      </c>
      <c r="V1728" t="inlineStr">
        <is>
          <t>2001-10-15</t>
        </is>
      </c>
      <c r="W1728" t="inlineStr">
        <is>
          <t>1995-03-31</t>
        </is>
      </c>
      <c r="X1728" t="inlineStr">
        <is>
          <t>1995-03-31</t>
        </is>
      </c>
      <c r="Y1728" t="n">
        <v>520</v>
      </c>
      <c r="Z1728" t="n">
        <v>497</v>
      </c>
      <c r="AA1728" t="n">
        <v>535</v>
      </c>
      <c r="AB1728" t="n">
        <v>6</v>
      </c>
      <c r="AC1728" t="n">
        <v>6</v>
      </c>
      <c r="AD1728" t="n">
        <v>29</v>
      </c>
      <c r="AE1728" t="n">
        <v>30</v>
      </c>
      <c r="AF1728" t="n">
        <v>11</v>
      </c>
      <c r="AG1728" t="n">
        <v>12</v>
      </c>
      <c r="AH1728" t="n">
        <v>4</v>
      </c>
      <c r="AI1728" t="n">
        <v>5</v>
      </c>
      <c r="AJ1728" t="n">
        <v>15</v>
      </c>
      <c r="AK1728" t="n">
        <v>15</v>
      </c>
      <c r="AL1728" t="n">
        <v>5</v>
      </c>
      <c r="AM1728" t="n">
        <v>5</v>
      </c>
      <c r="AN1728" t="n">
        <v>0</v>
      </c>
      <c r="AO1728" t="n">
        <v>0</v>
      </c>
      <c r="AP1728" t="inlineStr">
        <is>
          <t>No</t>
        </is>
      </c>
      <c r="AQ1728" t="inlineStr">
        <is>
          <t>No</t>
        </is>
      </c>
      <c r="AS1728">
        <f>HYPERLINK("https://creighton-primo.hosted.exlibrisgroup.com/primo-explore/search?tab=default_tab&amp;search_scope=EVERYTHING&amp;vid=01CRU&amp;lang=en_US&amp;offset=0&amp;query=any,contains,991002368379702656","Catalog Record")</f>
        <v/>
      </c>
      <c r="AT1728">
        <f>HYPERLINK("http://www.worldcat.org/oclc/30780735","WorldCat Record")</f>
        <v/>
      </c>
      <c r="AU1728" t="inlineStr">
        <is>
          <t>1005494:eng</t>
        </is>
      </c>
      <c r="AV1728" t="inlineStr">
        <is>
          <t>30780735</t>
        </is>
      </c>
      <c r="AW1728" t="inlineStr">
        <is>
          <t>991002368379702656</t>
        </is>
      </c>
      <c r="AX1728" t="inlineStr">
        <is>
          <t>991002368379702656</t>
        </is>
      </c>
      <c r="AY1728" t="inlineStr">
        <is>
          <t>2264380670002656</t>
        </is>
      </c>
      <c r="AZ1728" t="inlineStr">
        <is>
          <t>BOOK</t>
        </is>
      </c>
      <c r="BB1728" t="inlineStr">
        <is>
          <t>9780807733912</t>
        </is>
      </c>
      <c r="BC1728" t="inlineStr">
        <is>
          <t>32285002015641</t>
        </is>
      </c>
      <c r="BD1728" t="inlineStr">
        <is>
          <t>893873425</t>
        </is>
      </c>
    </row>
    <row r="1729">
      <c r="A1729" t="inlineStr">
        <is>
          <t>No</t>
        </is>
      </c>
      <c r="B1729" t="inlineStr">
        <is>
          <t>LC5148.S64 W66 2006</t>
        </is>
      </c>
      <c r="C1729" t="inlineStr">
        <is>
          <t>0                      LC 5148000S  64                 W  66          2006</t>
        </is>
      </c>
      <c r="D1729" t="inlineStr">
        <is>
          <t>Leaving Microsoft to change the world : an entrepreneur's odyssey to educate the world's children / John Wood.</t>
        </is>
      </c>
      <c r="F1729" t="inlineStr">
        <is>
          <t>No</t>
        </is>
      </c>
      <c r="G1729" t="inlineStr">
        <is>
          <t>1</t>
        </is>
      </c>
      <c r="H1729" t="inlineStr">
        <is>
          <t>No</t>
        </is>
      </c>
      <c r="I1729" t="inlineStr">
        <is>
          <t>No</t>
        </is>
      </c>
      <c r="J1729" t="inlineStr">
        <is>
          <t>0</t>
        </is>
      </c>
      <c r="K1729" t="inlineStr">
        <is>
          <t>Wood, John, 1964 January 29-</t>
        </is>
      </c>
      <c r="L1729" t="inlineStr">
        <is>
          <t>New York : Collins, c2006.</t>
        </is>
      </c>
      <c r="M1729" t="inlineStr">
        <is>
          <t>2006</t>
        </is>
      </c>
      <c r="O1729" t="inlineStr">
        <is>
          <t>eng</t>
        </is>
      </c>
      <c r="P1729" t="inlineStr">
        <is>
          <t>nyu</t>
        </is>
      </c>
      <c r="R1729" t="inlineStr">
        <is>
          <t xml:space="preserve">LC </t>
        </is>
      </c>
      <c r="S1729" t="n">
        <v>2</v>
      </c>
      <c r="T1729" t="n">
        <v>2</v>
      </c>
      <c r="U1729" t="inlineStr">
        <is>
          <t>2006-10-31</t>
        </is>
      </c>
      <c r="V1729" t="inlineStr">
        <is>
          <t>2006-10-31</t>
        </is>
      </c>
      <c r="W1729" t="inlineStr">
        <is>
          <t>2006-09-26</t>
        </is>
      </c>
      <c r="X1729" t="inlineStr">
        <is>
          <t>2006-09-26</t>
        </is>
      </c>
      <c r="Y1729" t="n">
        <v>1081</v>
      </c>
      <c r="Z1729" t="n">
        <v>980</v>
      </c>
      <c r="AA1729" t="n">
        <v>1181</v>
      </c>
      <c r="AB1729" t="n">
        <v>10</v>
      </c>
      <c r="AC1729" t="n">
        <v>11</v>
      </c>
      <c r="AD1729" t="n">
        <v>23</v>
      </c>
      <c r="AE1729" t="n">
        <v>28</v>
      </c>
      <c r="AF1729" t="n">
        <v>10</v>
      </c>
      <c r="AG1729" t="n">
        <v>13</v>
      </c>
      <c r="AH1729" t="n">
        <v>4</v>
      </c>
      <c r="AI1729" t="n">
        <v>5</v>
      </c>
      <c r="AJ1729" t="n">
        <v>10</v>
      </c>
      <c r="AK1729" t="n">
        <v>12</v>
      </c>
      <c r="AL1729" t="n">
        <v>5</v>
      </c>
      <c r="AM1729" t="n">
        <v>6</v>
      </c>
      <c r="AN1729" t="n">
        <v>0</v>
      </c>
      <c r="AO1729" t="n">
        <v>0</v>
      </c>
      <c r="AP1729" t="inlineStr">
        <is>
          <t>No</t>
        </is>
      </c>
      <c r="AQ1729" t="inlineStr">
        <is>
          <t>No</t>
        </is>
      </c>
      <c r="AS1729">
        <f>HYPERLINK("https://creighton-primo.hosted.exlibrisgroup.com/primo-explore/search?tab=default_tab&amp;search_scope=EVERYTHING&amp;vid=01CRU&amp;lang=en_US&amp;offset=0&amp;query=any,contains,991004905979702656","Catalog Record")</f>
        <v/>
      </c>
      <c r="AT1729">
        <f>HYPERLINK("http://www.worldcat.org/oclc/63705891","WorldCat Record")</f>
        <v/>
      </c>
      <c r="AU1729" t="inlineStr">
        <is>
          <t>57990512:eng</t>
        </is>
      </c>
      <c r="AV1729" t="inlineStr">
        <is>
          <t>63705891</t>
        </is>
      </c>
      <c r="AW1729" t="inlineStr">
        <is>
          <t>991004905979702656</t>
        </is>
      </c>
      <c r="AX1729" t="inlineStr">
        <is>
          <t>991004905979702656</t>
        </is>
      </c>
      <c r="AY1729" t="inlineStr">
        <is>
          <t>2256108180002656</t>
        </is>
      </c>
      <c r="AZ1729" t="inlineStr">
        <is>
          <t>BOOK</t>
        </is>
      </c>
      <c r="BB1729" t="inlineStr">
        <is>
          <t>9780061121074</t>
        </is>
      </c>
      <c r="BC1729" t="inlineStr">
        <is>
          <t>32285005225353</t>
        </is>
      </c>
      <c r="BD1729" t="inlineStr">
        <is>
          <t>893236038</t>
        </is>
      </c>
    </row>
    <row r="1730">
      <c r="A1730" t="inlineStr">
        <is>
          <t>No</t>
        </is>
      </c>
      <c r="B1730" t="inlineStr">
        <is>
          <t>LC5159.7.U6 C37 1999</t>
        </is>
      </c>
      <c r="C1730" t="inlineStr">
        <is>
          <t>0                      LC 5159700U  6                  C  37          1999</t>
        </is>
      </c>
      <c r="D1730" t="inlineStr">
        <is>
          <t>Gay parents/straight schools : building communication and trust / Virginia Casper, Steven B. Schultz ; foreword by Louise Derman-Sparks ; based on a collaborative study by Virginia Casper, Steven B. Schultz, and Elaine Wickens.</t>
        </is>
      </c>
      <c r="F1730" t="inlineStr">
        <is>
          <t>No</t>
        </is>
      </c>
      <c r="G1730" t="inlineStr">
        <is>
          <t>1</t>
        </is>
      </c>
      <c r="H1730" t="inlineStr">
        <is>
          <t>No</t>
        </is>
      </c>
      <c r="I1730" t="inlineStr">
        <is>
          <t>No</t>
        </is>
      </c>
      <c r="J1730" t="inlineStr">
        <is>
          <t>0</t>
        </is>
      </c>
      <c r="K1730" t="inlineStr">
        <is>
          <t>Casper, Virginia.</t>
        </is>
      </c>
      <c r="L1730" t="inlineStr">
        <is>
          <t>New York : Teachers College Press, c1999.</t>
        </is>
      </c>
      <c r="M1730" t="inlineStr">
        <is>
          <t>1999</t>
        </is>
      </c>
      <c r="O1730" t="inlineStr">
        <is>
          <t>eng</t>
        </is>
      </c>
      <c r="P1730" t="inlineStr">
        <is>
          <t>nyu</t>
        </is>
      </c>
      <c r="R1730" t="inlineStr">
        <is>
          <t xml:space="preserve">LC </t>
        </is>
      </c>
      <c r="S1730" t="n">
        <v>3</v>
      </c>
      <c r="T1730" t="n">
        <v>3</v>
      </c>
      <c r="U1730" t="inlineStr">
        <is>
          <t>2007-05-26</t>
        </is>
      </c>
      <c r="V1730" t="inlineStr">
        <is>
          <t>2007-05-26</t>
        </is>
      </c>
      <c r="W1730" t="inlineStr">
        <is>
          <t>2000-01-11</t>
        </is>
      </c>
      <c r="X1730" t="inlineStr">
        <is>
          <t>2000-01-11</t>
        </is>
      </c>
      <c r="Y1730" t="n">
        <v>496</v>
      </c>
      <c r="Z1730" t="n">
        <v>450</v>
      </c>
      <c r="AA1730" t="n">
        <v>1450</v>
      </c>
      <c r="AB1730" t="n">
        <v>4</v>
      </c>
      <c r="AC1730" t="n">
        <v>43</v>
      </c>
      <c r="AD1730" t="n">
        <v>22</v>
      </c>
      <c r="AE1730" t="n">
        <v>46</v>
      </c>
      <c r="AF1730" t="n">
        <v>7</v>
      </c>
      <c r="AG1730" t="n">
        <v>19</v>
      </c>
      <c r="AH1730" t="n">
        <v>6</v>
      </c>
      <c r="AI1730" t="n">
        <v>9</v>
      </c>
      <c r="AJ1730" t="n">
        <v>12</v>
      </c>
      <c r="AK1730" t="n">
        <v>17</v>
      </c>
      <c r="AL1730" t="n">
        <v>3</v>
      </c>
      <c r="AM1730" t="n">
        <v>12</v>
      </c>
      <c r="AN1730" t="n">
        <v>0</v>
      </c>
      <c r="AO1730" t="n">
        <v>0</v>
      </c>
      <c r="AP1730" t="inlineStr">
        <is>
          <t>No</t>
        </is>
      </c>
      <c r="AQ1730" t="inlineStr">
        <is>
          <t>No</t>
        </is>
      </c>
      <c r="AS1730">
        <f>HYPERLINK("https://creighton-primo.hosted.exlibrisgroup.com/primo-explore/search?tab=default_tab&amp;search_scope=EVERYTHING&amp;vid=01CRU&amp;lang=en_US&amp;offset=0&amp;query=any,contains,991003015689702656","Catalog Record")</f>
        <v/>
      </c>
      <c r="AT1730">
        <f>HYPERLINK("http://www.worldcat.org/oclc/41017468","WorldCat Record")</f>
        <v/>
      </c>
      <c r="AU1730" t="inlineStr">
        <is>
          <t>799724753:eng</t>
        </is>
      </c>
      <c r="AV1730" t="inlineStr">
        <is>
          <t>41017468</t>
        </is>
      </c>
      <c r="AW1730" t="inlineStr">
        <is>
          <t>991003015689702656</t>
        </is>
      </c>
      <c r="AX1730" t="inlineStr">
        <is>
          <t>991003015689702656</t>
        </is>
      </c>
      <c r="AY1730" t="inlineStr">
        <is>
          <t>2255393230002656</t>
        </is>
      </c>
      <c r="AZ1730" t="inlineStr">
        <is>
          <t>BOOK</t>
        </is>
      </c>
      <c r="BB1730" t="inlineStr">
        <is>
          <t>9780807738245</t>
        </is>
      </c>
      <c r="BC1730" t="inlineStr">
        <is>
          <t>32285003639399</t>
        </is>
      </c>
      <c r="BD1730" t="inlineStr">
        <is>
          <t>893336041</t>
        </is>
      </c>
    </row>
    <row r="1731">
      <c r="A1731" t="inlineStr">
        <is>
          <t>No</t>
        </is>
      </c>
      <c r="B1731" t="inlineStr">
        <is>
          <t>LC519 .C73 1985</t>
        </is>
      </c>
      <c r="C1731" t="inlineStr">
        <is>
          <t>0                      LC 0519000C  73          1985</t>
        </is>
      </c>
      <c r="D1731" t="inlineStr">
        <is>
          <t>Teaching religion in Catholic schools : theory and practice / by Marisa L. Crawford and Graham M. Rossiter.</t>
        </is>
      </c>
      <c r="F1731" t="inlineStr">
        <is>
          <t>No</t>
        </is>
      </c>
      <c r="G1731" t="inlineStr">
        <is>
          <t>1</t>
        </is>
      </c>
      <c r="H1731" t="inlineStr">
        <is>
          <t>No</t>
        </is>
      </c>
      <c r="I1731" t="inlineStr">
        <is>
          <t>No</t>
        </is>
      </c>
      <c r="J1731" t="inlineStr">
        <is>
          <t>0</t>
        </is>
      </c>
      <c r="K1731" t="inlineStr">
        <is>
          <t>Crawford, Marisa L.</t>
        </is>
      </c>
      <c r="L1731" t="inlineStr">
        <is>
          <t>Sydney : Province Resource Group, Christian Brothers, 1985</t>
        </is>
      </c>
      <c r="M1731" t="inlineStr">
        <is>
          <t>1986</t>
        </is>
      </c>
      <c r="O1731" t="inlineStr">
        <is>
          <t>eng</t>
        </is>
      </c>
      <c r="P1731" t="inlineStr">
        <is>
          <t xml:space="preserve">at </t>
        </is>
      </c>
      <c r="R1731" t="inlineStr">
        <is>
          <t xml:space="preserve">LC </t>
        </is>
      </c>
      <c r="S1731" t="n">
        <v>7</v>
      </c>
      <c r="T1731" t="n">
        <v>7</v>
      </c>
      <c r="U1731" t="inlineStr">
        <is>
          <t>2007-09-07</t>
        </is>
      </c>
      <c r="V1731" t="inlineStr">
        <is>
          <t>2007-09-07</t>
        </is>
      </c>
      <c r="W1731" t="inlineStr">
        <is>
          <t>1992-08-27</t>
        </is>
      </c>
      <c r="X1731" t="inlineStr">
        <is>
          <t>1992-08-27</t>
        </is>
      </c>
      <c r="Y1731" t="n">
        <v>32</v>
      </c>
      <c r="Z1731" t="n">
        <v>17</v>
      </c>
      <c r="AA1731" t="n">
        <v>17</v>
      </c>
      <c r="AB1731" t="n">
        <v>2</v>
      </c>
      <c r="AC1731" t="n">
        <v>2</v>
      </c>
      <c r="AD1731" t="n">
        <v>2</v>
      </c>
      <c r="AE1731" t="n">
        <v>2</v>
      </c>
      <c r="AF1731" t="n">
        <v>0</v>
      </c>
      <c r="AG1731" t="n">
        <v>0</v>
      </c>
      <c r="AH1731" t="n">
        <v>0</v>
      </c>
      <c r="AI1731" t="n">
        <v>0</v>
      </c>
      <c r="AJ1731" t="n">
        <v>1</v>
      </c>
      <c r="AK1731" t="n">
        <v>1</v>
      </c>
      <c r="AL1731" t="n">
        <v>1</v>
      </c>
      <c r="AM1731" t="n">
        <v>1</v>
      </c>
      <c r="AN1731" t="n">
        <v>0</v>
      </c>
      <c r="AO1731" t="n">
        <v>0</v>
      </c>
      <c r="AP1731" t="inlineStr">
        <is>
          <t>No</t>
        </is>
      </c>
      <c r="AQ1731" t="inlineStr">
        <is>
          <t>No</t>
        </is>
      </c>
      <c r="AS1731">
        <f>HYPERLINK("https://creighton-primo.hosted.exlibrisgroup.com/primo-explore/search?tab=default_tab&amp;search_scope=EVERYTHING&amp;vid=01CRU&amp;lang=en_US&amp;offset=0&amp;query=any,contains,991000994279702656","Catalog Record")</f>
        <v/>
      </c>
      <c r="AT1731">
        <f>HYPERLINK("http://www.worldcat.org/oclc/15128577","WorldCat Record")</f>
        <v/>
      </c>
      <c r="AU1731" t="inlineStr">
        <is>
          <t>257254225:eng</t>
        </is>
      </c>
      <c r="AV1731" t="inlineStr">
        <is>
          <t>15128577</t>
        </is>
      </c>
      <c r="AW1731" t="inlineStr">
        <is>
          <t>991000994279702656</t>
        </is>
      </c>
      <c r="AX1731" t="inlineStr">
        <is>
          <t>991000994279702656</t>
        </is>
      </c>
      <c r="AY1731" t="inlineStr">
        <is>
          <t>2265417010002656</t>
        </is>
      </c>
      <c r="AZ1731" t="inlineStr">
        <is>
          <t>BOOK</t>
        </is>
      </c>
      <c r="BB1731" t="inlineStr">
        <is>
          <t>9780958921107</t>
        </is>
      </c>
      <c r="BC1731" t="inlineStr">
        <is>
          <t>32285001282291</t>
        </is>
      </c>
      <c r="BD1731" t="inlineStr">
        <is>
          <t>893772204</t>
        </is>
      </c>
    </row>
    <row r="1732">
      <c r="A1732" t="inlineStr">
        <is>
          <t>No</t>
        </is>
      </c>
      <c r="B1732" t="inlineStr">
        <is>
          <t>LC5215 .D375 1982</t>
        </is>
      </c>
      <c r="C1732" t="inlineStr">
        <is>
          <t>0                      LC 5215000D  375         1982</t>
        </is>
      </c>
      <c r="D1732" t="inlineStr">
        <is>
          <t>Adult education : foundations of practice / Gordon G. Darkenwald, Sharan B. Merriam.</t>
        </is>
      </c>
      <c r="F1732" t="inlineStr">
        <is>
          <t>No</t>
        </is>
      </c>
      <c r="G1732" t="inlineStr">
        <is>
          <t>1</t>
        </is>
      </c>
      <c r="H1732" t="inlineStr">
        <is>
          <t>No</t>
        </is>
      </c>
      <c r="I1732" t="inlineStr">
        <is>
          <t>No</t>
        </is>
      </c>
      <c r="J1732" t="inlineStr">
        <is>
          <t>0</t>
        </is>
      </c>
      <c r="K1732" t="inlineStr">
        <is>
          <t>Darkenwald, Gordon G.</t>
        </is>
      </c>
      <c r="L1732" t="inlineStr">
        <is>
          <t>New York : Harper &amp; Row, c1982.</t>
        </is>
      </c>
      <c r="M1732" t="inlineStr">
        <is>
          <t>1982</t>
        </is>
      </c>
      <c r="O1732" t="inlineStr">
        <is>
          <t>eng</t>
        </is>
      </c>
      <c r="P1732" t="inlineStr">
        <is>
          <t>nyu</t>
        </is>
      </c>
      <c r="R1732" t="inlineStr">
        <is>
          <t xml:space="preserve">LC </t>
        </is>
      </c>
      <c r="S1732" t="n">
        <v>3</v>
      </c>
      <c r="T1732" t="n">
        <v>3</v>
      </c>
      <c r="U1732" t="inlineStr">
        <is>
          <t>2010-11-12</t>
        </is>
      </c>
      <c r="V1732" t="inlineStr">
        <is>
          <t>2010-11-12</t>
        </is>
      </c>
      <c r="W1732" t="inlineStr">
        <is>
          <t>1990-03-29</t>
        </is>
      </c>
      <c r="X1732" t="inlineStr">
        <is>
          <t>1990-03-29</t>
        </is>
      </c>
      <c r="Y1732" t="n">
        <v>459</v>
      </c>
      <c r="Z1732" t="n">
        <v>331</v>
      </c>
      <c r="AA1732" t="n">
        <v>332</v>
      </c>
      <c r="AB1732" t="n">
        <v>2</v>
      </c>
      <c r="AC1732" t="n">
        <v>2</v>
      </c>
      <c r="AD1732" t="n">
        <v>9</v>
      </c>
      <c r="AE1732" t="n">
        <v>9</v>
      </c>
      <c r="AF1732" t="n">
        <v>3</v>
      </c>
      <c r="AG1732" t="n">
        <v>3</v>
      </c>
      <c r="AH1732" t="n">
        <v>1</v>
      </c>
      <c r="AI1732" t="n">
        <v>1</v>
      </c>
      <c r="AJ1732" t="n">
        <v>6</v>
      </c>
      <c r="AK1732" t="n">
        <v>6</v>
      </c>
      <c r="AL1732" t="n">
        <v>1</v>
      </c>
      <c r="AM1732" t="n">
        <v>1</v>
      </c>
      <c r="AN1732" t="n">
        <v>0</v>
      </c>
      <c r="AO1732" t="n">
        <v>0</v>
      </c>
      <c r="AP1732" t="inlineStr">
        <is>
          <t>No</t>
        </is>
      </c>
      <c r="AQ1732" t="inlineStr">
        <is>
          <t>Yes</t>
        </is>
      </c>
      <c r="AR1732">
        <f>HYPERLINK("http://catalog.hathitrust.org/Record/000775121","HathiTrust Record")</f>
        <v/>
      </c>
      <c r="AS1732">
        <f>HYPERLINK("https://creighton-primo.hosted.exlibrisgroup.com/primo-explore/search?tab=default_tab&amp;search_scope=EVERYTHING&amp;vid=01CRU&amp;lang=en_US&amp;offset=0&amp;query=any,contains,991005153239702656","Catalog Record")</f>
        <v/>
      </c>
      <c r="AT1732">
        <f>HYPERLINK("http://www.worldcat.org/oclc/7735642","WorldCat Record")</f>
        <v/>
      </c>
      <c r="AU1732" t="inlineStr">
        <is>
          <t>478938142:eng</t>
        </is>
      </c>
      <c r="AV1732" t="inlineStr">
        <is>
          <t>7735642</t>
        </is>
      </c>
      <c r="AW1732" t="inlineStr">
        <is>
          <t>991005153239702656</t>
        </is>
      </c>
      <c r="AX1732" t="inlineStr">
        <is>
          <t>991005153239702656</t>
        </is>
      </c>
      <c r="AY1732" t="inlineStr">
        <is>
          <t>2255006920002656</t>
        </is>
      </c>
      <c r="AZ1732" t="inlineStr">
        <is>
          <t>BOOK</t>
        </is>
      </c>
      <c r="BB1732" t="inlineStr">
        <is>
          <t>9780690015416</t>
        </is>
      </c>
      <c r="BC1732" t="inlineStr">
        <is>
          <t>32285000106061</t>
        </is>
      </c>
      <c r="BD1732" t="inlineStr">
        <is>
          <t>893795696</t>
        </is>
      </c>
    </row>
    <row r="1733">
      <c r="A1733" t="inlineStr">
        <is>
          <t>No</t>
        </is>
      </c>
      <c r="B1733" t="inlineStr">
        <is>
          <t>LC5215 .H46</t>
        </is>
      </c>
      <c r="C1733" t="inlineStr">
        <is>
          <t>0                      LC 5215000H  46</t>
        </is>
      </c>
      <c r="D1733" t="inlineStr">
        <is>
          <t>Lifelong learning / by Roger Hiemstra.</t>
        </is>
      </c>
      <c r="F1733" t="inlineStr">
        <is>
          <t>No</t>
        </is>
      </c>
      <c r="G1733" t="inlineStr">
        <is>
          <t>1</t>
        </is>
      </c>
      <c r="H1733" t="inlineStr">
        <is>
          <t>No</t>
        </is>
      </c>
      <c r="I1733" t="inlineStr">
        <is>
          <t>No</t>
        </is>
      </c>
      <c r="J1733" t="inlineStr">
        <is>
          <t>0</t>
        </is>
      </c>
      <c r="K1733" t="inlineStr">
        <is>
          <t>Hiemstra, Roger.</t>
        </is>
      </c>
      <c r="L1733" t="inlineStr">
        <is>
          <t>Lincoln, Neb. : Professional Educators Publications, c1976.</t>
        </is>
      </c>
      <c r="M1733" t="inlineStr">
        <is>
          <t>1976</t>
        </is>
      </c>
      <c r="O1733" t="inlineStr">
        <is>
          <t>eng</t>
        </is>
      </c>
      <c r="P1733" t="inlineStr">
        <is>
          <t>nbu</t>
        </is>
      </c>
      <c r="Q1733" t="inlineStr">
        <is>
          <t>The Professional education series</t>
        </is>
      </c>
      <c r="R1733" t="inlineStr">
        <is>
          <t xml:space="preserve">LC </t>
        </is>
      </c>
      <c r="S1733" t="n">
        <v>4</v>
      </c>
      <c r="T1733" t="n">
        <v>4</v>
      </c>
      <c r="U1733" t="inlineStr">
        <is>
          <t>2010-11-12</t>
        </is>
      </c>
      <c r="V1733" t="inlineStr">
        <is>
          <t>2010-11-12</t>
        </is>
      </c>
      <c r="W1733" t="inlineStr">
        <is>
          <t>1992-06-10</t>
        </is>
      </c>
      <c r="X1733" t="inlineStr">
        <is>
          <t>1992-06-10</t>
        </is>
      </c>
      <c r="Y1733" t="n">
        <v>212</v>
      </c>
      <c r="Z1733" t="n">
        <v>187</v>
      </c>
      <c r="AA1733" t="n">
        <v>190</v>
      </c>
      <c r="AB1733" t="n">
        <v>2</v>
      </c>
      <c r="AC1733" t="n">
        <v>2</v>
      </c>
      <c r="AD1733" t="n">
        <v>7</v>
      </c>
      <c r="AE1733" t="n">
        <v>7</v>
      </c>
      <c r="AF1733" t="n">
        <v>2</v>
      </c>
      <c r="AG1733" t="n">
        <v>2</v>
      </c>
      <c r="AH1733" t="n">
        <v>1</v>
      </c>
      <c r="AI1733" t="n">
        <v>1</v>
      </c>
      <c r="AJ1733" t="n">
        <v>5</v>
      </c>
      <c r="AK1733" t="n">
        <v>5</v>
      </c>
      <c r="AL1733" t="n">
        <v>1</v>
      </c>
      <c r="AM1733" t="n">
        <v>1</v>
      </c>
      <c r="AN1733" t="n">
        <v>0</v>
      </c>
      <c r="AO1733" t="n">
        <v>0</v>
      </c>
      <c r="AP1733" t="inlineStr">
        <is>
          <t>No</t>
        </is>
      </c>
      <c r="AQ1733" t="inlineStr">
        <is>
          <t>Yes</t>
        </is>
      </c>
      <c r="AR1733">
        <f>HYPERLINK("http://catalog.hathitrust.org/Record/004436514","HathiTrust Record")</f>
        <v/>
      </c>
      <c r="AS1733">
        <f>HYPERLINK("https://creighton-primo.hosted.exlibrisgroup.com/primo-explore/search?tab=default_tab&amp;search_scope=EVERYTHING&amp;vid=01CRU&amp;lang=en_US&amp;offset=0&amp;query=any,contains,991004175499702656","Catalog Record")</f>
        <v/>
      </c>
      <c r="AT1733">
        <f>HYPERLINK("http://www.worldcat.org/oclc/2596609","WorldCat Record")</f>
        <v/>
      </c>
      <c r="AU1733" t="inlineStr">
        <is>
          <t>5709084:eng</t>
        </is>
      </c>
      <c r="AV1733" t="inlineStr">
        <is>
          <t>2596609</t>
        </is>
      </c>
      <c r="AW1733" t="inlineStr">
        <is>
          <t>991004175499702656</t>
        </is>
      </c>
      <c r="AX1733" t="inlineStr">
        <is>
          <t>991004175499702656</t>
        </is>
      </c>
      <c r="AY1733" t="inlineStr">
        <is>
          <t>2268303750002656</t>
        </is>
      </c>
      <c r="AZ1733" t="inlineStr">
        <is>
          <t>BOOK</t>
        </is>
      </c>
      <c r="BB1733" t="inlineStr">
        <is>
          <t>9780882240299</t>
        </is>
      </c>
      <c r="BC1733" t="inlineStr">
        <is>
          <t>32285001130920</t>
        </is>
      </c>
      <c r="BD1733" t="inlineStr">
        <is>
          <t>893535851</t>
        </is>
      </c>
    </row>
    <row r="1734">
      <c r="A1734" t="inlineStr">
        <is>
          <t>No</t>
        </is>
      </c>
      <c r="B1734" t="inlineStr">
        <is>
          <t>LC5215 .J37 1995</t>
        </is>
      </c>
      <c r="C1734" t="inlineStr">
        <is>
          <t>0                      LC 5215000J  37          1995</t>
        </is>
      </c>
      <c r="D1734" t="inlineStr">
        <is>
          <t>Adult and continuing education : theory and practice / Peter Jarvis.</t>
        </is>
      </c>
      <c r="F1734" t="inlineStr">
        <is>
          <t>No</t>
        </is>
      </c>
      <c r="G1734" t="inlineStr">
        <is>
          <t>1</t>
        </is>
      </c>
      <c r="H1734" t="inlineStr">
        <is>
          <t>No</t>
        </is>
      </c>
      <c r="I1734" t="inlineStr">
        <is>
          <t>No</t>
        </is>
      </c>
      <c r="J1734" t="inlineStr">
        <is>
          <t>0</t>
        </is>
      </c>
      <c r="K1734" t="inlineStr">
        <is>
          <t>Jarvis, Peter, 1937-</t>
        </is>
      </c>
      <c r="L1734" t="inlineStr">
        <is>
          <t>London ; New York : Routledge, 1995.</t>
        </is>
      </c>
      <c r="M1734" t="inlineStr">
        <is>
          <t>1995</t>
        </is>
      </c>
      <c r="N1734" t="inlineStr">
        <is>
          <t>2nd ed.</t>
        </is>
      </c>
      <c r="O1734" t="inlineStr">
        <is>
          <t>eng</t>
        </is>
      </c>
      <c r="P1734" t="inlineStr">
        <is>
          <t>enk</t>
        </is>
      </c>
      <c r="R1734" t="inlineStr">
        <is>
          <t xml:space="preserve">LC </t>
        </is>
      </c>
      <c r="S1734" t="n">
        <v>1</v>
      </c>
      <c r="T1734" t="n">
        <v>1</v>
      </c>
      <c r="U1734" t="inlineStr">
        <is>
          <t>2001-04-24</t>
        </is>
      </c>
      <c r="V1734" t="inlineStr">
        <is>
          <t>2001-04-24</t>
        </is>
      </c>
      <c r="W1734" t="inlineStr">
        <is>
          <t>1996-10-16</t>
        </is>
      </c>
      <c r="X1734" t="inlineStr">
        <is>
          <t>1996-10-16</t>
        </is>
      </c>
      <c r="Y1734" t="n">
        <v>302</v>
      </c>
      <c r="Z1734" t="n">
        <v>114</v>
      </c>
      <c r="AA1734" t="n">
        <v>299</v>
      </c>
      <c r="AB1734" t="n">
        <v>2</v>
      </c>
      <c r="AC1734" t="n">
        <v>4</v>
      </c>
      <c r="AD1734" t="n">
        <v>5</v>
      </c>
      <c r="AE1734" t="n">
        <v>16</v>
      </c>
      <c r="AF1734" t="n">
        <v>1</v>
      </c>
      <c r="AG1734" t="n">
        <v>3</v>
      </c>
      <c r="AH1734" t="n">
        <v>0</v>
      </c>
      <c r="AI1734" t="n">
        <v>3</v>
      </c>
      <c r="AJ1734" t="n">
        <v>4</v>
      </c>
      <c r="AK1734" t="n">
        <v>10</v>
      </c>
      <c r="AL1734" t="n">
        <v>1</v>
      </c>
      <c r="AM1734" t="n">
        <v>3</v>
      </c>
      <c r="AN1734" t="n">
        <v>0</v>
      </c>
      <c r="AO1734" t="n">
        <v>0</v>
      </c>
      <c r="AP1734" t="inlineStr">
        <is>
          <t>No</t>
        </is>
      </c>
      <c r="AQ1734" t="inlineStr">
        <is>
          <t>No</t>
        </is>
      </c>
      <c r="AS1734">
        <f>HYPERLINK("https://creighton-primo.hosted.exlibrisgroup.com/primo-explore/search?tab=default_tab&amp;search_scope=EVERYTHING&amp;vid=01CRU&amp;lang=en_US&amp;offset=0&amp;query=any,contains,991002314519702656","Catalog Record")</f>
        <v/>
      </c>
      <c r="AT1734">
        <f>HYPERLINK("http://www.worldcat.org/oclc/30034880","WorldCat Record")</f>
        <v/>
      </c>
      <c r="AU1734" t="inlineStr">
        <is>
          <t>3901021402:eng</t>
        </is>
      </c>
      <c r="AV1734" t="inlineStr">
        <is>
          <t>30034880</t>
        </is>
      </c>
      <c r="AW1734" t="inlineStr">
        <is>
          <t>991002314519702656</t>
        </is>
      </c>
      <c r="AX1734" t="inlineStr">
        <is>
          <t>991002314519702656</t>
        </is>
      </c>
      <c r="AY1734" t="inlineStr">
        <is>
          <t>2271726890002656</t>
        </is>
      </c>
      <c r="AZ1734" t="inlineStr">
        <is>
          <t>BOOK</t>
        </is>
      </c>
      <c r="BB1734" t="inlineStr">
        <is>
          <t>9780415102421</t>
        </is>
      </c>
      <c r="BC1734" t="inlineStr">
        <is>
          <t>32285002366465</t>
        </is>
      </c>
      <c r="BD1734" t="inlineStr">
        <is>
          <t>893697627</t>
        </is>
      </c>
    </row>
    <row r="1735">
      <c r="A1735" t="inlineStr">
        <is>
          <t>No</t>
        </is>
      </c>
      <c r="B1735" t="inlineStr">
        <is>
          <t>LC5215 .T57 1996</t>
        </is>
      </c>
      <c r="C1735" t="inlineStr">
        <is>
          <t>0                      LC 5215000T  57          1996</t>
        </is>
      </c>
      <c r="D1735" t="inlineStr">
        <is>
          <t>Key concepts in adult education and training / Malcolm Tight.</t>
        </is>
      </c>
      <c r="F1735" t="inlineStr">
        <is>
          <t>No</t>
        </is>
      </c>
      <c r="G1735" t="inlineStr">
        <is>
          <t>1</t>
        </is>
      </c>
      <c r="H1735" t="inlineStr">
        <is>
          <t>No</t>
        </is>
      </c>
      <c r="I1735" t="inlineStr">
        <is>
          <t>No</t>
        </is>
      </c>
      <c r="J1735" t="inlineStr">
        <is>
          <t>0</t>
        </is>
      </c>
      <c r="K1735" t="inlineStr">
        <is>
          <t>Tight, Malcolm.</t>
        </is>
      </c>
      <c r="L1735" t="inlineStr">
        <is>
          <t>London ; New York : Routledge, 1996.</t>
        </is>
      </c>
      <c r="M1735" t="inlineStr">
        <is>
          <t>1996</t>
        </is>
      </c>
      <c r="O1735" t="inlineStr">
        <is>
          <t>eng</t>
        </is>
      </c>
      <c r="P1735" t="inlineStr">
        <is>
          <t>enk</t>
        </is>
      </c>
      <c r="R1735" t="inlineStr">
        <is>
          <t xml:space="preserve">LC </t>
        </is>
      </c>
      <c r="S1735" t="n">
        <v>5</v>
      </c>
      <c r="T1735" t="n">
        <v>5</v>
      </c>
      <c r="U1735" t="inlineStr">
        <is>
          <t>2010-11-12</t>
        </is>
      </c>
      <c r="V1735" t="inlineStr">
        <is>
          <t>2010-11-12</t>
        </is>
      </c>
      <c r="W1735" t="inlineStr">
        <is>
          <t>1996-09-24</t>
        </is>
      </c>
      <c r="X1735" t="inlineStr">
        <is>
          <t>1996-09-24</t>
        </is>
      </c>
      <c r="Y1735" t="n">
        <v>394</v>
      </c>
      <c r="Z1735" t="n">
        <v>209</v>
      </c>
      <c r="AA1735" t="n">
        <v>541</v>
      </c>
      <c r="AB1735" t="n">
        <v>2</v>
      </c>
      <c r="AC1735" t="n">
        <v>3</v>
      </c>
      <c r="AD1735" t="n">
        <v>9</v>
      </c>
      <c r="AE1735" t="n">
        <v>13</v>
      </c>
      <c r="AF1735" t="n">
        <v>2</v>
      </c>
      <c r="AG1735" t="n">
        <v>2</v>
      </c>
      <c r="AH1735" t="n">
        <v>1</v>
      </c>
      <c r="AI1735" t="n">
        <v>2</v>
      </c>
      <c r="AJ1735" t="n">
        <v>7</v>
      </c>
      <c r="AK1735" t="n">
        <v>11</v>
      </c>
      <c r="AL1735" t="n">
        <v>1</v>
      </c>
      <c r="AM1735" t="n">
        <v>1</v>
      </c>
      <c r="AN1735" t="n">
        <v>0</v>
      </c>
      <c r="AO1735" t="n">
        <v>0</v>
      </c>
      <c r="AP1735" t="inlineStr">
        <is>
          <t>No</t>
        </is>
      </c>
      <c r="AQ1735" t="inlineStr">
        <is>
          <t>No</t>
        </is>
      </c>
      <c r="AS1735">
        <f>HYPERLINK("https://creighton-primo.hosted.exlibrisgroup.com/primo-explore/search?tab=default_tab&amp;search_scope=EVERYTHING&amp;vid=01CRU&amp;lang=en_US&amp;offset=0&amp;query=any,contains,991002568009702656","Catalog Record")</f>
        <v/>
      </c>
      <c r="AT1735">
        <f>HYPERLINK("http://www.worldcat.org/oclc/33361563","WorldCat Record")</f>
        <v/>
      </c>
      <c r="AU1735" t="inlineStr">
        <is>
          <t>5935082:eng</t>
        </is>
      </c>
      <c r="AV1735" t="inlineStr">
        <is>
          <t>33361563</t>
        </is>
      </c>
      <c r="AW1735" t="inlineStr">
        <is>
          <t>991002568009702656</t>
        </is>
      </c>
      <c r="AX1735" t="inlineStr">
        <is>
          <t>991002568009702656</t>
        </is>
      </c>
      <c r="AY1735" t="inlineStr">
        <is>
          <t>2266229850002656</t>
        </is>
      </c>
      <c r="AZ1735" t="inlineStr">
        <is>
          <t>BOOK</t>
        </is>
      </c>
      <c r="BB1735" t="inlineStr">
        <is>
          <t>9780415128339</t>
        </is>
      </c>
      <c r="BC1735" t="inlineStr">
        <is>
          <t>32285002318722</t>
        </is>
      </c>
      <c r="BD1735" t="inlineStr">
        <is>
          <t>893597612</t>
        </is>
      </c>
    </row>
    <row r="1736">
      <c r="A1736" t="inlineStr">
        <is>
          <t>No</t>
        </is>
      </c>
      <c r="B1736" t="inlineStr">
        <is>
          <t>LC5219 .A37</t>
        </is>
      </c>
      <c r="C1736" t="inlineStr">
        <is>
          <t>0                      LC 5219000A  37</t>
        </is>
      </c>
      <c r="D1736" t="inlineStr">
        <is>
          <t>Learning in the later years : principles of educational gerontology / Victor M. Agruso, Jr.</t>
        </is>
      </c>
      <c r="F1736" t="inlineStr">
        <is>
          <t>No</t>
        </is>
      </c>
      <c r="G1736" t="inlineStr">
        <is>
          <t>1</t>
        </is>
      </c>
      <c r="H1736" t="inlineStr">
        <is>
          <t>No</t>
        </is>
      </c>
      <c r="I1736" t="inlineStr">
        <is>
          <t>No</t>
        </is>
      </c>
      <c r="J1736" t="inlineStr">
        <is>
          <t>0</t>
        </is>
      </c>
      <c r="K1736" t="inlineStr">
        <is>
          <t>Agruso, Victor M.</t>
        </is>
      </c>
      <c r="L1736" t="inlineStr">
        <is>
          <t>New York : Academic Press, 1978.</t>
        </is>
      </c>
      <c r="M1736" t="inlineStr">
        <is>
          <t>1978</t>
        </is>
      </c>
      <c r="O1736" t="inlineStr">
        <is>
          <t>eng</t>
        </is>
      </c>
      <c r="P1736" t="inlineStr">
        <is>
          <t>nyu</t>
        </is>
      </c>
      <c r="Q1736" t="inlineStr">
        <is>
          <t>Educational psychology series</t>
        </is>
      </c>
      <c r="R1736" t="inlineStr">
        <is>
          <t xml:space="preserve">LC </t>
        </is>
      </c>
      <c r="S1736" t="n">
        <v>3</v>
      </c>
      <c r="T1736" t="n">
        <v>3</v>
      </c>
      <c r="U1736" t="inlineStr">
        <is>
          <t>2001-10-10</t>
        </is>
      </c>
      <c r="V1736" t="inlineStr">
        <is>
          <t>2001-10-10</t>
        </is>
      </c>
      <c r="W1736" t="inlineStr">
        <is>
          <t>1990-03-29</t>
        </is>
      </c>
      <c r="X1736" t="inlineStr">
        <is>
          <t>1990-03-29</t>
        </is>
      </c>
      <c r="Y1736" t="n">
        <v>578</v>
      </c>
      <c r="Z1736" t="n">
        <v>446</v>
      </c>
      <c r="AA1736" t="n">
        <v>448</v>
      </c>
      <c r="AB1736" t="n">
        <v>3</v>
      </c>
      <c r="AC1736" t="n">
        <v>3</v>
      </c>
      <c r="AD1736" t="n">
        <v>19</v>
      </c>
      <c r="AE1736" t="n">
        <v>19</v>
      </c>
      <c r="AF1736" t="n">
        <v>6</v>
      </c>
      <c r="AG1736" t="n">
        <v>6</v>
      </c>
      <c r="AH1736" t="n">
        <v>4</v>
      </c>
      <c r="AI1736" t="n">
        <v>4</v>
      </c>
      <c r="AJ1736" t="n">
        <v>11</v>
      </c>
      <c r="AK1736" t="n">
        <v>11</v>
      </c>
      <c r="AL1736" t="n">
        <v>2</v>
      </c>
      <c r="AM1736" t="n">
        <v>2</v>
      </c>
      <c r="AN1736" t="n">
        <v>0</v>
      </c>
      <c r="AO1736" t="n">
        <v>0</v>
      </c>
      <c r="AP1736" t="inlineStr">
        <is>
          <t>No</t>
        </is>
      </c>
      <c r="AQ1736" t="inlineStr">
        <is>
          <t>Yes</t>
        </is>
      </c>
      <c r="AR1736">
        <f>HYPERLINK("http://catalog.hathitrust.org/Record/000741528","HathiTrust Record")</f>
        <v/>
      </c>
      <c r="AS1736">
        <f>HYPERLINK("https://creighton-primo.hosted.exlibrisgroup.com/primo-explore/search?tab=default_tab&amp;search_scope=EVERYTHING&amp;vid=01CRU&amp;lang=en_US&amp;offset=0&amp;query=any,contains,991004567819702656","Catalog Record")</f>
        <v/>
      </c>
      <c r="AT1736">
        <f>HYPERLINK("http://www.worldcat.org/oclc/4004970","WorldCat Record")</f>
        <v/>
      </c>
      <c r="AU1736" t="inlineStr">
        <is>
          <t>13644288:eng</t>
        </is>
      </c>
      <c r="AV1736" t="inlineStr">
        <is>
          <t>4004970</t>
        </is>
      </c>
      <c r="AW1736" t="inlineStr">
        <is>
          <t>991004567819702656</t>
        </is>
      </c>
      <c r="AX1736" t="inlineStr">
        <is>
          <t>991004567819702656</t>
        </is>
      </c>
      <c r="AY1736" t="inlineStr">
        <is>
          <t>2264997190002656</t>
        </is>
      </c>
      <c r="AZ1736" t="inlineStr">
        <is>
          <t>BOOK</t>
        </is>
      </c>
      <c r="BB1736" t="inlineStr">
        <is>
          <t>9780120452507</t>
        </is>
      </c>
      <c r="BC1736" t="inlineStr">
        <is>
          <t>32285000106087</t>
        </is>
      </c>
      <c r="BD1736" t="inlineStr">
        <is>
          <t>893241600</t>
        </is>
      </c>
    </row>
    <row r="1737">
      <c r="A1737" t="inlineStr">
        <is>
          <t>No</t>
        </is>
      </c>
      <c r="B1737" t="inlineStr">
        <is>
          <t>LC5219 .W53 1985</t>
        </is>
      </c>
      <c r="C1737" t="inlineStr">
        <is>
          <t>0                      LC 5219000W  53          1985</t>
        </is>
      </c>
      <c r="D1737" t="inlineStr">
        <is>
          <t>Enhancing adult motivation to learn / Raymond J. Wlodkowski.</t>
        </is>
      </c>
      <c r="F1737" t="inlineStr">
        <is>
          <t>No</t>
        </is>
      </c>
      <c r="G1737" t="inlineStr">
        <is>
          <t>1</t>
        </is>
      </c>
      <c r="H1737" t="inlineStr">
        <is>
          <t>No</t>
        </is>
      </c>
      <c r="I1737" t="inlineStr">
        <is>
          <t>Yes</t>
        </is>
      </c>
      <c r="J1737" t="inlineStr">
        <is>
          <t>0</t>
        </is>
      </c>
      <c r="K1737" t="inlineStr">
        <is>
          <t>Wlodkowski, Raymond J.</t>
        </is>
      </c>
      <c r="L1737" t="inlineStr">
        <is>
          <t>San Francisco : Jossey-Bass Publishers, c1985.</t>
        </is>
      </c>
      <c r="M1737" t="inlineStr">
        <is>
          <t>1985</t>
        </is>
      </c>
      <c r="N1737" t="inlineStr">
        <is>
          <t>1st ed.</t>
        </is>
      </c>
      <c r="O1737" t="inlineStr">
        <is>
          <t>eng</t>
        </is>
      </c>
      <c r="P1737" t="inlineStr">
        <is>
          <t>cau</t>
        </is>
      </c>
      <c r="Q1737" t="inlineStr">
        <is>
          <t>Jossey-Bass higher education series</t>
        </is>
      </c>
      <c r="R1737" t="inlineStr">
        <is>
          <t xml:space="preserve">LC </t>
        </is>
      </c>
      <c r="S1737" t="n">
        <v>13</v>
      </c>
      <c r="T1737" t="n">
        <v>13</v>
      </c>
      <c r="U1737" t="inlineStr">
        <is>
          <t>2010-11-12</t>
        </is>
      </c>
      <c r="V1737" t="inlineStr">
        <is>
          <t>2010-11-12</t>
        </is>
      </c>
      <c r="W1737" t="inlineStr">
        <is>
          <t>1990-07-19</t>
        </is>
      </c>
      <c r="X1737" t="inlineStr">
        <is>
          <t>1990-07-19</t>
        </is>
      </c>
      <c r="Y1737" t="n">
        <v>756</v>
      </c>
      <c r="Z1737" t="n">
        <v>644</v>
      </c>
      <c r="AA1737" t="n">
        <v>761</v>
      </c>
      <c r="AB1737" t="n">
        <v>6</v>
      </c>
      <c r="AC1737" t="n">
        <v>8</v>
      </c>
      <c r="AD1737" t="n">
        <v>23</v>
      </c>
      <c r="AE1737" t="n">
        <v>25</v>
      </c>
      <c r="AF1737" t="n">
        <v>10</v>
      </c>
      <c r="AG1737" t="n">
        <v>10</v>
      </c>
      <c r="AH1737" t="n">
        <v>4</v>
      </c>
      <c r="AI1737" t="n">
        <v>5</v>
      </c>
      <c r="AJ1737" t="n">
        <v>12</v>
      </c>
      <c r="AK1737" t="n">
        <v>12</v>
      </c>
      <c r="AL1737" t="n">
        <v>4</v>
      </c>
      <c r="AM1737" t="n">
        <v>5</v>
      </c>
      <c r="AN1737" t="n">
        <v>0</v>
      </c>
      <c r="AO1737" t="n">
        <v>0</v>
      </c>
      <c r="AP1737" t="inlineStr">
        <is>
          <t>No</t>
        </is>
      </c>
      <c r="AQ1737" t="inlineStr">
        <is>
          <t>Yes</t>
        </is>
      </c>
      <c r="AR1737">
        <f>HYPERLINK("http://catalog.hathitrust.org/Record/000461208","HathiTrust Record")</f>
        <v/>
      </c>
      <c r="AS1737">
        <f>HYPERLINK("https://creighton-primo.hosted.exlibrisgroup.com/primo-explore/search?tab=default_tab&amp;search_scope=EVERYTHING&amp;vid=01CRU&amp;lang=en_US&amp;offset=0&amp;query=any,contains,991000566639702656","Catalog Record")</f>
        <v/>
      </c>
      <c r="AT1737">
        <f>HYPERLINK("http://www.worldcat.org/oclc/11622460","WorldCat Record")</f>
        <v/>
      </c>
      <c r="AU1737" t="inlineStr">
        <is>
          <t>3855263666:eng</t>
        </is>
      </c>
      <c r="AV1737" t="inlineStr">
        <is>
          <t>11622460</t>
        </is>
      </c>
      <c r="AW1737" t="inlineStr">
        <is>
          <t>991000566639702656</t>
        </is>
      </c>
      <c r="AX1737" t="inlineStr">
        <is>
          <t>991000566639702656</t>
        </is>
      </c>
      <c r="AY1737" t="inlineStr">
        <is>
          <t>2260785930002656</t>
        </is>
      </c>
      <c r="AZ1737" t="inlineStr">
        <is>
          <t>BOOK</t>
        </is>
      </c>
      <c r="BB1737" t="inlineStr">
        <is>
          <t>9780875896489</t>
        </is>
      </c>
      <c r="BC1737" t="inlineStr">
        <is>
          <t>32285000239888</t>
        </is>
      </c>
      <c r="BD1737" t="inlineStr">
        <is>
          <t>893425838</t>
        </is>
      </c>
    </row>
    <row r="1738">
      <c r="A1738" t="inlineStr">
        <is>
          <t>No</t>
        </is>
      </c>
      <c r="B1738" t="inlineStr">
        <is>
          <t>LC5225.R4 T56 1996</t>
        </is>
      </c>
      <c r="C1738" t="inlineStr">
        <is>
          <t>0                      LC 5225000R  4                  T  56          1996</t>
        </is>
      </c>
      <c r="D1738" t="inlineStr">
        <is>
          <t>Tips at your fingertips : teaching strategies for adult literacy tutors / Ola M. Brown, editor.</t>
        </is>
      </c>
      <c r="F1738" t="inlineStr">
        <is>
          <t>No</t>
        </is>
      </c>
      <c r="G1738" t="inlineStr">
        <is>
          <t>1</t>
        </is>
      </c>
      <c r="H1738" t="inlineStr">
        <is>
          <t>No</t>
        </is>
      </c>
      <c r="I1738" t="inlineStr">
        <is>
          <t>No</t>
        </is>
      </c>
      <c r="J1738" t="inlineStr">
        <is>
          <t>0</t>
        </is>
      </c>
      <c r="L1738" t="inlineStr">
        <is>
          <t>Newark, Del., USA : International Reading Association, c1996.</t>
        </is>
      </c>
      <c r="M1738" t="inlineStr">
        <is>
          <t>1996</t>
        </is>
      </c>
      <c r="O1738" t="inlineStr">
        <is>
          <t>eng</t>
        </is>
      </c>
      <c r="P1738" t="inlineStr">
        <is>
          <t>deu</t>
        </is>
      </c>
      <c r="R1738" t="inlineStr">
        <is>
          <t xml:space="preserve">LC </t>
        </is>
      </c>
      <c r="S1738" t="n">
        <v>5</v>
      </c>
      <c r="T1738" t="n">
        <v>5</v>
      </c>
      <c r="U1738" t="inlineStr">
        <is>
          <t>2010-03-12</t>
        </is>
      </c>
      <c r="V1738" t="inlineStr">
        <is>
          <t>2010-03-12</t>
        </is>
      </c>
      <c r="W1738" t="inlineStr">
        <is>
          <t>1996-09-03</t>
        </is>
      </c>
      <c r="X1738" t="inlineStr">
        <is>
          <t>1996-09-03</t>
        </is>
      </c>
      <c r="Y1738" t="n">
        <v>544</v>
      </c>
      <c r="Z1738" t="n">
        <v>466</v>
      </c>
      <c r="AA1738" t="n">
        <v>473</v>
      </c>
      <c r="AB1738" t="n">
        <v>6</v>
      </c>
      <c r="AC1738" t="n">
        <v>6</v>
      </c>
      <c r="AD1738" t="n">
        <v>16</v>
      </c>
      <c r="AE1738" t="n">
        <v>16</v>
      </c>
      <c r="AF1738" t="n">
        <v>8</v>
      </c>
      <c r="AG1738" t="n">
        <v>8</v>
      </c>
      <c r="AH1738" t="n">
        <v>3</v>
      </c>
      <c r="AI1738" t="n">
        <v>3</v>
      </c>
      <c r="AJ1738" t="n">
        <v>8</v>
      </c>
      <c r="AK1738" t="n">
        <v>8</v>
      </c>
      <c r="AL1738" t="n">
        <v>3</v>
      </c>
      <c r="AM1738" t="n">
        <v>3</v>
      </c>
      <c r="AN1738" t="n">
        <v>0</v>
      </c>
      <c r="AO1738" t="n">
        <v>0</v>
      </c>
      <c r="AP1738" t="inlineStr">
        <is>
          <t>No</t>
        </is>
      </c>
      <c r="AQ1738" t="inlineStr">
        <is>
          <t>No</t>
        </is>
      </c>
      <c r="AS1738">
        <f>HYPERLINK("https://creighton-primo.hosted.exlibrisgroup.com/primo-explore/search?tab=default_tab&amp;search_scope=EVERYTHING&amp;vid=01CRU&amp;lang=en_US&amp;offset=0&amp;query=any,contains,991002561249702656","Catalog Record")</f>
        <v/>
      </c>
      <c r="AT1738">
        <f>HYPERLINK("http://www.worldcat.org/oclc/33281933","WorldCat Record")</f>
        <v/>
      </c>
      <c r="AU1738" t="inlineStr">
        <is>
          <t>899098809:eng</t>
        </is>
      </c>
      <c r="AV1738" t="inlineStr">
        <is>
          <t>33281933</t>
        </is>
      </c>
      <c r="AW1738" t="inlineStr">
        <is>
          <t>991002561249702656</t>
        </is>
      </c>
      <c r="AX1738" t="inlineStr">
        <is>
          <t>991002561249702656</t>
        </is>
      </c>
      <c r="AY1738" t="inlineStr">
        <is>
          <t>2270502470002656</t>
        </is>
      </c>
      <c r="AZ1738" t="inlineStr">
        <is>
          <t>BOOK</t>
        </is>
      </c>
      <c r="BB1738" t="inlineStr">
        <is>
          <t>9780872071414</t>
        </is>
      </c>
      <c r="BC1738" t="inlineStr">
        <is>
          <t>32285002293735</t>
        </is>
      </c>
      <c r="BD1738" t="inlineStr">
        <is>
          <t>893530167</t>
        </is>
      </c>
    </row>
    <row r="1739">
      <c r="A1739" t="inlineStr">
        <is>
          <t>No</t>
        </is>
      </c>
      <c r="B1739" t="inlineStr">
        <is>
          <t>LC5225.T4 C73 1996</t>
        </is>
      </c>
      <c r="C1739" t="inlineStr">
        <is>
          <t>0                      LC 5225000T  4                  C  73          1996</t>
        </is>
      </c>
      <c r="D1739" t="inlineStr">
        <is>
          <t>Professional development as transformative learning : new perspectives for teachers of adults / Patricia Cranton.</t>
        </is>
      </c>
      <c r="F1739" t="inlineStr">
        <is>
          <t>No</t>
        </is>
      </c>
      <c r="G1739" t="inlineStr">
        <is>
          <t>1</t>
        </is>
      </c>
      <c r="H1739" t="inlineStr">
        <is>
          <t>No</t>
        </is>
      </c>
      <c r="I1739" t="inlineStr">
        <is>
          <t>No</t>
        </is>
      </c>
      <c r="J1739" t="inlineStr">
        <is>
          <t>0</t>
        </is>
      </c>
      <c r="K1739" t="inlineStr">
        <is>
          <t>Cranton, Patricia.</t>
        </is>
      </c>
      <c r="L1739" t="inlineStr">
        <is>
          <t>San Francisco : Jossey-Bass Publishers, c1996.</t>
        </is>
      </c>
      <c r="M1739" t="inlineStr">
        <is>
          <t>1996</t>
        </is>
      </c>
      <c r="N1739" t="inlineStr">
        <is>
          <t>1st ed.</t>
        </is>
      </c>
      <c r="O1739" t="inlineStr">
        <is>
          <t>eng</t>
        </is>
      </c>
      <c r="P1739" t="inlineStr">
        <is>
          <t>cau</t>
        </is>
      </c>
      <c r="Q1739" t="inlineStr">
        <is>
          <t>The Jossey-Bass higher and adult education series</t>
        </is>
      </c>
      <c r="R1739" t="inlineStr">
        <is>
          <t xml:space="preserve">LC </t>
        </is>
      </c>
      <c r="S1739" t="n">
        <v>6</v>
      </c>
      <c r="T1739" t="n">
        <v>6</v>
      </c>
      <c r="U1739" t="inlineStr">
        <is>
          <t>2009-10-08</t>
        </is>
      </c>
      <c r="V1739" t="inlineStr">
        <is>
          <t>2009-10-08</t>
        </is>
      </c>
      <c r="W1739" t="inlineStr">
        <is>
          <t>1996-11-13</t>
        </is>
      </c>
      <c r="X1739" t="inlineStr">
        <is>
          <t>1996-11-13</t>
        </is>
      </c>
      <c r="Y1739" t="n">
        <v>460</v>
      </c>
      <c r="Z1739" t="n">
        <v>344</v>
      </c>
      <c r="AA1739" t="n">
        <v>351</v>
      </c>
      <c r="AB1739" t="n">
        <v>1</v>
      </c>
      <c r="AC1739" t="n">
        <v>1</v>
      </c>
      <c r="AD1739" t="n">
        <v>15</v>
      </c>
      <c r="AE1739" t="n">
        <v>15</v>
      </c>
      <c r="AF1739" t="n">
        <v>6</v>
      </c>
      <c r="AG1739" t="n">
        <v>6</v>
      </c>
      <c r="AH1739" t="n">
        <v>4</v>
      </c>
      <c r="AI1739" t="n">
        <v>4</v>
      </c>
      <c r="AJ1739" t="n">
        <v>11</v>
      </c>
      <c r="AK1739" t="n">
        <v>11</v>
      </c>
      <c r="AL1739" t="n">
        <v>0</v>
      </c>
      <c r="AM1739" t="n">
        <v>0</v>
      </c>
      <c r="AN1739" t="n">
        <v>0</v>
      </c>
      <c r="AO1739" t="n">
        <v>0</v>
      </c>
      <c r="AP1739" t="inlineStr">
        <is>
          <t>No</t>
        </is>
      </c>
      <c r="AQ1739" t="inlineStr">
        <is>
          <t>Yes</t>
        </is>
      </c>
      <c r="AR1739">
        <f>HYPERLINK("http://catalog.hathitrust.org/Record/003052532","HathiTrust Record")</f>
        <v/>
      </c>
      <c r="AS1739">
        <f>HYPERLINK("https://creighton-primo.hosted.exlibrisgroup.com/primo-explore/search?tab=default_tab&amp;search_scope=EVERYTHING&amp;vid=01CRU&amp;lang=en_US&amp;offset=0&amp;query=any,contains,991002547799702656","Catalog Record")</f>
        <v/>
      </c>
      <c r="AT1739">
        <f>HYPERLINK("http://www.worldcat.org/oclc/33102121","WorldCat Record")</f>
        <v/>
      </c>
      <c r="AU1739" t="inlineStr">
        <is>
          <t>836993943:eng</t>
        </is>
      </c>
      <c r="AV1739" t="inlineStr">
        <is>
          <t>33102121</t>
        </is>
      </c>
      <c r="AW1739" t="inlineStr">
        <is>
          <t>991002547799702656</t>
        </is>
      </c>
      <c r="AX1739" t="inlineStr">
        <is>
          <t>991002547799702656</t>
        </is>
      </c>
      <c r="AY1739" t="inlineStr">
        <is>
          <t>2272146280002656</t>
        </is>
      </c>
      <c r="AZ1739" t="inlineStr">
        <is>
          <t>BOOK</t>
        </is>
      </c>
      <c r="BB1739" t="inlineStr">
        <is>
          <t>9780787901974</t>
        </is>
      </c>
      <c r="BC1739" t="inlineStr">
        <is>
          <t>32285002372232</t>
        </is>
      </c>
      <c r="BD1739" t="inlineStr">
        <is>
          <t>893226973</t>
        </is>
      </c>
    </row>
    <row r="1740">
      <c r="A1740" t="inlineStr">
        <is>
          <t>No</t>
        </is>
      </c>
      <c r="B1740" t="inlineStr">
        <is>
          <t>LC53.G7 W35 1990</t>
        </is>
      </c>
      <c r="C1740" t="inlineStr">
        <is>
          <t>0                      LC 0053000G  7                  W  35          1990</t>
        </is>
      </c>
      <c r="D1740" t="inlineStr">
        <is>
          <t>Privatization and privilege in education / Geoffrey Walford.</t>
        </is>
      </c>
      <c r="F1740" t="inlineStr">
        <is>
          <t>No</t>
        </is>
      </c>
      <c r="G1740" t="inlineStr">
        <is>
          <t>1</t>
        </is>
      </c>
      <c r="H1740" t="inlineStr">
        <is>
          <t>No</t>
        </is>
      </c>
      <c r="I1740" t="inlineStr">
        <is>
          <t>No</t>
        </is>
      </c>
      <c r="J1740" t="inlineStr">
        <is>
          <t>0</t>
        </is>
      </c>
      <c r="K1740" t="inlineStr">
        <is>
          <t>Walford, Geoffrey.</t>
        </is>
      </c>
      <c r="L1740" t="inlineStr">
        <is>
          <t>London : Routledge, 1990.</t>
        </is>
      </c>
      <c r="M1740" t="inlineStr">
        <is>
          <t>1990</t>
        </is>
      </c>
      <c r="O1740" t="inlineStr">
        <is>
          <t>eng</t>
        </is>
      </c>
      <c r="P1740" t="inlineStr">
        <is>
          <t>enk</t>
        </is>
      </c>
      <c r="R1740" t="inlineStr">
        <is>
          <t xml:space="preserve">LC </t>
        </is>
      </c>
      <c r="S1740" t="n">
        <v>4</v>
      </c>
      <c r="T1740" t="n">
        <v>4</v>
      </c>
      <c r="U1740" t="inlineStr">
        <is>
          <t>2006-08-10</t>
        </is>
      </c>
      <c r="V1740" t="inlineStr">
        <is>
          <t>2006-08-10</t>
        </is>
      </c>
      <c r="W1740" t="inlineStr">
        <is>
          <t>1990-11-09</t>
        </is>
      </c>
      <c r="X1740" t="inlineStr">
        <is>
          <t>1990-11-09</t>
        </is>
      </c>
      <c r="Y1740" t="n">
        <v>233</v>
      </c>
      <c r="Z1740" t="n">
        <v>102</v>
      </c>
      <c r="AA1740" t="n">
        <v>127</v>
      </c>
      <c r="AB1740" t="n">
        <v>2</v>
      </c>
      <c r="AC1740" t="n">
        <v>2</v>
      </c>
      <c r="AD1740" t="n">
        <v>3</v>
      </c>
      <c r="AE1740" t="n">
        <v>4</v>
      </c>
      <c r="AF1740" t="n">
        <v>0</v>
      </c>
      <c r="AG1740" t="n">
        <v>0</v>
      </c>
      <c r="AH1740" t="n">
        <v>0</v>
      </c>
      <c r="AI1740" t="n">
        <v>1</v>
      </c>
      <c r="AJ1740" t="n">
        <v>2</v>
      </c>
      <c r="AK1740" t="n">
        <v>2</v>
      </c>
      <c r="AL1740" t="n">
        <v>1</v>
      </c>
      <c r="AM1740" t="n">
        <v>1</v>
      </c>
      <c r="AN1740" t="n">
        <v>0</v>
      </c>
      <c r="AO1740" t="n">
        <v>0</v>
      </c>
      <c r="AP1740" t="inlineStr">
        <is>
          <t>No</t>
        </is>
      </c>
      <c r="AQ1740" t="inlineStr">
        <is>
          <t>Yes</t>
        </is>
      </c>
      <c r="AR1740">
        <f>HYPERLINK("http://catalog.hathitrust.org/Record/002063202","HathiTrust Record")</f>
        <v/>
      </c>
      <c r="AS1740">
        <f>HYPERLINK("https://creighton-primo.hosted.exlibrisgroup.com/primo-explore/search?tab=default_tab&amp;search_scope=EVERYTHING&amp;vid=01CRU&amp;lang=en_US&amp;offset=0&amp;query=any,contains,991001509649702656","Catalog Record")</f>
        <v/>
      </c>
      <c r="AT1740">
        <f>HYPERLINK("http://www.worldcat.org/oclc/24218985","WorldCat Record")</f>
        <v/>
      </c>
      <c r="AU1740" t="inlineStr">
        <is>
          <t>2645681:eng</t>
        </is>
      </c>
      <c r="AV1740" t="inlineStr">
        <is>
          <t>24218985</t>
        </is>
      </c>
      <c r="AW1740" t="inlineStr">
        <is>
          <t>991001509649702656</t>
        </is>
      </c>
      <c r="AX1740" t="inlineStr">
        <is>
          <t>991001509649702656</t>
        </is>
      </c>
      <c r="AY1740" t="inlineStr">
        <is>
          <t>2261467880002656</t>
        </is>
      </c>
      <c r="AZ1740" t="inlineStr">
        <is>
          <t>BOOK</t>
        </is>
      </c>
      <c r="BB1740" t="inlineStr">
        <is>
          <t>9780415042482</t>
        </is>
      </c>
      <c r="BC1740" t="inlineStr">
        <is>
          <t>32285000314467</t>
        </is>
      </c>
      <c r="BD1740" t="inlineStr">
        <is>
          <t>893414282</t>
        </is>
      </c>
    </row>
    <row r="1741">
      <c r="A1741" t="inlineStr">
        <is>
          <t>No</t>
        </is>
      </c>
      <c r="B1741" t="inlineStr">
        <is>
          <t>LC562 .P47 1986</t>
        </is>
      </c>
      <c r="C1741" t="inlineStr">
        <is>
          <t>0                      LC 0562000P  47          1986</t>
        </is>
      </c>
      <c r="D1741" t="inlineStr">
        <is>
          <t>God's choice : the total world of a fundamentalist Christian school / Alan Peshkin.</t>
        </is>
      </c>
      <c r="F1741" t="inlineStr">
        <is>
          <t>No</t>
        </is>
      </c>
      <c r="G1741" t="inlineStr">
        <is>
          <t>1</t>
        </is>
      </c>
      <c r="H1741" t="inlineStr">
        <is>
          <t>No</t>
        </is>
      </c>
      <c r="I1741" t="inlineStr">
        <is>
          <t>No</t>
        </is>
      </c>
      <c r="J1741" t="inlineStr">
        <is>
          <t>0</t>
        </is>
      </c>
      <c r="K1741" t="inlineStr">
        <is>
          <t>Peshkin, Alan.</t>
        </is>
      </c>
      <c r="L1741" t="inlineStr">
        <is>
          <t>Chicago : University of Chicago Press, 1986.</t>
        </is>
      </c>
      <c r="M1741" t="inlineStr">
        <is>
          <t>1986</t>
        </is>
      </c>
      <c r="O1741" t="inlineStr">
        <is>
          <t>eng</t>
        </is>
      </c>
      <c r="P1741" t="inlineStr">
        <is>
          <t>ilu</t>
        </is>
      </c>
      <c r="R1741" t="inlineStr">
        <is>
          <t xml:space="preserve">LC </t>
        </is>
      </c>
      <c r="S1741" t="n">
        <v>1</v>
      </c>
      <c r="T1741" t="n">
        <v>1</v>
      </c>
      <c r="U1741" t="inlineStr">
        <is>
          <t>2008-06-10</t>
        </is>
      </c>
      <c r="V1741" t="inlineStr">
        <is>
          <t>2008-06-10</t>
        </is>
      </c>
      <c r="W1741" t="inlineStr">
        <is>
          <t>1992-08-27</t>
        </is>
      </c>
      <c r="X1741" t="inlineStr">
        <is>
          <t>1992-08-27</t>
        </is>
      </c>
      <c r="Y1741" t="n">
        <v>926</v>
      </c>
      <c r="Z1741" t="n">
        <v>823</v>
      </c>
      <c r="AA1741" t="n">
        <v>881</v>
      </c>
      <c r="AB1741" t="n">
        <v>10</v>
      </c>
      <c r="AC1741" t="n">
        <v>10</v>
      </c>
      <c r="AD1741" t="n">
        <v>35</v>
      </c>
      <c r="AE1741" t="n">
        <v>38</v>
      </c>
      <c r="AF1741" t="n">
        <v>14</v>
      </c>
      <c r="AG1741" t="n">
        <v>16</v>
      </c>
      <c r="AH1741" t="n">
        <v>5</v>
      </c>
      <c r="AI1741" t="n">
        <v>6</v>
      </c>
      <c r="AJ1741" t="n">
        <v>17</v>
      </c>
      <c r="AK1741" t="n">
        <v>17</v>
      </c>
      <c r="AL1741" t="n">
        <v>8</v>
      </c>
      <c r="AM1741" t="n">
        <v>8</v>
      </c>
      <c r="AN1741" t="n">
        <v>0</v>
      </c>
      <c r="AO1741" t="n">
        <v>0</v>
      </c>
      <c r="AP1741" t="inlineStr">
        <is>
          <t>No</t>
        </is>
      </c>
      <c r="AQ1741" t="inlineStr">
        <is>
          <t>No</t>
        </is>
      </c>
      <c r="AS1741">
        <f>HYPERLINK("https://creighton-primo.hosted.exlibrisgroup.com/primo-explore/search?tab=default_tab&amp;search_scope=EVERYTHING&amp;vid=01CRU&amp;lang=en_US&amp;offset=0&amp;query=any,contains,991000730209702656","Catalog Record")</f>
        <v/>
      </c>
      <c r="AT1741">
        <f>HYPERLINK("http://www.worldcat.org/oclc/12722905","WorldCat Record")</f>
        <v/>
      </c>
      <c r="AU1741" t="inlineStr">
        <is>
          <t>46049253:eng</t>
        </is>
      </c>
      <c r="AV1741" t="inlineStr">
        <is>
          <t>12722905</t>
        </is>
      </c>
      <c r="AW1741" t="inlineStr">
        <is>
          <t>991000730209702656</t>
        </is>
      </c>
      <c r="AX1741" t="inlineStr">
        <is>
          <t>991000730209702656</t>
        </is>
      </c>
      <c r="AY1741" t="inlineStr">
        <is>
          <t>2268222130002656</t>
        </is>
      </c>
      <c r="AZ1741" t="inlineStr">
        <is>
          <t>BOOK</t>
        </is>
      </c>
      <c r="BB1741" t="inlineStr">
        <is>
          <t>9780226661988</t>
        </is>
      </c>
      <c r="BC1741" t="inlineStr">
        <is>
          <t>32285001282309</t>
        </is>
      </c>
      <c r="BD1741" t="inlineStr">
        <is>
          <t>893614453</t>
        </is>
      </c>
    </row>
    <row r="1742">
      <c r="A1742" t="inlineStr">
        <is>
          <t>No</t>
        </is>
      </c>
      <c r="B1742" t="inlineStr">
        <is>
          <t>LC574 .C68 2004</t>
        </is>
      </c>
      <c r="C1742" t="inlineStr">
        <is>
          <t>0                      LC 0574000C  68          2004</t>
        </is>
      </c>
      <c r="D1742" t="inlineStr">
        <is>
          <t>The gift and task of Lutheran higher education / Tom Christenson.</t>
        </is>
      </c>
      <c r="F1742" t="inlineStr">
        <is>
          <t>No</t>
        </is>
      </c>
      <c r="G1742" t="inlineStr">
        <is>
          <t>1</t>
        </is>
      </c>
      <c r="H1742" t="inlineStr">
        <is>
          <t>No</t>
        </is>
      </c>
      <c r="I1742" t="inlineStr">
        <is>
          <t>No</t>
        </is>
      </c>
      <c r="J1742" t="inlineStr">
        <is>
          <t>0</t>
        </is>
      </c>
      <c r="K1742" t="inlineStr">
        <is>
          <t>Christenson, Tom.</t>
        </is>
      </c>
      <c r="L1742" t="inlineStr">
        <is>
          <t>Minneapolis : Augsburg Fortress, 2004.</t>
        </is>
      </c>
      <c r="M1742" t="inlineStr">
        <is>
          <t>2004</t>
        </is>
      </c>
      <c r="O1742" t="inlineStr">
        <is>
          <t>eng</t>
        </is>
      </c>
      <c r="P1742" t="inlineStr">
        <is>
          <t>mnu</t>
        </is>
      </c>
      <c r="R1742" t="inlineStr">
        <is>
          <t xml:space="preserve">LC </t>
        </is>
      </c>
      <c r="S1742" t="n">
        <v>1</v>
      </c>
      <c r="T1742" t="n">
        <v>1</v>
      </c>
      <c r="U1742" t="inlineStr">
        <is>
          <t>2009-06-08</t>
        </is>
      </c>
      <c r="V1742" t="inlineStr">
        <is>
          <t>2009-06-08</t>
        </is>
      </c>
      <c r="W1742" t="inlineStr">
        <is>
          <t>2005-01-08</t>
        </is>
      </c>
      <c r="X1742" t="inlineStr">
        <is>
          <t>2005-01-08</t>
        </is>
      </c>
      <c r="Y1742" t="n">
        <v>75</v>
      </c>
      <c r="Z1742" t="n">
        <v>70</v>
      </c>
      <c r="AA1742" t="n">
        <v>75</v>
      </c>
      <c r="AB1742" t="n">
        <v>3</v>
      </c>
      <c r="AC1742" t="n">
        <v>3</v>
      </c>
      <c r="AD1742" t="n">
        <v>4</v>
      </c>
      <c r="AE1742" t="n">
        <v>4</v>
      </c>
      <c r="AF1742" t="n">
        <v>0</v>
      </c>
      <c r="AG1742" t="n">
        <v>0</v>
      </c>
      <c r="AH1742" t="n">
        <v>0</v>
      </c>
      <c r="AI1742" t="n">
        <v>0</v>
      </c>
      <c r="AJ1742" t="n">
        <v>2</v>
      </c>
      <c r="AK1742" t="n">
        <v>2</v>
      </c>
      <c r="AL1742" t="n">
        <v>2</v>
      </c>
      <c r="AM1742" t="n">
        <v>2</v>
      </c>
      <c r="AN1742" t="n">
        <v>0</v>
      </c>
      <c r="AO1742" t="n">
        <v>0</v>
      </c>
      <c r="AP1742" t="inlineStr">
        <is>
          <t>No</t>
        </is>
      </c>
      <c r="AQ1742" t="inlineStr">
        <is>
          <t>No</t>
        </is>
      </c>
      <c r="AS1742">
        <f>HYPERLINK("https://creighton-primo.hosted.exlibrisgroup.com/primo-explore/search?tab=default_tab&amp;search_scope=EVERYTHING&amp;vid=01CRU&amp;lang=en_US&amp;offset=0&amp;query=any,contains,991004429609702656","Catalog Record")</f>
        <v/>
      </c>
      <c r="AT1742">
        <f>HYPERLINK("http://www.worldcat.org/oclc/54351454","WorldCat Record")</f>
        <v/>
      </c>
      <c r="AU1742" t="inlineStr">
        <is>
          <t>1004636:eng</t>
        </is>
      </c>
      <c r="AV1742" t="inlineStr">
        <is>
          <t>54351454</t>
        </is>
      </c>
      <c r="AW1742" t="inlineStr">
        <is>
          <t>991004429609702656</t>
        </is>
      </c>
      <c r="AX1742" t="inlineStr">
        <is>
          <t>991004429609702656</t>
        </is>
      </c>
      <c r="AY1742" t="inlineStr">
        <is>
          <t>2255139110002656</t>
        </is>
      </c>
      <c r="AZ1742" t="inlineStr">
        <is>
          <t>BOOK</t>
        </is>
      </c>
      <c r="BB1742" t="inlineStr">
        <is>
          <t>9780806650234</t>
        </is>
      </c>
      <c r="BC1742" t="inlineStr">
        <is>
          <t>32285005019707</t>
        </is>
      </c>
      <c r="BD1742" t="inlineStr">
        <is>
          <t>893706407</t>
        </is>
      </c>
    </row>
    <row r="1743">
      <c r="A1743" t="inlineStr">
        <is>
          <t>No</t>
        </is>
      </c>
      <c r="B1743" t="inlineStr">
        <is>
          <t>LC6515 .D55 1994</t>
        </is>
      </c>
      <c r="C1743" t="inlineStr">
        <is>
          <t>0                      LC 6515000D  55          1994</t>
        </is>
      </c>
      <c r="D1743" t="inlineStr">
        <is>
          <t>Using discussion in classrooms / James T. Dillon.</t>
        </is>
      </c>
      <c r="F1743" t="inlineStr">
        <is>
          <t>No</t>
        </is>
      </c>
      <c r="G1743" t="inlineStr">
        <is>
          <t>1</t>
        </is>
      </c>
      <c r="H1743" t="inlineStr">
        <is>
          <t>No</t>
        </is>
      </c>
      <c r="I1743" t="inlineStr">
        <is>
          <t>No</t>
        </is>
      </c>
      <c r="J1743" t="inlineStr">
        <is>
          <t>0</t>
        </is>
      </c>
      <c r="K1743" t="inlineStr">
        <is>
          <t>Dillon, J. T.</t>
        </is>
      </c>
      <c r="L1743" t="inlineStr">
        <is>
          <t>Buckingham [England] ; Philadelphia : Open University Press, 1994.</t>
        </is>
      </c>
      <c r="M1743" t="inlineStr">
        <is>
          <t>1994</t>
        </is>
      </c>
      <c r="O1743" t="inlineStr">
        <is>
          <t>eng</t>
        </is>
      </c>
      <c r="P1743" t="inlineStr">
        <is>
          <t>enk</t>
        </is>
      </c>
      <c r="R1743" t="inlineStr">
        <is>
          <t xml:space="preserve">LC </t>
        </is>
      </c>
      <c r="S1743" t="n">
        <v>2</v>
      </c>
      <c r="T1743" t="n">
        <v>2</v>
      </c>
      <c r="U1743" t="inlineStr">
        <is>
          <t>2006-06-12</t>
        </is>
      </c>
      <c r="V1743" t="inlineStr">
        <is>
          <t>2006-06-12</t>
        </is>
      </c>
      <c r="W1743" t="inlineStr">
        <is>
          <t>1995-03-28</t>
        </is>
      </c>
      <c r="X1743" t="inlineStr">
        <is>
          <t>1995-03-28</t>
        </is>
      </c>
      <c r="Y1743" t="n">
        <v>323</v>
      </c>
      <c r="Z1743" t="n">
        <v>162</v>
      </c>
      <c r="AA1743" t="n">
        <v>162</v>
      </c>
      <c r="AB1743" t="n">
        <v>2</v>
      </c>
      <c r="AC1743" t="n">
        <v>2</v>
      </c>
      <c r="AD1743" t="n">
        <v>6</v>
      </c>
      <c r="AE1743" t="n">
        <v>6</v>
      </c>
      <c r="AF1743" t="n">
        <v>1</v>
      </c>
      <c r="AG1743" t="n">
        <v>1</v>
      </c>
      <c r="AH1743" t="n">
        <v>2</v>
      </c>
      <c r="AI1743" t="n">
        <v>2</v>
      </c>
      <c r="AJ1743" t="n">
        <v>4</v>
      </c>
      <c r="AK1743" t="n">
        <v>4</v>
      </c>
      <c r="AL1743" t="n">
        <v>1</v>
      </c>
      <c r="AM1743" t="n">
        <v>1</v>
      </c>
      <c r="AN1743" t="n">
        <v>0</v>
      </c>
      <c r="AO1743" t="n">
        <v>0</v>
      </c>
      <c r="AP1743" t="inlineStr">
        <is>
          <t>No</t>
        </is>
      </c>
      <c r="AQ1743" t="inlineStr">
        <is>
          <t>No</t>
        </is>
      </c>
      <c r="AS1743">
        <f>HYPERLINK("https://creighton-primo.hosted.exlibrisgroup.com/primo-explore/search?tab=default_tab&amp;search_scope=EVERYTHING&amp;vid=01CRU&amp;lang=en_US&amp;offset=0&amp;query=any,contains,991002322629702656","Catalog Record")</f>
        <v/>
      </c>
      <c r="AT1743">
        <f>HYPERLINK("http://www.worldcat.org/oclc/30111086","WorldCat Record")</f>
        <v/>
      </c>
      <c r="AU1743" t="inlineStr">
        <is>
          <t>114754287:eng</t>
        </is>
      </c>
      <c r="AV1743" t="inlineStr">
        <is>
          <t>30111086</t>
        </is>
      </c>
      <c r="AW1743" t="inlineStr">
        <is>
          <t>991002322629702656</t>
        </is>
      </c>
      <c r="AX1743" t="inlineStr">
        <is>
          <t>991002322629702656</t>
        </is>
      </c>
      <c r="AY1743" t="inlineStr">
        <is>
          <t>2258707520002656</t>
        </is>
      </c>
      <c r="AZ1743" t="inlineStr">
        <is>
          <t>BOOK</t>
        </is>
      </c>
      <c r="BB1743" t="inlineStr">
        <is>
          <t>9780335193240</t>
        </is>
      </c>
      <c r="BC1743" t="inlineStr">
        <is>
          <t>32285002004744</t>
        </is>
      </c>
      <c r="BD1743" t="inlineStr">
        <is>
          <t>893867073</t>
        </is>
      </c>
    </row>
    <row r="1744">
      <c r="A1744" t="inlineStr">
        <is>
          <t>No</t>
        </is>
      </c>
      <c r="B1744" t="inlineStr">
        <is>
          <t>LC6515 .H95</t>
        </is>
      </c>
      <c r="C1744" t="inlineStr">
        <is>
          <t>0                      LC 6515000H  95</t>
        </is>
      </c>
      <c r="D1744" t="inlineStr">
        <is>
          <t>Improving discussion leadership / Ronald T. Hyman.</t>
        </is>
      </c>
      <c r="F1744" t="inlineStr">
        <is>
          <t>No</t>
        </is>
      </c>
      <c r="G1744" t="inlineStr">
        <is>
          <t>1</t>
        </is>
      </c>
      <c r="H1744" t="inlineStr">
        <is>
          <t>No</t>
        </is>
      </c>
      <c r="I1744" t="inlineStr">
        <is>
          <t>No</t>
        </is>
      </c>
      <c r="J1744" t="inlineStr">
        <is>
          <t>0</t>
        </is>
      </c>
      <c r="K1744" t="inlineStr">
        <is>
          <t>Hyman, Ronald T.</t>
        </is>
      </c>
      <c r="L1744" t="inlineStr">
        <is>
          <t>New York : Teachers College Press, 1980.</t>
        </is>
      </c>
      <c r="M1744" t="inlineStr">
        <is>
          <t>1980</t>
        </is>
      </c>
      <c r="O1744" t="inlineStr">
        <is>
          <t>eng</t>
        </is>
      </c>
      <c r="P1744" t="inlineStr">
        <is>
          <t>nyu</t>
        </is>
      </c>
      <c r="R1744" t="inlineStr">
        <is>
          <t xml:space="preserve">LC </t>
        </is>
      </c>
      <c r="S1744" t="n">
        <v>5</v>
      </c>
      <c r="T1744" t="n">
        <v>5</v>
      </c>
      <c r="U1744" t="inlineStr">
        <is>
          <t>2007-12-18</t>
        </is>
      </c>
      <c r="V1744" t="inlineStr">
        <is>
          <t>2007-12-18</t>
        </is>
      </c>
      <c r="W1744" t="inlineStr">
        <is>
          <t>1992-09-10</t>
        </is>
      </c>
      <c r="X1744" t="inlineStr">
        <is>
          <t>1992-09-10</t>
        </is>
      </c>
      <c r="Y1744" t="n">
        <v>324</v>
      </c>
      <c r="Z1744" t="n">
        <v>287</v>
      </c>
      <c r="AA1744" t="n">
        <v>292</v>
      </c>
      <c r="AB1744" t="n">
        <v>1</v>
      </c>
      <c r="AC1744" t="n">
        <v>1</v>
      </c>
      <c r="AD1744" t="n">
        <v>13</v>
      </c>
      <c r="AE1744" t="n">
        <v>13</v>
      </c>
      <c r="AF1744" t="n">
        <v>4</v>
      </c>
      <c r="AG1744" t="n">
        <v>4</v>
      </c>
      <c r="AH1744" t="n">
        <v>5</v>
      </c>
      <c r="AI1744" t="n">
        <v>5</v>
      </c>
      <c r="AJ1744" t="n">
        <v>10</v>
      </c>
      <c r="AK1744" t="n">
        <v>10</v>
      </c>
      <c r="AL1744" t="n">
        <v>0</v>
      </c>
      <c r="AM1744" t="n">
        <v>0</v>
      </c>
      <c r="AN1744" t="n">
        <v>0</v>
      </c>
      <c r="AO1744" t="n">
        <v>0</v>
      </c>
      <c r="AP1744" t="inlineStr">
        <is>
          <t>No</t>
        </is>
      </c>
      <c r="AQ1744" t="inlineStr">
        <is>
          <t>No</t>
        </is>
      </c>
      <c r="AS1744">
        <f>HYPERLINK("https://creighton-primo.hosted.exlibrisgroup.com/primo-explore/search?tab=default_tab&amp;search_scope=EVERYTHING&amp;vid=01CRU&amp;lang=en_US&amp;offset=0&amp;query=any,contains,991004968279702656","Catalog Record")</f>
        <v/>
      </c>
      <c r="AT1744">
        <f>HYPERLINK("http://www.worldcat.org/oclc/6355480","WorldCat Record")</f>
        <v/>
      </c>
      <c r="AU1744" t="inlineStr">
        <is>
          <t>146866477:eng</t>
        </is>
      </c>
      <c r="AV1744" t="inlineStr">
        <is>
          <t>6355480</t>
        </is>
      </c>
      <c r="AW1744" t="inlineStr">
        <is>
          <t>991004968279702656</t>
        </is>
      </c>
      <c r="AX1744" t="inlineStr">
        <is>
          <t>991004968279702656</t>
        </is>
      </c>
      <c r="AY1744" t="inlineStr">
        <is>
          <t>2256729000002656</t>
        </is>
      </c>
      <c r="AZ1744" t="inlineStr">
        <is>
          <t>BOOK</t>
        </is>
      </c>
      <c r="BB1744" t="inlineStr">
        <is>
          <t>9780807726105</t>
        </is>
      </c>
      <c r="BC1744" t="inlineStr">
        <is>
          <t>32285001309839</t>
        </is>
      </c>
      <c r="BD1744" t="inlineStr">
        <is>
          <t>893876756</t>
        </is>
      </c>
    </row>
    <row r="1745">
      <c r="A1745" t="inlineStr">
        <is>
          <t>No</t>
        </is>
      </c>
      <c r="B1745" t="inlineStr">
        <is>
          <t>LC6519 .T4 1986</t>
        </is>
      </c>
      <c r="C1745" t="inlineStr">
        <is>
          <t>0                      LC 6519000T  4           1986</t>
        </is>
      </c>
      <c r="D1745" t="inlineStr">
        <is>
          <t>Teach thinking by discussion / edited by Donald Bligh.</t>
        </is>
      </c>
      <c r="F1745" t="inlineStr">
        <is>
          <t>No</t>
        </is>
      </c>
      <c r="G1745" t="inlineStr">
        <is>
          <t>1</t>
        </is>
      </c>
      <c r="H1745" t="inlineStr">
        <is>
          <t>No</t>
        </is>
      </c>
      <c r="I1745" t="inlineStr">
        <is>
          <t>No</t>
        </is>
      </c>
      <c r="J1745" t="inlineStr">
        <is>
          <t>0</t>
        </is>
      </c>
      <c r="L1745" t="inlineStr">
        <is>
          <t>Berkshire ; Philadelphia : Society for Research into Higher Education &amp; NFER-Nelson, 1986.</t>
        </is>
      </c>
      <c r="M1745" t="inlineStr">
        <is>
          <t>1986</t>
        </is>
      </c>
      <c r="O1745" t="inlineStr">
        <is>
          <t>eng</t>
        </is>
      </c>
      <c r="P1745" t="inlineStr">
        <is>
          <t>enk</t>
        </is>
      </c>
      <c r="R1745" t="inlineStr">
        <is>
          <t xml:space="preserve">LC </t>
        </is>
      </c>
      <c r="S1745" t="n">
        <v>2</v>
      </c>
      <c r="T1745" t="n">
        <v>2</v>
      </c>
      <c r="U1745" t="inlineStr">
        <is>
          <t>1995-08-30</t>
        </is>
      </c>
      <c r="V1745" t="inlineStr">
        <is>
          <t>1995-08-30</t>
        </is>
      </c>
      <c r="W1745" t="inlineStr">
        <is>
          <t>1992-09-10</t>
        </is>
      </c>
      <c r="X1745" t="inlineStr">
        <is>
          <t>1992-09-10</t>
        </is>
      </c>
      <c r="Y1745" t="n">
        <v>252</v>
      </c>
      <c r="Z1745" t="n">
        <v>138</v>
      </c>
      <c r="AA1745" t="n">
        <v>141</v>
      </c>
      <c r="AB1745" t="n">
        <v>3</v>
      </c>
      <c r="AC1745" t="n">
        <v>3</v>
      </c>
      <c r="AD1745" t="n">
        <v>6</v>
      </c>
      <c r="AE1745" t="n">
        <v>6</v>
      </c>
      <c r="AF1745" t="n">
        <v>1</v>
      </c>
      <c r="AG1745" t="n">
        <v>1</v>
      </c>
      <c r="AH1745" t="n">
        <v>3</v>
      </c>
      <c r="AI1745" t="n">
        <v>3</v>
      </c>
      <c r="AJ1745" t="n">
        <v>2</v>
      </c>
      <c r="AK1745" t="n">
        <v>2</v>
      </c>
      <c r="AL1745" t="n">
        <v>2</v>
      </c>
      <c r="AM1745" t="n">
        <v>2</v>
      </c>
      <c r="AN1745" t="n">
        <v>0</v>
      </c>
      <c r="AO1745" t="n">
        <v>0</v>
      </c>
      <c r="AP1745" t="inlineStr">
        <is>
          <t>No</t>
        </is>
      </c>
      <c r="AQ1745" t="inlineStr">
        <is>
          <t>Yes</t>
        </is>
      </c>
      <c r="AR1745">
        <f>HYPERLINK("http://catalog.hathitrust.org/Record/000555546","HathiTrust Record")</f>
        <v/>
      </c>
      <c r="AS1745">
        <f>HYPERLINK("https://creighton-primo.hosted.exlibrisgroup.com/primo-explore/search?tab=default_tab&amp;search_scope=EVERYTHING&amp;vid=01CRU&amp;lang=en_US&amp;offset=0&amp;query=any,contains,991000798549702656","Catalog Record")</f>
        <v/>
      </c>
      <c r="AT1745">
        <f>HYPERLINK("http://www.worldcat.org/oclc/13214744","WorldCat Record")</f>
        <v/>
      </c>
      <c r="AU1745" t="inlineStr">
        <is>
          <t>375507840:eng</t>
        </is>
      </c>
      <c r="AV1745" t="inlineStr">
        <is>
          <t>13214744</t>
        </is>
      </c>
      <c r="AW1745" t="inlineStr">
        <is>
          <t>991000798549702656</t>
        </is>
      </c>
      <c r="AX1745" t="inlineStr">
        <is>
          <t>991000798549702656</t>
        </is>
      </c>
      <c r="AY1745" t="inlineStr">
        <is>
          <t>2261947200002656</t>
        </is>
      </c>
      <c r="AZ1745" t="inlineStr">
        <is>
          <t>BOOK</t>
        </is>
      </c>
      <c r="BB1745" t="inlineStr">
        <is>
          <t>9781850590040</t>
        </is>
      </c>
      <c r="BC1745" t="inlineStr">
        <is>
          <t>32285001309854</t>
        </is>
      </c>
      <c r="BD1745" t="inlineStr">
        <is>
          <t>893327593</t>
        </is>
      </c>
    </row>
    <row r="1746">
      <c r="A1746" t="inlineStr">
        <is>
          <t>No</t>
        </is>
      </c>
      <c r="B1746" t="inlineStr">
        <is>
          <t>LC6551 .G6</t>
        </is>
      </c>
      <c r="C1746" t="inlineStr">
        <is>
          <t>0                      LC 6551000G  6</t>
        </is>
      </c>
      <c r="D1746" t="inlineStr">
        <is>
          <t>The Chautauqua movement; an episode in the continuing American revolution.</t>
        </is>
      </c>
      <c r="F1746" t="inlineStr">
        <is>
          <t>No</t>
        </is>
      </c>
      <c r="G1746" t="inlineStr">
        <is>
          <t>1</t>
        </is>
      </c>
      <c r="H1746" t="inlineStr">
        <is>
          <t>No</t>
        </is>
      </c>
      <c r="I1746" t="inlineStr">
        <is>
          <t>No</t>
        </is>
      </c>
      <c r="J1746" t="inlineStr">
        <is>
          <t>0</t>
        </is>
      </c>
      <c r="K1746" t="inlineStr">
        <is>
          <t>Gould, Joseph Edward, 1911-</t>
        </is>
      </c>
      <c r="L1746" t="inlineStr">
        <is>
          <t>[New York] State University of New York, 1961.</t>
        </is>
      </c>
      <c r="M1746" t="inlineStr">
        <is>
          <t>1961</t>
        </is>
      </c>
      <c r="O1746" t="inlineStr">
        <is>
          <t>eng</t>
        </is>
      </c>
      <c r="P1746" t="inlineStr">
        <is>
          <t>nyu</t>
        </is>
      </c>
      <c r="R1746" t="inlineStr">
        <is>
          <t xml:space="preserve">LC </t>
        </is>
      </c>
      <c r="S1746" t="n">
        <v>2</v>
      </c>
      <c r="T1746" t="n">
        <v>2</v>
      </c>
      <c r="U1746" t="inlineStr">
        <is>
          <t>2004-11-15</t>
        </is>
      </c>
      <c r="V1746" t="inlineStr">
        <is>
          <t>2004-11-15</t>
        </is>
      </c>
      <c r="W1746" t="inlineStr">
        <is>
          <t>1997-06-18</t>
        </is>
      </c>
      <c r="X1746" t="inlineStr">
        <is>
          <t>1997-06-18</t>
        </is>
      </c>
      <c r="Y1746" t="n">
        <v>850</v>
      </c>
      <c r="Z1746" t="n">
        <v>799</v>
      </c>
      <c r="AA1746" t="n">
        <v>868</v>
      </c>
      <c r="AB1746" t="n">
        <v>7</v>
      </c>
      <c r="AC1746" t="n">
        <v>7</v>
      </c>
      <c r="AD1746" t="n">
        <v>34</v>
      </c>
      <c r="AE1746" t="n">
        <v>35</v>
      </c>
      <c r="AF1746" t="n">
        <v>12</v>
      </c>
      <c r="AG1746" t="n">
        <v>13</v>
      </c>
      <c r="AH1746" t="n">
        <v>7</v>
      </c>
      <c r="AI1746" t="n">
        <v>7</v>
      </c>
      <c r="AJ1746" t="n">
        <v>15</v>
      </c>
      <c r="AK1746" t="n">
        <v>15</v>
      </c>
      <c r="AL1746" t="n">
        <v>6</v>
      </c>
      <c r="AM1746" t="n">
        <v>6</v>
      </c>
      <c r="AN1746" t="n">
        <v>0</v>
      </c>
      <c r="AO1746" t="n">
        <v>0</v>
      </c>
      <c r="AP1746" t="inlineStr">
        <is>
          <t>Yes</t>
        </is>
      </c>
      <c r="AQ1746" t="inlineStr">
        <is>
          <t>No</t>
        </is>
      </c>
      <c r="AR1746">
        <f>HYPERLINK("http://catalog.hathitrust.org/Record/001451544","HathiTrust Record")</f>
        <v/>
      </c>
      <c r="AS1746">
        <f>HYPERLINK("https://creighton-primo.hosted.exlibrisgroup.com/primo-explore/search?tab=default_tab&amp;search_scope=EVERYTHING&amp;vid=01CRU&amp;lang=en_US&amp;offset=0&amp;query=any,contains,991001178289702656","Catalog Record")</f>
        <v/>
      </c>
      <c r="AT1746">
        <f>HYPERLINK("http://www.worldcat.org/oclc/189384","WorldCat Record")</f>
        <v/>
      </c>
      <c r="AU1746" t="inlineStr">
        <is>
          <t>1345072:eng</t>
        </is>
      </c>
      <c r="AV1746" t="inlineStr">
        <is>
          <t>189384</t>
        </is>
      </c>
      <c r="AW1746" t="inlineStr">
        <is>
          <t>991001178289702656</t>
        </is>
      </c>
      <c r="AX1746" t="inlineStr">
        <is>
          <t>991001178289702656</t>
        </is>
      </c>
      <c r="AY1746" t="inlineStr">
        <is>
          <t>2268165560002656</t>
        </is>
      </c>
      <c r="AZ1746" t="inlineStr">
        <is>
          <t>BOOK</t>
        </is>
      </c>
      <c r="BC1746" t="inlineStr">
        <is>
          <t>32285002821881</t>
        </is>
      </c>
      <c r="BD1746" t="inlineStr">
        <is>
          <t>893596261</t>
        </is>
      </c>
    </row>
    <row r="1747">
      <c r="A1747" t="inlineStr">
        <is>
          <t>No</t>
        </is>
      </c>
      <c r="B1747" t="inlineStr">
        <is>
          <t>LC66 .B445 2004</t>
        </is>
      </c>
      <c r="C1747" t="inlineStr">
        <is>
          <t>0                      LC 0066000B  445         2004</t>
        </is>
      </c>
      <c r="D1747" t="inlineStr">
        <is>
          <t>The effects of state public K-12 education expenditures on income distribution / Todd Behr, Constantinos Christofides, and Pattabiraman Neelakantan.</t>
        </is>
      </c>
      <c r="F1747" t="inlineStr">
        <is>
          <t>No</t>
        </is>
      </c>
      <c r="G1747" t="inlineStr">
        <is>
          <t>1</t>
        </is>
      </c>
      <c r="H1747" t="inlineStr">
        <is>
          <t>No</t>
        </is>
      </c>
      <c r="I1747" t="inlineStr">
        <is>
          <t>No</t>
        </is>
      </c>
      <c r="J1747" t="inlineStr">
        <is>
          <t>0</t>
        </is>
      </c>
      <c r="K1747" t="inlineStr">
        <is>
          <t>Behr, Todd.</t>
        </is>
      </c>
      <c r="L1747" t="inlineStr">
        <is>
          <t>Washington, DC : National Education Association, 2004.</t>
        </is>
      </c>
      <c r="M1747" t="inlineStr">
        <is>
          <t>2004</t>
        </is>
      </c>
      <c r="O1747" t="inlineStr">
        <is>
          <t>eng</t>
        </is>
      </c>
      <c r="P1747" t="inlineStr">
        <is>
          <t>dcu</t>
        </is>
      </c>
      <c r="Q1747" t="inlineStr">
        <is>
          <t>NEA research working paper</t>
        </is>
      </c>
      <c r="R1747" t="inlineStr">
        <is>
          <t xml:space="preserve">LC </t>
        </is>
      </c>
      <c r="S1747" t="n">
        <v>1</v>
      </c>
      <c r="T1747" t="n">
        <v>1</v>
      </c>
      <c r="U1747" t="inlineStr">
        <is>
          <t>2004-09-15</t>
        </is>
      </c>
      <c r="V1747" t="inlineStr">
        <is>
          <t>2004-09-15</t>
        </is>
      </c>
      <c r="W1747" t="inlineStr">
        <is>
          <t>2004-09-15</t>
        </is>
      </c>
      <c r="X1747" t="inlineStr">
        <is>
          <t>2004-09-15</t>
        </is>
      </c>
      <c r="Y1747" t="n">
        <v>146</v>
      </c>
      <c r="Z1747" t="n">
        <v>143</v>
      </c>
      <c r="AA1747" t="n">
        <v>143</v>
      </c>
      <c r="AB1747" t="n">
        <v>2</v>
      </c>
      <c r="AC1747" t="n">
        <v>2</v>
      </c>
      <c r="AD1747" t="n">
        <v>7</v>
      </c>
      <c r="AE1747" t="n">
        <v>7</v>
      </c>
      <c r="AF1747" t="n">
        <v>5</v>
      </c>
      <c r="AG1747" t="n">
        <v>5</v>
      </c>
      <c r="AH1747" t="n">
        <v>1</v>
      </c>
      <c r="AI1747" t="n">
        <v>1</v>
      </c>
      <c r="AJ1747" t="n">
        <v>3</v>
      </c>
      <c r="AK1747" t="n">
        <v>3</v>
      </c>
      <c r="AL1747" t="n">
        <v>1</v>
      </c>
      <c r="AM1747" t="n">
        <v>1</v>
      </c>
      <c r="AN1747" t="n">
        <v>0</v>
      </c>
      <c r="AO1747" t="n">
        <v>0</v>
      </c>
      <c r="AP1747" t="inlineStr">
        <is>
          <t>No</t>
        </is>
      </c>
      <c r="AQ1747" t="inlineStr">
        <is>
          <t>No</t>
        </is>
      </c>
      <c r="AS1747">
        <f>HYPERLINK("https://creighton-primo.hosted.exlibrisgroup.com/primo-explore/search?tab=default_tab&amp;search_scope=EVERYTHING&amp;vid=01CRU&amp;lang=en_US&amp;offset=0&amp;query=any,contains,991004369699702656","Catalog Record")</f>
        <v/>
      </c>
      <c r="AT1747">
        <f>HYPERLINK("http://www.worldcat.org/oclc/56409830","WorldCat Record")</f>
        <v/>
      </c>
      <c r="AU1747" t="inlineStr">
        <is>
          <t>16795281:eng</t>
        </is>
      </c>
      <c r="AV1747" t="inlineStr">
        <is>
          <t>56409830</t>
        </is>
      </c>
      <c r="AW1747" t="inlineStr">
        <is>
          <t>991004369699702656</t>
        </is>
      </c>
      <c r="AX1747" t="inlineStr">
        <is>
          <t>991004369699702656</t>
        </is>
      </c>
      <c r="AY1747" t="inlineStr">
        <is>
          <t>2264528770002656</t>
        </is>
      </c>
      <c r="AZ1747" t="inlineStr">
        <is>
          <t>BOOK</t>
        </is>
      </c>
      <c r="BC1747" t="inlineStr">
        <is>
          <t>32285004986898</t>
        </is>
      </c>
      <c r="BD1747" t="inlineStr">
        <is>
          <t>893513142</t>
        </is>
      </c>
    </row>
    <row r="1748">
      <c r="A1748" t="inlineStr">
        <is>
          <t>No</t>
        </is>
      </c>
      <c r="B1748" t="inlineStr">
        <is>
          <t>LC66 .E23 1999</t>
        </is>
      </c>
      <c r="C1748" t="inlineStr">
        <is>
          <t>0                      LC 0066000E  23          1999</t>
        </is>
      </c>
      <c r="D1748" t="inlineStr">
        <is>
          <t>Earning and learning : how schools matter / Susan E. Mayer and Paul E. Peterson, editors.</t>
        </is>
      </c>
      <c r="F1748" t="inlineStr">
        <is>
          <t>No</t>
        </is>
      </c>
      <c r="G1748" t="inlineStr">
        <is>
          <t>1</t>
        </is>
      </c>
      <c r="H1748" t="inlineStr">
        <is>
          <t>No</t>
        </is>
      </c>
      <c r="I1748" t="inlineStr">
        <is>
          <t>No</t>
        </is>
      </c>
      <c r="J1748" t="inlineStr">
        <is>
          <t>0</t>
        </is>
      </c>
      <c r="L1748" t="inlineStr">
        <is>
          <t>Washington, D.C. : Brookings Institution Press ; New York, N.Y. : Russell Sage Foundation, c1999.</t>
        </is>
      </c>
      <c r="M1748" t="inlineStr">
        <is>
          <t>1999</t>
        </is>
      </c>
      <c r="O1748" t="inlineStr">
        <is>
          <t>eng</t>
        </is>
      </c>
      <c r="P1748" t="inlineStr">
        <is>
          <t>dcu</t>
        </is>
      </c>
      <c r="R1748" t="inlineStr">
        <is>
          <t xml:space="preserve">LC </t>
        </is>
      </c>
      <c r="S1748" t="n">
        <v>1</v>
      </c>
      <c r="T1748" t="n">
        <v>1</v>
      </c>
      <c r="U1748" t="inlineStr">
        <is>
          <t>2000-09-12</t>
        </is>
      </c>
      <c r="V1748" t="inlineStr">
        <is>
          <t>2000-09-12</t>
        </is>
      </c>
      <c r="W1748" t="inlineStr">
        <is>
          <t>1999-08-18</t>
        </is>
      </c>
      <c r="X1748" t="inlineStr">
        <is>
          <t>1999-08-18</t>
        </is>
      </c>
      <c r="Y1748" t="n">
        <v>641</v>
      </c>
      <c r="Z1748" t="n">
        <v>586</v>
      </c>
      <c r="AA1748" t="n">
        <v>591</v>
      </c>
      <c r="AB1748" t="n">
        <v>3</v>
      </c>
      <c r="AC1748" t="n">
        <v>3</v>
      </c>
      <c r="AD1748" t="n">
        <v>28</v>
      </c>
      <c r="AE1748" t="n">
        <v>28</v>
      </c>
      <c r="AF1748" t="n">
        <v>12</v>
      </c>
      <c r="AG1748" t="n">
        <v>12</v>
      </c>
      <c r="AH1748" t="n">
        <v>7</v>
      </c>
      <c r="AI1748" t="n">
        <v>7</v>
      </c>
      <c r="AJ1748" t="n">
        <v>17</v>
      </c>
      <c r="AK1748" t="n">
        <v>17</v>
      </c>
      <c r="AL1748" t="n">
        <v>2</v>
      </c>
      <c r="AM1748" t="n">
        <v>2</v>
      </c>
      <c r="AN1748" t="n">
        <v>1</v>
      </c>
      <c r="AO1748" t="n">
        <v>1</v>
      </c>
      <c r="AP1748" t="inlineStr">
        <is>
          <t>No</t>
        </is>
      </c>
      <c r="AQ1748" t="inlineStr">
        <is>
          <t>No</t>
        </is>
      </c>
      <c r="AS1748">
        <f>HYPERLINK("https://creighton-primo.hosted.exlibrisgroup.com/primo-explore/search?tab=default_tab&amp;search_scope=EVERYTHING&amp;vid=01CRU&amp;lang=en_US&amp;offset=0&amp;query=any,contains,991003023229702656","Catalog Record")</f>
        <v/>
      </c>
      <c r="AT1748">
        <f>HYPERLINK("http://www.worldcat.org/oclc/41265929","WorldCat Record")</f>
        <v/>
      </c>
      <c r="AU1748" t="inlineStr">
        <is>
          <t>906425049:eng</t>
        </is>
      </c>
      <c r="AV1748" t="inlineStr">
        <is>
          <t>41265929</t>
        </is>
      </c>
      <c r="AW1748" t="inlineStr">
        <is>
          <t>991003023229702656</t>
        </is>
      </c>
      <c r="AX1748" t="inlineStr">
        <is>
          <t>991003023229702656</t>
        </is>
      </c>
      <c r="AY1748" t="inlineStr">
        <is>
          <t>2265114140002656</t>
        </is>
      </c>
      <c r="AZ1748" t="inlineStr">
        <is>
          <t>BOOK</t>
        </is>
      </c>
      <c r="BB1748" t="inlineStr">
        <is>
          <t>9780815755289</t>
        </is>
      </c>
      <c r="BC1748" t="inlineStr">
        <is>
          <t>32285003582714</t>
        </is>
      </c>
      <c r="BD1748" t="inlineStr">
        <is>
          <t>893717235</t>
        </is>
      </c>
    </row>
    <row r="1749">
      <c r="A1749" t="inlineStr">
        <is>
          <t>No</t>
        </is>
      </c>
      <c r="B1749" t="inlineStr">
        <is>
          <t>LC66 .H855 2004</t>
        </is>
      </c>
      <c r="C1749" t="inlineStr">
        <is>
          <t>0                      LC 0066000H  855         2004</t>
        </is>
      </c>
      <c r="D1749" t="inlineStr">
        <is>
          <t>K-12 education in the U.S. economy : its impact on economic development, earnings, and housing values / Thomas L. Hungerford and Robert W. Wassmer.</t>
        </is>
      </c>
      <c r="F1749" t="inlineStr">
        <is>
          <t>No</t>
        </is>
      </c>
      <c r="G1749" t="inlineStr">
        <is>
          <t>1</t>
        </is>
      </c>
      <c r="H1749" t="inlineStr">
        <is>
          <t>No</t>
        </is>
      </c>
      <c r="I1749" t="inlineStr">
        <is>
          <t>No</t>
        </is>
      </c>
      <c r="J1749" t="inlineStr">
        <is>
          <t>0</t>
        </is>
      </c>
      <c r="K1749" t="inlineStr">
        <is>
          <t>Hungerford, Thomas L.</t>
        </is>
      </c>
      <c r="L1749" t="inlineStr">
        <is>
          <t>Washington, DC : National Education Association, 2004.</t>
        </is>
      </c>
      <c r="M1749" t="inlineStr">
        <is>
          <t>2004</t>
        </is>
      </c>
      <c r="O1749" t="inlineStr">
        <is>
          <t>eng</t>
        </is>
      </c>
      <c r="P1749" t="inlineStr">
        <is>
          <t>dcu</t>
        </is>
      </c>
      <c r="Q1749" t="inlineStr">
        <is>
          <t>NEA research working paper</t>
        </is>
      </c>
      <c r="R1749" t="inlineStr">
        <is>
          <t xml:space="preserve">LC </t>
        </is>
      </c>
      <c r="S1749" t="n">
        <v>1</v>
      </c>
      <c r="T1749" t="n">
        <v>1</v>
      </c>
      <c r="U1749" t="inlineStr">
        <is>
          <t>2004-09-15</t>
        </is>
      </c>
      <c r="V1749" t="inlineStr">
        <is>
          <t>2004-09-15</t>
        </is>
      </c>
      <c r="W1749" t="inlineStr">
        <is>
          <t>2004-09-15</t>
        </is>
      </c>
      <c r="X1749" t="inlineStr">
        <is>
          <t>2004-09-15</t>
        </is>
      </c>
      <c r="Y1749" t="n">
        <v>150</v>
      </c>
      <c r="Z1749" t="n">
        <v>147</v>
      </c>
      <c r="AA1749" t="n">
        <v>148</v>
      </c>
      <c r="AB1749" t="n">
        <v>2</v>
      </c>
      <c r="AC1749" t="n">
        <v>2</v>
      </c>
      <c r="AD1749" t="n">
        <v>7</v>
      </c>
      <c r="AE1749" t="n">
        <v>7</v>
      </c>
      <c r="AF1749" t="n">
        <v>5</v>
      </c>
      <c r="AG1749" t="n">
        <v>5</v>
      </c>
      <c r="AH1749" t="n">
        <v>1</v>
      </c>
      <c r="AI1749" t="n">
        <v>1</v>
      </c>
      <c r="AJ1749" t="n">
        <v>3</v>
      </c>
      <c r="AK1749" t="n">
        <v>3</v>
      </c>
      <c r="AL1749" t="n">
        <v>1</v>
      </c>
      <c r="AM1749" t="n">
        <v>1</v>
      </c>
      <c r="AN1749" t="n">
        <v>0</v>
      </c>
      <c r="AO1749" t="n">
        <v>0</v>
      </c>
      <c r="AP1749" t="inlineStr">
        <is>
          <t>No</t>
        </is>
      </c>
      <c r="AQ1749" t="inlineStr">
        <is>
          <t>No</t>
        </is>
      </c>
      <c r="AS1749">
        <f>HYPERLINK("https://creighton-primo.hosted.exlibrisgroup.com/primo-explore/search?tab=default_tab&amp;search_scope=EVERYTHING&amp;vid=01CRU&amp;lang=en_US&amp;offset=0&amp;query=any,contains,991004369729702656","Catalog Record")</f>
        <v/>
      </c>
      <c r="AT1749">
        <f>HYPERLINK("http://www.worldcat.org/oclc/56409654","WorldCat Record")</f>
        <v/>
      </c>
      <c r="AU1749" t="inlineStr">
        <is>
          <t>5543403303:eng</t>
        </is>
      </c>
      <c r="AV1749" t="inlineStr">
        <is>
          <t>56409654</t>
        </is>
      </c>
      <c r="AW1749" t="inlineStr">
        <is>
          <t>991004369729702656</t>
        </is>
      </c>
      <c r="AX1749" t="inlineStr">
        <is>
          <t>991004369729702656</t>
        </is>
      </c>
      <c r="AY1749" t="inlineStr">
        <is>
          <t>2264576150002656</t>
        </is>
      </c>
      <c r="AZ1749" t="inlineStr">
        <is>
          <t>BOOK</t>
        </is>
      </c>
      <c r="BC1749" t="inlineStr">
        <is>
          <t>32285004986880</t>
        </is>
      </c>
      <c r="BD1749" t="inlineStr">
        <is>
          <t>893593606</t>
        </is>
      </c>
    </row>
    <row r="1750">
      <c r="A1750" t="inlineStr">
        <is>
          <t>No</t>
        </is>
      </c>
      <c r="B1750" t="inlineStr">
        <is>
          <t>LC6619 .D63 1997</t>
        </is>
      </c>
      <c r="C1750" t="inlineStr">
        <is>
          <t>0                      LC 6619000D  63          1997</t>
        </is>
      </c>
      <c r="D1750" t="inlineStr">
        <is>
          <t>The mother-daughter book club : how ten busy mothers and daughters came together to talk, laugh, and learn through their love of reading / by Shireen Dodson with Teresa Barker.</t>
        </is>
      </c>
      <c r="F1750" t="inlineStr">
        <is>
          <t>No</t>
        </is>
      </c>
      <c r="G1750" t="inlineStr">
        <is>
          <t>1</t>
        </is>
      </c>
      <c r="H1750" t="inlineStr">
        <is>
          <t>No</t>
        </is>
      </c>
      <c r="I1750" t="inlineStr">
        <is>
          <t>No</t>
        </is>
      </c>
      <c r="J1750" t="inlineStr">
        <is>
          <t>0</t>
        </is>
      </c>
      <c r="K1750" t="inlineStr">
        <is>
          <t>Dodson, Shireen.</t>
        </is>
      </c>
      <c r="L1750" t="inlineStr">
        <is>
          <t>New York : HarperPerennial, c1997.</t>
        </is>
      </c>
      <c r="M1750" t="inlineStr">
        <is>
          <t>1997</t>
        </is>
      </c>
      <c r="O1750" t="inlineStr">
        <is>
          <t>eng</t>
        </is>
      </c>
      <c r="P1750" t="inlineStr">
        <is>
          <t>nyu</t>
        </is>
      </c>
      <c r="R1750" t="inlineStr">
        <is>
          <t xml:space="preserve">LC </t>
        </is>
      </c>
      <c r="S1750" t="n">
        <v>1</v>
      </c>
      <c r="T1750" t="n">
        <v>1</v>
      </c>
      <c r="U1750" t="inlineStr">
        <is>
          <t>2005-08-25</t>
        </is>
      </c>
      <c r="V1750" t="inlineStr">
        <is>
          <t>2005-08-25</t>
        </is>
      </c>
      <c r="W1750" t="inlineStr">
        <is>
          <t>1998-06-16</t>
        </is>
      </c>
      <c r="X1750" t="inlineStr">
        <is>
          <t>1998-06-16</t>
        </is>
      </c>
      <c r="Y1750" t="n">
        <v>556</v>
      </c>
      <c r="Z1750" t="n">
        <v>534</v>
      </c>
      <c r="AA1750" t="n">
        <v>668</v>
      </c>
      <c r="AB1750" t="n">
        <v>5</v>
      </c>
      <c r="AC1750" t="n">
        <v>8</v>
      </c>
      <c r="AD1750" t="n">
        <v>4</v>
      </c>
      <c r="AE1750" t="n">
        <v>4</v>
      </c>
      <c r="AF1750" t="n">
        <v>0</v>
      </c>
      <c r="AG1750" t="n">
        <v>0</v>
      </c>
      <c r="AH1750" t="n">
        <v>1</v>
      </c>
      <c r="AI1750" t="n">
        <v>1</v>
      </c>
      <c r="AJ1750" t="n">
        <v>2</v>
      </c>
      <c r="AK1750" t="n">
        <v>2</v>
      </c>
      <c r="AL1750" t="n">
        <v>1</v>
      </c>
      <c r="AM1750" t="n">
        <v>1</v>
      </c>
      <c r="AN1750" t="n">
        <v>0</v>
      </c>
      <c r="AO1750" t="n">
        <v>0</v>
      </c>
      <c r="AP1750" t="inlineStr">
        <is>
          <t>No</t>
        </is>
      </c>
      <c r="AQ1750" t="inlineStr">
        <is>
          <t>No</t>
        </is>
      </c>
      <c r="AS1750">
        <f>HYPERLINK("https://creighton-primo.hosted.exlibrisgroup.com/primo-explore/search?tab=default_tab&amp;search_scope=EVERYTHING&amp;vid=01CRU&amp;lang=en_US&amp;offset=0&amp;query=any,contains,991002773719702656","Catalog Record")</f>
        <v/>
      </c>
      <c r="AT1750">
        <f>HYPERLINK("http://www.worldcat.org/oclc/36423396","WorldCat Record")</f>
        <v/>
      </c>
      <c r="AU1750" t="inlineStr">
        <is>
          <t>1041437654:eng</t>
        </is>
      </c>
      <c r="AV1750" t="inlineStr">
        <is>
          <t>36423396</t>
        </is>
      </c>
      <c r="AW1750" t="inlineStr">
        <is>
          <t>991002773719702656</t>
        </is>
      </c>
      <c r="AX1750" t="inlineStr">
        <is>
          <t>991002773719702656</t>
        </is>
      </c>
      <c r="AY1750" t="inlineStr">
        <is>
          <t>2272437880002656</t>
        </is>
      </c>
      <c r="AZ1750" t="inlineStr">
        <is>
          <t>BOOK</t>
        </is>
      </c>
      <c r="BB1750" t="inlineStr">
        <is>
          <t>9780060952426</t>
        </is>
      </c>
      <c r="BC1750" t="inlineStr">
        <is>
          <t>32285003421095</t>
        </is>
      </c>
      <c r="BD1750" t="inlineStr">
        <is>
          <t>893317242</t>
        </is>
      </c>
    </row>
    <row r="1751">
      <c r="A1751" t="inlineStr">
        <is>
          <t>No</t>
        </is>
      </c>
      <c r="B1751" t="inlineStr">
        <is>
          <t>LC67.K6 E34</t>
        </is>
      </c>
      <c r="C1751" t="inlineStr">
        <is>
          <t>0                      LC 0067000K  6                  E  34</t>
        </is>
      </c>
      <c r="D1751" t="inlineStr">
        <is>
          <t>Education and development in Korea / Noel F. McGinn ... [et al.].</t>
        </is>
      </c>
      <c r="F1751" t="inlineStr">
        <is>
          <t>No</t>
        </is>
      </c>
      <c r="G1751" t="inlineStr">
        <is>
          <t>1</t>
        </is>
      </c>
      <c r="H1751" t="inlineStr">
        <is>
          <t>No</t>
        </is>
      </c>
      <c r="I1751" t="inlineStr">
        <is>
          <t>No</t>
        </is>
      </c>
      <c r="J1751" t="inlineStr">
        <is>
          <t>0</t>
        </is>
      </c>
      <c r="L1751" t="inlineStr">
        <is>
          <t>Cambridge, Mass. : Council on East Asian Studies, Harvard University : distributed by Harvard University Press, 1980.</t>
        </is>
      </c>
      <c r="M1751" t="inlineStr">
        <is>
          <t>1980</t>
        </is>
      </c>
      <c r="O1751" t="inlineStr">
        <is>
          <t>eng</t>
        </is>
      </c>
      <c r="P1751" t="inlineStr">
        <is>
          <t>mau</t>
        </is>
      </c>
      <c r="Q1751" t="inlineStr">
        <is>
          <t>Harvard East Asian monographs ; 90</t>
        </is>
      </c>
      <c r="R1751" t="inlineStr">
        <is>
          <t xml:space="preserve">LC </t>
        </is>
      </c>
      <c r="S1751" t="n">
        <v>9</v>
      </c>
      <c r="T1751" t="n">
        <v>9</v>
      </c>
      <c r="U1751" t="inlineStr">
        <is>
          <t>1997-03-16</t>
        </is>
      </c>
      <c r="V1751" t="inlineStr">
        <is>
          <t>1997-03-16</t>
        </is>
      </c>
      <c r="W1751" t="inlineStr">
        <is>
          <t>1992-08-20</t>
        </is>
      </c>
      <c r="X1751" t="inlineStr">
        <is>
          <t>1992-08-20</t>
        </is>
      </c>
      <c r="Y1751" t="n">
        <v>362</v>
      </c>
      <c r="Z1751" t="n">
        <v>274</v>
      </c>
      <c r="AA1751" t="n">
        <v>334</v>
      </c>
      <c r="AB1751" t="n">
        <v>2</v>
      </c>
      <c r="AC1751" t="n">
        <v>3</v>
      </c>
      <c r="AD1751" t="n">
        <v>9</v>
      </c>
      <c r="AE1751" t="n">
        <v>17</v>
      </c>
      <c r="AF1751" t="n">
        <v>2</v>
      </c>
      <c r="AG1751" t="n">
        <v>7</v>
      </c>
      <c r="AH1751" t="n">
        <v>3</v>
      </c>
      <c r="AI1751" t="n">
        <v>5</v>
      </c>
      <c r="AJ1751" t="n">
        <v>4</v>
      </c>
      <c r="AK1751" t="n">
        <v>6</v>
      </c>
      <c r="AL1751" t="n">
        <v>1</v>
      </c>
      <c r="AM1751" t="n">
        <v>2</v>
      </c>
      <c r="AN1751" t="n">
        <v>0</v>
      </c>
      <c r="AO1751" t="n">
        <v>0</v>
      </c>
      <c r="AP1751" t="inlineStr">
        <is>
          <t>No</t>
        </is>
      </c>
      <c r="AQ1751" t="inlineStr">
        <is>
          <t>Yes</t>
        </is>
      </c>
      <c r="AR1751">
        <f>HYPERLINK("http://catalog.hathitrust.org/Record/000043913","HathiTrust Record")</f>
        <v/>
      </c>
      <c r="AS1751">
        <f>HYPERLINK("https://creighton-primo.hosted.exlibrisgroup.com/primo-explore/search?tab=default_tab&amp;search_scope=EVERYTHING&amp;vid=01CRU&amp;lang=en_US&amp;offset=0&amp;query=any,contains,991004858529702656","Catalog Record")</f>
        <v/>
      </c>
      <c r="AT1751">
        <f>HYPERLINK("http://www.worldcat.org/oclc/5677711","WorldCat Record")</f>
        <v/>
      </c>
      <c r="AU1751" t="inlineStr">
        <is>
          <t>54340288:eng</t>
        </is>
      </c>
      <c r="AV1751" t="inlineStr">
        <is>
          <t>5677711</t>
        </is>
      </c>
      <c r="AW1751" t="inlineStr">
        <is>
          <t>991004858529702656</t>
        </is>
      </c>
      <c r="AX1751" t="inlineStr">
        <is>
          <t>991004858529702656</t>
        </is>
      </c>
      <c r="AY1751" t="inlineStr">
        <is>
          <t>2261687640002656</t>
        </is>
      </c>
      <c r="AZ1751" t="inlineStr">
        <is>
          <t>BOOK</t>
        </is>
      </c>
      <c r="BB1751" t="inlineStr">
        <is>
          <t>9780674238107</t>
        </is>
      </c>
      <c r="BC1751" t="inlineStr">
        <is>
          <t>32285001264414</t>
        </is>
      </c>
      <c r="BD1751" t="inlineStr">
        <is>
          <t>893789178</t>
        </is>
      </c>
    </row>
    <row r="1752">
      <c r="A1752" t="inlineStr">
        <is>
          <t>No</t>
        </is>
      </c>
      <c r="B1752" t="inlineStr">
        <is>
          <t>LC72.2 .A26 1994</t>
        </is>
      </c>
      <c r="C1752" t="inlineStr">
        <is>
          <t>0                      LC 0072200A  26          1994</t>
        </is>
      </c>
      <c r="D1752" t="inlineStr">
        <is>
          <t>Academic freedom : an everyday concern / Ernst Benjamin, Donald R. Wagner, editors.</t>
        </is>
      </c>
      <c r="F1752" t="inlineStr">
        <is>
          <t>No</t>
        </is>
      </c>
      <c r="G1752" t="inlineStr">
        <is>
          <t>1</t>
        </is>
      </c>
      <c r="H1752" t="inlineStr">
        <is>
          <t>No</t>
        </is>
      </c>
      <c r="I1752" t="inlineStr">
        <is>
          <t>No</t>
        </is>
      </c>
      <c r="J1752" t="inlineStr">
        <is>
          <t>0</t>
        </is>
      </c>
      <c r="L1752" t="inlineStr">
        <is>
          <t>San Francisco, Calif. : Jossey-Bass, c1994.</t>
        </is>
      </c>
      <c r="M1752" t="inlineStr">
        <is>
          <t>1994</t>
        </is>
      </c>
      <c r="O1752" t="inlineStr">
        <is>
          <t>eng</t>
        </is>
      </c>
      <c r="P1752" t="inlineStr">
        <is>
          <t>cau</t>
        </is>
      </c>
      <c r="Q1752" t="inlineStr">
        <is>
          <t>New directions for higher education, 0271-0560 ; no. 88, winter 1994</t>
        </is>
      </c>
      <c r="R1752" t="inlineStr">
        <is>
          <t xml:space="preserve">LC </t>
        </is>
      </c>
      <c r="S1752" t="n">
        <v>3</v>
      </c>
      <c r="T1752" t="n">
        <v>3</v>
      </c>
      <c r="U1752" t="inlineStr">
        <is>
          <t>1999-01-29</t>
        </is>
      </c>
      <c r="V1752" t="inlineStr">
        <is>
          <t>1999-01-29</t>
        </is>
      </c>
      <c r="W1752" t="inlineStr">
        <is>
          <t>1996-04-10</t>
        </is>
      </c>
      <c r="X1752" t="inlineStr">
        <is>
          <t>1996-04-10</t>
        </is>
      </c>
      <c r="Y1752" t="n">
        <v>327</v>
      </c>
      <c r="Z1752" t="n">
        <v>300</v>
      </c>
      <c r="AA1752" t="n">
        <v>301</v>
      </c>
      <c r="AB1752" t="n">
        <v>3</v>
      </c>
      <c r="AC1752" t="n">
        <v>3</v>
      </c>
      <c r="AD1752" t="n">
        <v>17</v>
      </c>
      <c r="AE1752" t="n">
        <v>17</v>
      </c>
      <c r="AF1752" t="n">
        <v>7</v>
      </c>
      <c r="AG1752" t="n">
        <v>7</v>
      </c>
      <c r="AH1752" t="n">
        <v>4</v>
      </c>
      <c r="AI1752" t="n">
        <v>4</v>
      </c>
      <c r="AJ1752" t="n">
        <v>8</v>
      </c>
      <c r="AK1752" t="n">
        <v>8</v>
      </c>
      <c r="AL1752" t="n">
        <v>2</v>
      </c>
      <c r="AM1752" t="n">
        <v>2</v>
      </c>
      <c r="AN1752" t="n">
        <v>1</v>
      </c>
      <c r="AO1752" t="n">
        <v>1</v>
      </c>
      <c r="AP1752" t="inlineStr">
        <is>
          <t>No</t>
        </is>
      </c>
      <c r="AQ1752" t="inlineStr">
        <is>
          <t>No</t>
        </is>
      </c>
      <c r="AS1752">
        <f>HYPERLINK("https://creighton-primo.hosted.exlibrisgroup.com/primo-explore/search?tab=default_tab&amp;search_scope=EVERYTHING&amp;vid=01CRU&amp;lang=en_US&amp;offset=0&amp;query=any,contains,991002477419702656","Catalog Record")</f>
        <v/>
      </c>
      <c r="AT1752">
        <f>HYPERLINK("http://www.worldcat.org/oclc/32271460","WorldCat Record")</f>
        <v/>
      </c>
      <c r="AU1752" t="inlineStr">
        <is>
          <t>476643889:eng</t>
        </is>
      </c>
      <c r="AV1752" t="inlineStr">
        <is>
          <t>32271460</t>
        </is>
      </c>
      <c r="AW1752" t="inlineStr">
        <is>
          <t>991002477419702656</t>
        </is>
      </c>
      <c r="AX1752" t="inlineStr">
        <is>
          <t>991002477419702656</t>
        </is>
      </c>
      <c r="AY1752" t="inlineStr">
        <is>
          <t>2261644330002656</t>
        </is>
      </c>
      <c r="AZ1752" t="inlineStr">
        <is>
          <t>BOOK</t>
        </is>
      </c>
      <c r="BB1752" t="inlineStr">
        <is>
          <t>9780787999872</t>
        </is>
      </c>
      <c r="BC1752" t="inlineStr">
        <is>
          <t>32285002151255</t>
        </is>
      </c>
      <c r="BD1752" t="inlineStr">
        <is>
          <t>893427637</t>
        </is>
      </c>
    </row>
    <row r="1753">
      <c r="A1753" t="inlineStr">
        <is>
          <t>No</t>
        </is>
      </c>
      <c r="B1753" t="inlineStr">
        <is>
          <t>LC72.2 .K67 1998</t>
        </is>
      </c>
      <c r="C1753" t="inlineStr">
        <is>
          <t>0                      LC 0072200K  67          1998</t>
        </is>
      </c>
      <c r="D1753" t="inlineStr">
        <is>
          <t>The shadow university : the betrayal of liberty on America's campuses / Alan Charles Kors, Harvey A. Silverglate.</t>
        </is>
      </c>
      <c r="F1753" t="inlineStr">
        <is>
          <t>No</t>
        </is>
      </c>
      <c r="G1753" t="inlineStr">
        <is>
          <t>1</t>
        </is>
      </c>
      <c r="H1753" t="inlineStr">
        <is>
          <t>No</t>
        </is>
      </c>
      <c r="I1753" t="inlineStr">
        <is>
          <t>No</t>
        </is>
      </c>
      <c r="J1753" t="inlineStr">
        <is>
          <t>0</t>
        </is>
      </c>
      <c r="K1753" t="inlineStr">
        <is>
          <t>Kors, Alan Charles.</t>
        </is>
      </c>
      <c r="L1753" t="inlineStr">
        <is>
          <t>New York : Free Press, c1998.</t>
        </is>
      </c>
      <c r="M1753" t="inlineStr">
        <is>
          <t>1998</t>
        </is>
      </c>
      <c r="O1753" t="inlineStr">
        <is>
          <t>eng</t>
        </is>
      </c>
      <c r="P1753" t="inlineStr">
        <is>
          <t>nyu</t>
        </is>
      </c>
      <c r="R1753" t="inlineStr">
        <is>
          <t xml:space="preserve">LC </t>
        </is>
      </c>
      <c r="S1753" t="n">
        <v>1</v>
      </c>
      <c r="T1753" t="n">
        <v>1</v>
      </c>
      <c r="U1753" t="inlineStr">
        <is>
          <t>1998-11-15</t>
        </is>
      </c>
      <c r="V1753" t="inlineStr">
        <is>
          <t>1998-11-15</t>
        </is>
      </c>
      <c r="W1753" t="inlineStr">
        <is>
          <t>1998-10-07</t>
        </is>
      </c>
      <c r="X1753" t="inlineStr">
        <is>
          <t>1998-10-07</t>
        </is>
      </c>
      <c r="Y1753" t="n">
        <v>910</v>
      </c>
      <c r="Z1753" t="n">
        <v>865</v>
      </c>
      <c r="AA1753" t="n">
        <v>1020</v>
      </c>
      <c r="AB1753" t="n">
        <v>7</v>
      </c>
      <c r="AC1753" t="n">
        <v>7</v>
      </c>
      <c r="AD1753" t="n">
        <v>43</v>
      </c>
      <c r="AE1753" t="n">
        <v>46</v>
      </c>
      <c r="AF1753" t="n">
        <v>14</v>
      </c>
      <c r="AG1753" t="n">
        <v>16</v>
      </c>
      <c r="AH1753" t="n">
        <v>6</v>
      </c>
      <c r="AI1753" t="n">
        <v>6</v>
      </c>
      <c r="AJ1753" t="n">
        <v>16</v>
      </c>
      <c r="AK1753" t="n">
        <v>16</v>
      </c>
      <c r="AL1753" t="n">
        <v>6</v>
      </c>
      <c r="AM1753" t="n">
        <v>6</v>
      </c>
      <c r="AN1753" t="n">
        <v>9</v>
      </c>
      <c r="AO1753" t="n">
        <v>10</v>
      </c>
      <c r="AP1753" t="inlineStr">
        <is>
          <t>No</t>
        </is>
      </c>
      <c r="AQ1753" t="inlineStr">
        <is>
          <t>No</t>
        </is>
      </c>
      <c r="AS1753">
        <f>HYPERLINK("https://creighton-primo.hosted.exlibrisgroup.com/primo-explore/search?tab=default_tab&amp;search_scope=EVERYTHING&amp;vid=01CRU&amp;lang=en_US&amp;offset=0&amp;query=any,contains,991002949149702656","Catalog Record")</f>
        <v/>
      </c>
      <c r="AT1753">
        <f>HYPERLINK("http://www.worldcat.org/oclc/39291872","WorldCat Record")</f>
        <v/>
      </c>
      <c r="AU1753" t="inlineStr">
        <is>
          <t>26830753:eng</t>
        </is>
      </c>
      <c r="AV1753" t="inlineStr">
        <is>
          <t>39291872</t>
        </is>
      </c>
      <c r="AW1753" t="inlineStr">
        <is>
          <t>991002949149702656</t>
        </is>
      </c>
      <c r="AX1753" t="inlineStr">
        <is>
          <t>991002949149702656</t>
        </is>
      </c>
      <c r="AY1753" t="inlineStr">
        <is>
          <t>2260230840002656</t>
        </is>
      </c>
      <c r="AZ1753" t="inlineStr">
        <is>
          <t>BOOK</t>
        </is>
      </c>
      <c r="BB1753" t="inlineStr">
        <is>
          <t>9780684853215</t>
        </is>
      </c>
      <c r="BC1753" t="inlineStr">
        <is>
          <t>32285003472684</t>
        </is>
      </c>
      <c r="BD1753" t="inlineStr">
        <is>
          <t>893511394</t>
        </is>
      </c>
    </row>
    <row r="1754">
      <c r="A1754" t="inlineStr">
        <is>
          <t>No</t>
        </is>
      </c>
      <c r="B1754" t="inlineStr">
        <is>
          <t>LC72.2 .S37 1986</t>
        </is>
      </c>
      <c r="C1754" t="inlineStr">
        <is>
          <t>0                      LC 0072200S  37          1986</t>
        </is>
      </c>
      <c r="D1754" t="inlineStr">
        <is>
          <t>No ivory tower : McCarthyism and the universities / Ellen W. Schrecker.</t>
        </is>
      </c>
      <c r="F1754" t="inlineStr">
        <is>
          <t>No</t>
        </is>
      </c>
      <c r="G1754" t="inlineStr">
        <is>
          <t>1</t>
        </is>
      </c>
      <c r="H1754" t="inlineStr">
        <is>
          <t>No</t>
        </is>
      </c>
      <c r="I1754" t="inlineStr">
        <is>
          <t>No</t>
        </is>
      </c>
      <c r="J1754" t="inlineStr">
        <is>
          <t>0</t>
        </is>
      </c>
      <c r="K1754" t="inlineStr">
        <is>
          <t>Schrecker, Ellen.</t>
        </is>
      </c>
      <c r="L1754" t="inlineStr">
        <is>
          <t>New York : Oxford University Press, 1986.</t>
        </is>
      </c>
      <c r="M1754" t="inlineStr">
        <is>
          <t>1986</t>
        </is>
      </c>
      <c r="O1754" t="inlineStr">
        <is>
          <t>eng</t>
        </is>
      </c>
      <c r="P1754" t="inlineStr">
        <is>
          <t>nyu</t>
        </is>
      </c>
      <c r="R1754" t="inlineStr">
        <is>
          <t xml:space="preserve">LC </t>
        </is>
      </c>
      <c r="S1754" t="n">
        <v>5</v>
      </c>
      <c r="T1754" t="n">
        <v>5</v>
      </c>
      <c r="U1754" t="inlineStr">
        <is>
          <t>2010-06-15</t>
        </is>
      </c>
      <c r="V1754" t="inlineStr">
        <is>
          <t>2010-06-15</t>
        </is>
      </c>
      <c r="W1754" t="inlineStr">
        <is>
          <t>1992-08-20</t>
        </is>
      </c>
      <c r="X1754" t="inlineStr">
        <is>
          <t>1992-08-20</t>
        </is>
      </c>
      <c r="Y1754" t="n">
        <v>1107</v>
      </c>
      <c r="Z1754" t="n">
        <v>963</v>
      </c>
      <c r="AA1754" t="n">
        <v>972</v>
      </c>
      <c r="AB1754" t="n">
        <v>6</v>
      </c>
      <c r="AC1754" t="n">
        <v>6</v>
      </c>
      <c r="AD1754" t="n">
        <v>40</v>
      </c>
      <c r="AE1754" t="n">
        <v>40</v>
      </c>
      <c r="AF1754" t="n">
        <v>13</v>
      </c>
      <c r="AG1754" t="n">
        <v>13</v>
      </c>
      <c r="AH1754" t="n">
        <v>9</v>
      </c>
      <c r="AI1754" t="n">
        <v>9</v>
      </c>
      <c r="AJ1754" t="n">
        <v>21</v>
      </c>
      <c r="AK1754" t="n">
        <v>21</v>
      </c>
      <c r="AL1754" t="n">
        <v>5</v>
      </c>
      <c r="AM1754" t="n">
        <v>5</v>
      </c>
      <c r="AN1754" t="n">
        <v>4</v>
      </c>
      <c r="AO1754" t="n">
        <v>4</v>
      </c>
      <c r="AP1754" t="inlineStr">
        <is>
          <t>No</t>
        </is>
      </c>
      <c r="AQ1754" t="inlineStr">
        <is>
          <t>Yes</t>
        </is>
      </c>
      <c r="AR1754">
        <f>HYPERLINK("http://catalog.hathitrust.org/Record/000482062","HathiTrust Record")</f>
        <v/>
      </c>
      <c r="AS1754">
        <f>HYPERLINK("https://creighton-primo.hosted.exlibrisgroup.com/primo-explore/search?tab=default_tab&amp;search_scope=EVERYTHING&amp;vid=01CRU&amp;lang=en_US&amp;offset=0&amp;query=any,contains,991000828539702656","Catalog Record")</f>
        <v/>
      </c>
      <c r="AT1754">
        <f>HYPERLINK("http://www.worldcat.org/oclc/13425990","WorldCat Record")</f>
        <v/>
      </c>
      <c r="AU1754" t="inlineStr">
        <is>
          <t>807498933:eng</t>
        </is>
      </c>
      <c r="AV1754" t="inlineStr">
        <is>
          <t>13425990</t>
        </is>
      </c>
      <c r="AW1754" t="inlineStr">
        <is>
          <t>991000828539702656</t>
        </is>
      </c>
      <c r="AX1754" t="inlineStr">
        <is>
          <t>991000828539702656</t>
        </is>
      </c>
      <c r="AY1754" t="inlineStr">
        <is>
          <t>2265121610002656</t>
        </is>
      </c>
      <c r="AZ1754" t="inlineStr">
        <is>
          <t>BOOK</t>
        </is>
      </c>
      <c r="BB1754" t="inlineStr">
        <is>
          <t>9780195035575</t>
        </is>
      </c>
      <c r="BC1754" t="inlineStr">
        <is>
          <t>32285001264455</t>
        </is>
      </c>
      <c r="BD1754" t="inlineStr">
        <is>
          <t>893614528</t>
        </is>
      </c>
    </row>
    <row r="1755">
      <c r="A1755" t="inlineStr">
        <is>
          <t>No</t>
        </is>
      </c>
      <c r="B1755" t="inlineStr">
        <is>
          <t>LC72.3.N9 B5 2002</t>
        </is>
      </c>
      <c r="C1755" t="inlineStr">
        <is>
          <t>0                      LC 0072300N  9                  B  5           2002</t>
        </is>
      </c>
      <c r="D1755" t="inlineStr">
        <is>
          <t>Death by journalism? : one teacher's fateful encounter with political correctness / Jerry Bledsoe.</t>
        </is>
      </c>
      <c r="F1755" t="inlineStr">
        <is>
          <t>No</t>
        </is>
      </c>
      <c r="G1755" t="inlineStr">
        <is>
          <t>1</t>
        </is>
      </c>
      <c r="H1755" t="inlineStr">
        <is>
          <t>No</t>
        </is>
      </c>
      <c r="I1755" t="inlineStr">
        <is>
          <t>No</t>
        </is>
      </c>
      <c r="J1755" t="inlineStr">
        <is>
          <t>0</t>
        </is>
      </c>
      <c r="K1755" t="inlineStr">
        <is>
          <t>Bledsoe, Jerry.</t>
        </is>
      </c>
      <c r="L1755" t="inlineStr">
        <is>
          <t>Asheboro, NC : Down Home Press, c2002.</t>
        </is>
      </c>
      <c r="M1755" t="inlineStr">
        <is>
          <t>2002</t>
        </is>
      </c>
      <c r="O1755" t="inlineStr">
        <is>
          <t>eng</t>
        </is>
      </c>
      <c r="P1755" t="inlineStr">
        <is>
          <t>ncu</t>
        </is>
      </c>
      <c r="R1755" t="inlineStr">
        <is>
          <t xml:space="preserve">LC </t>
        </is>
      </c>
      <c r="S1755" t="n">
        <v>1</v>
      </c>
      <c r="T1755" t="n">
        <v>1</v>
      </c>
      <c r="U1755" t="inlineStr">
        <is>
          <t>2002-04-29</t>
        </is>
      </c>
      <c r="V1755" t="inlineStr">
        <is>
          <t>2002-04-29</t>
        </is>
      </c>
      <c r="W1755" t="inlineStr">
        <is>
          <t>2002-04-15</t>
        </is>
      </c>
      <c r="X1755" t="inlineStr">
        <is>
          <t>2002-04-15</t>
        </is>
      </c>
      <c r="Y1755" t="n">
        <v>242</v>
      </c>
      <c r="Z1755" t="n">
        <v>236</v>
      </c>
      <c r="AA1755" t="n">
        <v>243</v>
      </c>
      <c r="AB1755" t="n">
        <v>3</v>
      </c>
      <c r="AC1755" t="n">
        <v>3</v>
      </c>
      <c r="AD1755" t="n">
        <v>10</v>
      </c>
      <c r="AE1755" t="n">
        <v>10</v>
      </c>
      <c r="AF1755" t="n">
        <v>4</v>
      </c>
      <c r="AG1755" t="n">
        <v>4</v>
      </c>
      <c r="AH1755" t="n">
        <v>2</v>
      </c>
      <c r="AI1755" t="n">
        <v>2</v>
      </c>
      <c r="AJ1755" t="n">
        <v>3</v>
      </c>
      <c r="AK1755" t="n">
        <v>3</v>
      </c>
      <c r="AL1755" t="n">
        <v>2</v>
      </c>
      <c r="AM1755" t="n">
        <v>2</v>
      </c>
      <c r="AN1755" t="n">
        <v>0</v>
      </c>
      <c r="AO1755" t="n">
        <v>0</v>
      </c>
      <c r="AP1755" t="inlineStr">
        <is>
          <t>No</t>
        </is>
      </c>
      <c r="AQ1755" t="inlineStr">
        <is>
          <t>Yes</t>
        </is>
      </c>
      <c r="AR1755">
        <f>HYPERLINK("http://catalog.hathitrust.org/Record/007141330","HathiTrust Record")</f>
        <v/>
      </c>
      <c r="AS1755">
        <f>HYPERLINK("https://creighton-primo.hosted.exlibrisgroup.com/primo-explore/search?tab=default_tab&amp;search_scope=EVERYTHING&amp;vid=01CRU&amp;lang=en_US&amp;offset=0&amp;query=any,contains,991003768819702656","Catalog Record")</f>
        <v/>
      </c>
      <c r="AT1755">
        <f>HYPERLINK("http://www.worldcat.org/oclc/49287574","WorldCat Record")</f>
        <v/>
      </c>
      <c r="AU1755" t="inlineStr">
        <is>
          <t>955812:eng</t>
        </is>
      </c>
      <c r="AV1755" t="inlineStr">
        <is>
          <t>49287574</t>
        </is>
      </c>
      <c r="AW1755" t="inlineStr">
        <is>
          <t>991003768819702656</t>
        </is>
      </c>
      <c r="AX1755" t="inlineStr">
        <is>
          <t>991003768819702656</t>
        </is>
      </c>
      <c r="AY1755" t="inlineStr">
        <is>
          <t>2255686100002656</t>
        </is>
      </c>
      <c r="AZ1755" t="inlineStr">
        <is>
          <t>BOOK</t>
        </is>
      </c>
      <c r="BB1755" t="inlineStr">
        <is>
          <t>9781878086938</t>
        </is>
      </c>
      <c r="BC1755" t="inlineStr">
        <is>
          <t>32285004477682</t>
        </is>
      </c>
      <c r="BD1755" t="inlineStr">
        <is>
          <t>893435418</t>
        </is>
      </c>
    </row>
    <row r="1756">
      <c r="A1756" t="inlineStr">
        <is>
          <t>No</t>
        </is>
      </c>
      <c r="B1756" t="inlineStr">
        <is>
          <t>LC89 .E38 1998</t>
        </is>
      </c>
      <c r="C1756" t="inlineStr">
        <is>
          <t>0                      LC 0089000E  38          1998</t>
        </is>
      </c>
      <c r="D1756" t="inlineStr">
        <is>
          <t>Opposing censorship in the public schools : religion, morality, and literature / June Edwards.</t>
        </is>
      </c>
      <c r="F1756" t="inlineStr">
        <is>
          <t>No</t>
        </is>
      </c>
      <c r="G1756" t="inlineStr">
        <is>
          <t>1</t>
        </is>
      </c>
      <c r="H1756" t="inlineStr">
        <is>
          <t>No</t>
        </is>
      </c>
      <c r="I1756" t="inlineStr">
        <is>
          <t>No</t>
        </is>
      </c>
      <c r="J1756" t="inlineStr">
        <is>
          <t>0</t>
        </is>
      </c>
      <c r="K1756" t="inlineStr">
        <is>
          <t>Edwards, June, 1934-</t>
        </is>
      </c>
      <c r="L1756" t="inlineStr">
        <is>
          <t>Mahwah, N.J. : L. Erlbaum Associates, 1998.</t>
        </is>
      </c>
      <c r="M1756" t="inlineStr">
        <is>
          <t>1998</t>
        </is>
      </c>
      <c r="O1756" t="inlineStr">
        <is>
          <t>eng</t>
        </is>
      </c>
      <c r="P1756" t="inlineStr">
        <is>
          <t>nju</t>
        </is>
      </c>
      <c r="R1756" t="inlineStr">
        <is>
          <t xml:space="preserve">LC </t>
        </is>
      </c>
      <c r="S1756" t="n">
        <v>3</v>
      </c>
      <c r="T1756" t="n">
        <v>3</v>
      </c>
      <c r="U1756" t="inlineStr">
        <is>
          <t>2002-02-28</t>
        </is>
      </c>
      <c r="V1756" t="inlineStr">
        <is>
          <t>2002-02-28</t>
        </is>
      </c>
      <c r="W1756" t="inlineStr">
        <is>
          <t>1998-07-08</t>
        </is>
      </c>
      <c r="X1756" t="inlineStr">
        <is>
          <t>1998-07-08</t>
        </is>
      </c>
      <c r="Y1756" t="n">
        <v>514</v>
      </c>
      <c r="Z1756" t="n">
        <v>488</v>
      </c>
      <c r="AA1756" t="n">
        <v>1459</v>
      </c>
      <c r="AB1756" t="n">
        <v>3</v>
      </c>
      <c r="AC1756" t="n">
        <v>41</v>
      </c>
      <c r="AD1756" t="n">
        <v>22</v>
      </c>
      <c r="AE1756" t="n">
        <v>44</v>
      </c>
      <c r="AF1756" t="n">
        <v>8</v>
      </c>
      <c r="AG1756" t="n">
        <v>17</v>
      </c>
      <c r="AH1756" t="n">
        <v>3</v>
      </c>
      <c r="AI1756" t="n">
        <v>7</v>
      </c>
      <c r="AJ1756" t="n">
        <v>14</v>
      </c>
      <c r="AK1756" t="n">
        <v>20</v>
      </c>
      <c r="AL1756" t="n">
        <v>2</v>
      </c>
      <c r="AM1756" t="n">
        <v>10</v>
      </c>
      <c r="AN1756" t="n">
        <v>1</v>
      </c>
      <c r="AO1756" t="n">
        <v>1</v>
      </c>
      <c r="AP1756" t="inlineStr">
        <is>
          <t>No</t>
        </is>
      </c>
      <c r="AQ1756" t="inlineStr">
        <is>
          <t>Yes</t>
        </is>
      </c>
      <c r="AR1756">
        <f>HYPERLINK("http://catalog.hathitrust.org/Record/003996889","HathiTrust Record")</f>
        <v/>
      </c>
      <c r="AS1756">
        <f>HYPERLINK("https://creighton-primo.hosted.exlibrisgroup.com/primo-explore/search?tab=default_tab&amp;search_scope=EVERYTHING&amp;vid=01CRU&amp;lang=en_US&amp;offset=0&amp;query=any,contains,991002840109702656","Catalog Record")</f>
        <v/>
      </c>
      <c r="AT1756">
        <f>HYPERLINK("http://www.worldcat.org/oclc/37418192","WorldCat Record")</f>
        <v/>
      </c>
      <c r="AU1756" t="inlineStr">
        <is>
          <t>799758592:eng</t>
        </is>
      </c>
      <c r="AV1756" t="inlineStr">
        <is>
          <t>37418192</t>
        </is>
      </c>
      <c r="AW1756" t="inlineStr">
        <is>
          <t>991002840109702656</t>
        </is>
      </c>
      <c r="AX1756" t="inlineStr">
        <is>
          <t>991002840109702656</t>
        </is>
      </c>
      <c r="AY1756" t="inlineStr">
        <is>
          <t>2270658210002656</t>
        </is>
      </c>
      <c r="AZ1756" t="inlineStr">
        <is>
          <t>BOOK</t>
        </is>
      </c>
      <c r="BB1756" t="inlineStr">
        <is>
          <t>9780805825459</t>
        </is>
      </c>
      <c r="BC1756" t="inlineStr">
        <is>
          <t>32285003430294</t>
        </is>
      </c>
      <c r="BD1756" t="inlineStr">
        <is>
          <t>893434357</t>
        </is>
      </c>
    </row>
    <row r="1757">
      <c r="A1757" t="inlineStr">
        <is>
          <t>No</t>
        </is>
      </c>
      <c r="B1757" t="inlineStr">
        <is>
          <t>LC89 .F29</t>
        </is>
      </c>
      <c r="C1757" t="inlineStr">
        <is>
          <t>0                      LC 0089000F  29</t>
        </is>
      </c>
      <c r="D1757" t="inlineStr">
        <is>
          <t>The Federal role in education : new directions for the eighties / edited by Robert A. Miller.</t>
        </is>
      </c>
      <c r="F1757" t="inlineStr">
        <is>
          <t>No</t>
        </is>
      </c>
      <c r="G1757" t="inlineStr">
        <is>
          <t>1</t>
        </is>
      </c>
      <c r="H1757" t="inlineStr">
        <is>
          <t>No</t>
        </is>
      </c>
      <c r="I1757" t="inlineStr">
        <is>
          <t>No</t>
        </is>
      </c>
      <c r="J1757" t="inlineStr">
        <is>
          <t>0</t>
        </is>
      </c>
      <c r="L1757" t="inlineStr">
        <is>
          <t>Washington : Institute for Educational Leadership, c1981.</t>
        </is>
      </c>
      <c r="M1757" t="inlineStr">
        <is>
          <t>1981</t>
        </is>
      </c>
      <c r="O1757" t="inlineStr">
        <is>
          <t>eng</t>
        </is>
      </c>
      <c r="P1757" t="inlineStr">
        <is>
          <t>dcu</t>
        </is>
      </c>
      <c r="R1757" t="inlineStr">
        <is>
          <t xml:space="preserve">LC </t>
        </is>
      </c>
      <c r="S1757" t="n">
        <v>2</v>
      </c>
      <c r="T1757" t="n">
        <v>2</v>
      </c>
      <c r="U1757" t="inlineStr">
        <is>
          <t>2005-05-03</t>
        </is>
      </c>
      <c r="V1757" t="inlineStr">
        <is>
          <t>2005-05-03</t>
        </is>
      </c>
      <c r="W1757" t="inlineStr">
        <is>
          <t>1992-08-20</t>
        </is>
      </c>
      <c r="X1757" t="inlineStr">
        <is>
          <t>1992-08-20</t>
        </is>
      </c>
      <c r="Y1757" t="n">
        <v>123</v>
      </c>
      <c r="Z1757" t="n">
        <v>120</v>
      </c>
      <c r="AA1757" t="n">
        <v>122</v>
      </c>
      <c r="AB1757" t="n">
        <v>1</v>
      </c>
      <c r="AC1757" t="n">
        <v>1</v>
      </c>
      <c r="AD1757" t="n">
        <v>3</v>
      </c>
      <c r="AE1757" t="n">
        <v>3</v>
      </c>
      <c r="AF1757" t="n">
        <v>1</v>
      </c>
      <c r="AG1757" t="n">
        <v>1</v>
      </c>
      <c r="AH1757" t="n">
        <v>0</v>
      </c>
      <c r="AI1757" t="n">
        <v>0</v>
      </c>
      <c r="AJ1757" t="n">
        <v>3</v>
      </c>
      <c r="AK1757" t="n">
        <v>3</v>
      </c>
      <c r="AL1757" t="n">
        <v>0</v>
      </c>
      <c r="AM1757" t="n">
        <v>0</v>
      </c>
      <c r="AN1757" t="n">
        <v>0</v>
      </c>
      <c r="AO1757" t="n">
        <v>0</v>
      </c>
      <c r="AP1757" t="inlineStr">
        <is>
          <t>No</t>
        </is>
      </c>
      <c r="AQ1757" t="inlineStr">
        <is>
          <t>No</t>
        </is>
      </c>
      <c r="AS1757">
        <f>HYPERLINK("https://creighton-primo.hosted.exlibrisgroup.com/primo-explore/search?tab=default_tab&amp;search_scope=EVERYTHING&amp;vid=01CRU&amp;lang=en_US&amp;offset=0&amp;query=any,contains,991005160629702656","Catalog Record")</f>
        <v/>
      </c>
      <c r="AT1757">
        <f>HYPERLINK("http://www.worldcat.org/oclc/7781941","WorldCat Record")</f>
        <v/>
      </c>
      <c r="AU1757" t="inlineStr">
        <is>
          <t>29677239:eng</t>
        </is>
      </c>
      <c r="AV1757" t="inlineStr">
        <is>
          <t>7781941</t>
        </is>
      </c>
      <c r="AW1757" t="inlineStr">
        <is>
          <t>991005160629702656</t>
        </is>
      </c>
      <c r="AX1757" t="inlineStr">
        <is>
          <t>991005160629702656</t>
        </is>
      </c>
      <c r="AY1757" t="inlineStr">
        <is>
          <t>2262903130002656</t>
        </is>
      </c>
      <c r="AZ1757" t="inlineStr">
        <is>
          <t>BOOK</t>
        </is>
      </c>
      <c r="BC1757" t="inlineStr">
        <is>
          <t>32285001264513</t>
        </is>
      </c>
      <c r="BD1757" t="inlineStr">
        <is>
          <t>893412417</t>
        </is>
      </c>
    </row>
    <row r="1758">
      <c r="A1758" t="inlineStr">
        <is>
          <t>No</t>
        </is>
      </c>
      <c r="B1758" t="inlineStr">
        <is>
          <t>LC89 .H4 1970</t>
        </is>
      </c>
      <c r="C1758" t="inlineStr">
        <is>
          <t>0                      LC 0089000H  4           1970</t>
        </is>
      </c>
      <c r="D1758" t="inlineStr">
        <is>
          <t>Thomas Jefferson's views on public education / by John C. Henderson.</t>
        </is>
      </c>
      <c r="F1758" t="inlineStr">
        <is>
          <t>No</t>
        </is>
      </c>
      <c r="G1758" t="inlineStr">
        <is>
          <t>1</t>
        </is>
      </c>
      <c r="H1758" t="inlineStr">
        <is>
          <t>No</t>
        </is>
      </c>
      <c r="I1758" t="inlineStr">
        <is>
          <t>No</t>
        </is>
      </c>
      <c r="J1758" t="inlineStr">
        <is>
          <t>0</t>
        </is>
      </c>
      <c r="K1758" t="inlineStr">
        <is>
          <t>Henderson, John C. (John Cleaves)</t>
        </is>
      </c>
      <c r="L1758" t="inlineStr">
        <is>
          <t>New York : AMS Press, [1970]</t>
        </is>
      </c>
      <c r="M1758" t="inlineStr">
        <is>
          <t>1970</t>
        </is>
      </c>
      <c r="O1758" t="inlineStr">
        <is>
          <t>eng</t>
        </is>
      </c>
      <c r="P1758" t="inlineStr">
        <is>
          <t>nyu</t>
        </is>
      </c>
      <c r="R1758" t="inlineStr">
        <is>
          <t xml:space="preserve">LC </t>
        </is>
      </c>
      <c r="S1758" t="n">
        <v>2</v>
      </c>
      <c r="T1758" t="n">
        <v>2</v>
      </c>
      <c r="U1758" t="inlineStr">
        <is>
          <t>2010-09-24</t>
        </is>
      </c>
      <c r="V1758" t="inlineStr">
        <is>
          <t>2010-09-24</t>
        </is>
      </c>
      <c r="W1758" t="inlineStr">
        <is>
          <t>1990-07-17</t>
        </is>
      </c>
      <c r="X1758" t="inlineStr">
        <is>
          <t>1990-07-17</t>
        </is>
      </c>
      <c r="Y1758" t="n">
        <v>225</v>
      </c>
      <c r="Z1758" t="n">
        <v>215</v>
      </c>
      <c r="AA1758" t="n">
        <v>369</v>
      </c>
      <c r="AB1758" t="n">
        <v>2</v>
      </c>
      <c r="AC1758" t="n">
        <v>3</v>
      </c>
      <c r="AD1758" t="n">
        <v>5</v>
      </c>
      <c r="AE1758" t="n">
        <v>11</v>
      </c>
      <c r="AF1758" t="n">
        <v>2</v>
      </c>
      <c r="AG1758" t="n">
        <v>3</v>
      </c>
      <c r="AH1758" t="n">
        <v>1</v>
      </c>
      <c r="AI1758" t="n">
        <v>2</v>
      </c>
      <c r="AJ1758" t="n">
        <v>1</v>
      </c>
      <c r="AK1758" t="n">
        <v>5</v>
      </c>
      <c r="AL1758" t="n">
        <v>1</v>
      </c>
      <c r="AM1758" t="n">
        <v>2</v>
      </c>
      <c r="AN1758" t="n">
        <v>0</v>
      </c>
      <c r="AO1758" t="n">
        <v>0</v>
      </c>
      <c r="AP1758" t="inlineStr">
        <is>
          <t>No</t>
        </is>
      </c>
      <c r="AQ1758" t="inlineStr">
        <is>
          <t>Yes</t>
        </is>
      </c>
      <c r="AR1758">
        <f>HYPERLINK("http://catalog.hathitrust.org/Record/000244450","HathiTrust Record")</f>
        <v/>
      </c>
      <c r="AS1758">
        <f>HYPERLINK("https://creighton-primo.hosted.exlibrisgroup.com/primo-explore/search?tab=default_tab&amp;search_scope=EVERYTHING&amp;vid=01CRU&amp;lang=en_US&amp;offset=0&amp;query=any,contains,991000796259702656","Catalog Record")</f>
        <v/>
      </c>
      <c r="AT1758">
        <f>HYPERLINK("http://www.worldcat.org/oclc/137249","WorldCat Record")</f>
        <v/>
      </c>
      <c r="AU1758" t="inlineStr">
        <is>
          <t>474554:eng</t>
        </is>
      </c>
      <c r="AV1758" t="inlineStr">
        <is>
          <t>137249</t>
        </is>
      </c>
      <c r="AW1758" t="inlineStr">
        <is>
          <t>991000796259702656</t>
        </is>
      </c>
      <c r="AX1758" t="inlineStr">
        <is>
          <t>991000796259702656</t>
        </is>
      </c>
      <c r="AY1758" t="inlineStr">
        <is>
          <t>2262115870002656</t>
        </is>
      </c>
      <c r="AZ1758" t="inlineStr">
        <is>
          <t>BOOK</t>
        </is>
      </c>
      <c r="BB1758" t="inlineStr">
        <is>
          <t>9780404032364</t>
        </is>
      </c>
      <c r="BC1758" t="inlineStr">
        <is>
          <t>32285000237296</t>
        </is>
      </c>
      <c r="BD1758" t="inlineStr">
        <is>
          <t>893602068</t>
        </is>
      </c>
    </row>
    <row r="1759">
      <c r="A1759" t="inlineStr">
        <is>
          <t>No</t>
        </is>
      </c>
      <c r="B1759" t="inlineStr">
        <is>
          <t>LC89 .M35 1991</t>
        </is>
      </c>
      <c r="C1759" t="inlineStr">
        <is>
          <t>0                      LC 0089000M  35          1991</t>
        </is>
      </c>
      <c r="D1759" t="inlineStr">
        <is>
          <t>Writing about the world / Susan McLeod, with the assistance of Stacia Bates ... [et al.]</t>
        </is>
      </c>
      <c r="F1759" t="inlineStr">
        <is>
          <t>No</t>
        </is>
      </c>
      <c r="G1759" t="inlineStr">
        <is>
          <t>1</t>
        </is>
      </c>
      <c r="H1759" t="inlineStr">
        <is>
          <t>No</t>
        </is>
      </c>
      <c r="I1759" t="inlineStr">
        <is>
          <t>No</t>
        </is>
      </c>
      <c r="J1759" t="inlineStr">
        <is>
          <t>0</t>
        </is>
      </c>
      <c r="K1759" t="inlineStr">
        <is>
          <t>McLeod, Susan H.</t>
        </is>
      </c>
      <c r="L1759" t="inlineStr">
        <is>
          <t>New York ; London : Harcourt Brace Jovanovich, 1991.</t>
        </is>
      </c>
      <c r="M1759" t="inlineStr">
        <is>
          <t>1991</t>
        </is>
      </c>
      <c r="O1759" t="inlineStr">
        <is>
          <t>eng</t>
        </is>
      </c>
      <c r="P1759" t="inlineStr">
        <is>
          <t>enk</t>
        </is>
      </c>
      <c r="R1759" t="inlineStr">
        <is>
          <t xml:space="preserve">LC </t>
        </is>
      </c>
      <c r="S1759" t="n">
        <v>1</v>
      </c>
      <c r="T1759" t="n">
        <v>1</v>
      </c>
      <c r="U1759" t="inlineStr">
        <is>
          <t>1998-02-17</t>
        </is>
      </c>
      <c r="V1759" t="inlineStr">
        <is>
          <t>1998-02-17</t>
        </is>
      </c>
      <c r="W1759" t="inlineStr">
        <is>
          <t>1993-09-08</t>
        </is>
      </c>
      <c r="X1759" t="inlineStr">
        <is>
          <t>1993-09-08</t>
        </is>
      </c>
      <c r="Y1759" t="n">
        <v>61</v>
      </c>
      <c r="Z1759" t="n">
        <v>50</v>
      </c>
      <c r="AA1759" t="n">
        <v>98</v>
      </c>
      <c r="AB1759" t="n">
        <v>1</v>
      </c>
      <c r="AC1759" t="n">
        <v>1</v>
      </c>
      <c r="AD1759" t="n">
        <v>0</v>
      </c>
      <c r="AE1759" t="n">
        <v>1</v>
      </c>
      <c r="AF1759" t="n">
        <v>0</v>
      </c>
      <c r="AG1759" t="n">
        <v>1</v>
      </c>
      <c r="AH1759" t="n">
        <v>0</v>
      </c>
      <c r="AI1759" t="n">
        <v>0</v>
      </c>
      <c r="AJ1759" t="n">
        <v>0</v>
      </c>
      <c r="AK1759" t="n">
        <v>0</v>
      </c>
      <c r="AL1759" t="n">
        <v>0</v>
      </c>
      <c r="AM1759" t="n">
        <v>0</v>
      </c>
      <c r="AN1759" t="n">
        <v>0</v>
      </c>
      <c r="AO1759" t="n">
        <v>0</v>
      </c>
      <c r="AP1759" t="inlineStr">
        <is>
          <t>No</t>
        </is>
      </c>
      <c r="AQ1759" t="inlineStr">
        <is>
          <t>No</t>
        </is>
      </c>
      <c r="AS1759">
        <f>HYPERLINK("https://creighton-primo.hosted.exlibrisgroup.com/primo-explore/search?tab=default_tab&amp;search_scope=EVERYTHING&amp;vid=01CRU&amp;lang=en_US&amp;offset=0&amp;query=any,contains,991002152649702656","Catalog Record")</f>
        <v/>
      </c>
      <c r="AT1759">
        <f>HYPERLINK("http://www.worldcat.org/oclc/27728499","WorldCat Record")</f>
        <v/>
      </c>
      <c r="AU1759" t="inlineStr">
        <is>
          <t>1811518148:eng</t>
        </is>
      </c>
      <c r="AV1759" t="inlineStr">
        <is>
          <t>27728499</t>
        </is>
      </c>
      <c r="AW1759" t="inlineStr">
        <is>
          <t>991002152649702656</t>
        </is>
      </c>
      <c r="AX1759" t="inlineStr">
        <is>
          <t>991002152649702656</t>
        </is>
      </c>
      <c r="AY1759" t="inlineStr">
        <is>
          <t>2266003900002656</t>
        </is>
      </c>
      <c r="AZ1759" t="inlineStr">
        <is>
          <t>BOOK</t>
        </is>
      </c>
      <c r="BB1759" t="inlineStr">
        <is>
          <t>9780155977549</t>
        </is>
      </c>
      <c r="BC1759" t="inlineStr">
        <is>
          <t>32285001765204</t>
        </is>
      </c>
      <c r="BD1759" t="inlineStr">
        <is>
          <t>893709927</t>
        </is>
      </c>
    </row>
    <row r="1760">
      <c r="A1760" t="inlineStr">
        <is>
          <t>No</t>
        </is>
      </c>
      <c r="B1760" t="inlineStr">
        <is>
          <t>LC89 .R52 1994</t>
        </is>
      </c>
      <c r="C1760" t="inlineStr">
        <is>
          <t>0                      LC 0089000R  52          1994</t>
        </is>
      </c>
      <c r="D1760" t="inlineStr">
        <is>
          <t>Separating school &amp; state : how to liberate America's families / Sheldon Richman.</t>
        </is>
      </c>
      <c r="F1760" t="inlineStr">
        <is>
          <t>No</t>
        </is>
      </c>
      <c r="G1760" t="inlineStr">
        <is>
          <t>1</t>
        </is>
      </c>
      <c r="H1760" t="inlineStr">
        <is>
          <t>No</t>
        </is>
      </c>
      <c r="I1760" t="inlineStr">
        <is>
          <t>No</t>
        </is>
      </c>
      <c r="J1760" t="inlineStr">
        <is>
          <t>0</t>
        </is>
      </c>
      <c r="K1760" t="inlineStr">
        <is>
          <t>Richman, Sheldon L.</t>
        </is>
      </c>
      <c r="L1760" t="inlineStr">
        <is>
          <t>Fairfax, Va. : Future of Freedom Foundation, [c1994]</t>
        </is>
      </c>
      <c r="M1760" t="inlineStr">
        <is>
          <t>1994</t>
        </is>
      </c>
      <c r="O1760" t="inlineStr">
        <is>
          <t>eng</t>
        </is>
      </c>
      <c r="P1760" t="inlineStr">
        <is>
          <t>vau</t>
        </is>
      </c>
      <c r="R1760" t="inlineStr">
        <is>
          <t xml:space="preserve">LC </t>
        </is>
      </c>
      <c r="S1760" t="n">
        <v>1</v>
      </c>
      <c r="T1760" t="n">
        <v>1</v>
      </c>
      <c r="U1760" t="inlineStr">
        <is>
          <t>2007-09-13</t>
        </is>
      </c>
      <c r="V1760" t="inlineStr">
        <is>
          <t>2007-09-13</t>
        </is>
      </c>
      <c r="W1760" t="inlineStr">
        <is>
          <t>2007-05-16</t>
        </is>
      </c>
      <c r="X1760" t="inlineStr">
        <is>
          <t>2007-05-16</t>
        </is>
      </c>
      <c r="Y1760" t="n">
        <v>219</v>
      </c>
      <c r="Z1760" t="n">
        <v>214</v>
      </c>
      <c r="AA1760" t="n">
        <v>301</v>
      </c>
      <c r="AB1760" t="n">
        <v>3</v>
      </c>
      <c r="AC1760" t="n">
        <v>3</v>
      </c>
      <c r="AD1760" t="n">
        <v>6</v>
      </c>
      <c r="AE1760" t="n">
        <v>11</v>
      </c>
      <c r="AF1760" t="n">
        <v>2</v>
      </c>
      <c r="AG1760" t="n">
        <v>4</v>
      </c>
      <c r="AH1760" t="n">
        <v>1</v>
      </c>
      <c r="AI1760" t="n">
        <v>1</v>
      </c>
      <c r="AJ1760" t="n">
        <v>4</v>
      </c>
      <c r="AK1760" t="n">
        <v>5</v>
      </c>
      <c r="AL1760" t="n">
        <v>2</v>
      </c>
      <c r="AM1760" t="n">
        <v>2</v>
      </c>
      <c r="AN1760" t="n">
        <v>0</v>
      </c>
      <c r="AO1760" t="n">
        <v>2</v>
      </c>
      <c r="AP1760" t="inlineStr">
        <is>
          <t>No</t>
        </is>
      </c>
      <c r="AQ1760" t="inlineStr">
        <is>
          <t>Yes</t>
        </is>
      </c>
      <c r="AR1760">
        <f>HYPERLINK("http://catalog.hathitrust.org/Record/002936997","HathiTrust Record")</f>
        <v/>
      </c>
      <c r="AS1760">
        <f>HYPERLINK("https://creighton-primo.hosted.exlibrisgroup.com/primo-explore/search?tab=default_tab&amp;search_scope=EVERYTHING&amp;vid=01CRU&amp;lang=en_US&amp;offset=0&amp;query=any,contains,991005081229702656","Catalog Record")</f>
        <v/>
      </c>
      <c r="AT1760">
        <f>HYPERLINK("http://www.worldcat.org/oclc/31546079","WorldCat Record")</f>
        <v/>
      </c>
      <c r="AU1760" t="inlineStr">
        <is>
          <t>33929306:eng</t>
        </is>
      </c>
      <c r="AV1760" t="inlineStr">
        <is>
          <t>31546079</t>
        </is>
      </c>
      <c r="AW1760" t="inlineStr">
        <is>
          <t>991005081229702656</t>
        </is>
      </c>
      <c r="AX1760" t="inlineStr">
        <is>
          <t>991005081229702656</t>
        </is>
      </c>
      <c r="AY1760" t="inlineStr">
        <is>
          <t>2260372130002656</t>
        </is>
      </c>
      <c r="AZ1760" t="inlineStr">
        <is>
          <t>BOOK</t>
        </is>
      </c>
      <c r="BB1760" t="inlineStr">
        <is>
          <t>9780964044715</t>
        </is>
      </c>
      <c r="BC1760" t="inlineStr">
        <is>
          <t>32285005313365</t>
        </is>
      </c>
      <c r="BD1760" t="inlineStr">
        <is>
          <t>893870483</t>
        </is>
      </c>
    </row>
    <row r="1761">
      <c r="A1761" t="inlineStr">
        <is>
          <t>No</t>
        </is>
      </c>
      <c r="B1761" t="inlineStr">
        <is>
          <t>LC89 .S43 1985</t>
        </is>
      </c>
      <c r="C1761" t="inlineStr">
        <is>
          <t>0                      LC 0089000S  43          1985</t>
        </is>
      </c>
      <c r="D1761" t="inlineStr">
        <is>
          <t>Education through partnership / David S. Seeley ; with a foreword by Theodore Sizer.</t>
        </is>
      </c>
      <c r="F1761" t="inlineStr">
        <is>
          <t>No</t>
        </is>
      </c>
      <c r="G1761" t="inlineStr">
        <is>
          <t>1</t>
        </is>
      </c>
      <c r="H1761" t="inlineStr">
        <is>
          <t>No</t>
        </is>
      </c>
      <c r="I1761" t="inlineStr">
        <is>
          <t>No</t>
        </is>
      </c>
      <c r="J1761" t="inlineStr">
        <is>
          <t>0</t>
        </is>
      </c>
      <c r="K1761" t="inlineStr">
        <is>
          <t>Seeley, David S.</t>
        </is>
      </c>
      <c r="L1761" t="inlineStr">
        <is>
          <t>Washington, D.C. : American Enterprise Institute for Public Policy Research, c1985.</t>
        </is>
      </c>
      <c r="M1761" t="inlineStr">
        <is>
          <t>1985</t>
        </is>
      </c>
      <c r="O1761" t="inlineStr">
        <is>
          <t>eng</t>
        </is>
      </c>
      <c r="P1761" t="inlineStr">
        <is>
          <t>dcu</t>
        </is>
      </c>
      <c r="Q1761" t="inlineStr">
        <is>
          <t>American Enterprise Institute studies in education policy</t>
        </is>
      </c>
      <c r="R1761" t="inlineStr">
        <is>
          <t xml:space="preserve">LC </t>
        </is>
      </c>
      <c r="S1761" t="n">
        <v>5</v>
      </c>
      <c r="T1761" t="n">
        <v>5</v>
      </c>
      <c r="U1761" t="inlineStr">
        <is>
          <t>2007-09-06</t>
        </is>
      </c>
      <c r="V1761" t="inlineStr">
        <is>
          <t>2007-09-06</t>
        </is>
      </c>
      <c r="W1761" t="inlineStr">
        <is>
          <t>1993-02-09</t>
        </is>
      </c>
      <c r="X1761" t="inlineStr">
        <is>
          <t>1993-02-09</t>
        </is>
      </c>
      <c r="Y1761" t="n">
        <v>349</v>
      </c>
      <c r="Z1761" t="n">
        <v>323</v>
      </c>
      <c r="AA1761" t="n">
        <v>344</v>
      </c>
      <c r="AB1761" t="n">
        <v>2</v>
      </c>
      <c r="AC1761" t="n">
        <v>2</v>
      </c>
      <c r="AD1761" t="n">
        <v>14</v>
      </c>
      <c r="AE1761" t="n">
        <v>14</v>
      </c>
      <c r="AF1761" t="n">
        <v>8</v>
      </c>
      <c r="AG1761" t="n">
        <v>8</v>
      </c>
      <c r="AH1761" t="n">
        <v>3</v>
      </c>
      <c r="AI1761" t="n">
        <v>3</v>
      </c>
      <c r="AJ1761" t="n">
        <v>6</v>
      </c>
      <c r="AK1761" t="n">
        <v>6</v>
      </c>
      <c r="AL1761" t="n">
        <v>1</v>
      </c>
      <c r="AM1761" t="n">
        <v>1</v>
      </c>
      <c r="AN1761" t="n">
        <v>1</v>
      </c>
      <c r="AO1761" t="n">
        <v>1</v>
      </c>
      <c r="AP1761" t="inlineStr">
        <is>
          <t>No</t>
        </is>
      </c>
      <c r="AQ1761" t="inlineStr">
        <is>
          <t>Yes</t>
        </is>
      </c>
      <c r="AR1761">
        <f>HYPERLINK("http://catalog.hathitrust.org/Record/000377472","HathiTrust Record")</f>
        <v/>
      </c>
      <c r="AS1761">
        <f>HYPERLINK("https://creighton-primo.hosted.exlibrisgroup.com/primo-explore/search?tab=default_tab&amp;search_scope=EVERYTHING&amp;vid=01CRU&amp;lang=en_US&amp;offset=0&amp;query=any,contains,991000639489702656","Catalog Record")</f>
        <v/>
      </c>
      <c r="AT1761">
        <f>HYPERLINK("http://www.worldcat.org/oclc/12103192","WorldCat Record")</f>
        <v/>
      </c>
      <c r="AU1761" t="inlineStr">
        <is>
          <t>544581:eng</t>
        </is>
      </c>
      <c r="AV1761" t="inlineStr">
        <is>
          <t>12103192</t>
        </is>
      </c>
      <c r="AW1761" t="inlineStr">
        <is>
          <t>991000639489702656</t>
        </is>
      </c>
      <c r="AX1761" t="inlineStr">
        <is>
          <t>991000639489702656</t>
        </is>
      </c>
      <c r="AY1761" t="inlineStr">
        <is>
          <t>2260709500002656</t>
        </is>
      </c>
      <c r="AZ1761" t="inlineStr">
        <is>
          <t>BOOK</t>
        </is>
      </c>
      <c r="BB1761" t="inlineStr">
        <is>
          <t>9780844735795</t>
        </is>
      </c>
      <c r="BC1761" t="inlineStr">
        <is>
          <t>32285001495026</t>
        </is>
      </c>
      <c r="BD1761" t="inlineStr">
        <is>
          <t>893871851</t>
        </is>
      </c>
    </row>
    <row r="1762">
      <c r="A1762" t="inlineStr">
        <is>
          <t>No</t>
        </is>
      </c>
      <c r="B1762" t="inlineStr">
        <is>
          <t>LC92.C5 F37 1986</t>
        </is>
      </c>
      <c r="C1762" t="inlineStr">
        <is>
          <t>0                      LC 0092000C  5                  F  37          1986</t>
        </is>
      </c>
      <c r="D1762" t="inlineStr">
        <is>
          <t>The National Unified School in Allende's Chile : the role of education in the destruction of a revolution / Joseph P. Farrell.</t>
        </is>
      </c>
      <c r="F1762" t="inlineStr">
        <is>
          <t>No</t>
        </is>
      </c>
      <c r="G1762" t="inlineStr">
        <is>
          <t>1</t>
        </is>
      </c>
      <c r="H1762" t="inlineStr">
        <is>
          <t>No</t>
        </is>
      </c>
      <c r="I1762" t="inlineStr">
        <is>
          <t>No</t>
        </is>
      </c>
      <c r="J1762" t="inlineStr">
        <is>
          <t>0</t>
        </is>
      </c>
      <c r="K1762" t="inlineStr">
        <is>
          <t>Farrell, Joseph P.</t>
        </is>
      </c>
      <c r="L1762" t="inlineStr">
        <is>
          <t>Vancouver : University of British Columbia Press in association with the Centre for Research on Latin America and the Caribbean, York University, 1986.</t>
        </is>
      </c>
      <c r="M1762" t="inlineStr">
        <is>
          <t>1986</t>
        </is>
      </c>
      <c r="O1762" t="inlineStr">
        <is>
          <t>eng</t>
        </is>
      </c>
      <c r="P1762" t="inlineStr">
        <is>
          <t>bcc</t>
        </is>
      </c>
      <c r="Q1762" t="inlineStr">
        <is>
          <t>Latin American and Caribbean studies ; 1</t>
        </is>
      </c>
      <c r="R1762" t="inlineStr">
        <is>
          <t xml:space="preserve">LC </t>
        </is>
      </c>
      <c r="S1762" t="n">
        <v>4</v>
      </c>
      <c r="T1762" t="n">
        <v>4</v>
      </c>
      <c r="U1762" t="inlineStr">
        <is>
          <t>1996-10-24</t>
        </is>
      </c>
      <c r="V1762" t="inlineStr">
        <is>
          <t>1996-10-24</t>
        </is>
      </c>
      <c r="W1762" t="inlineStr">
        <is>
          <t>1992-08-20</t>
        </is>
      </c>
      <c r="X1762" t="inlineStr">
        <is>
          <t>1992-08-20</t>
        </is>
      </c>
      <c r="Y1762" t="n">
        <v>317</v>
      </c>
      <c r="Z1762" t="n">
        <v>258</v>
      </c>
      <c r="AA1762" t="n">
        <v>260</v>
      </c>
      <c r="AB1762" t="n">
        <v>1</v>
      </c>
      <c r="AC1762" t="n">
        <v>1</v>
      </c>
      <c r="AD1762" t="n">
        <v>6</v>
      </c>
      <c r="AE1762" t="n">
        <v>6</v>
      </c>
      <c r="AF1762" t="n">
        <v>2</v>
      </c>
      <c r="AG1762" t="n">
        <v>2</v>
      </c>
      <c r="AH1762" t="n">
        <v>3</v>
      </c>
      <c r="AI1762" t="n">
        <v>3</v>
      </c>
      <c r="AJ1762" t="n">
        <v>3</v>
      </c>
      <c r="AK1762" t="n">
        <v>3</v>
      </c>
      <c r="AL1762" t="n">
        <v>0</v>
      </c>
      <c r="AM1762" t="n">
        <v>0</v>
      </c>
      <c r="AN1762" t="n">
        <v>0</v>
      </c>
      <c r="AO1762" t="n">
        <v>0</v>
      </c>
      <c r="AP1762" t="inlineStr">
        <is>
          <t>No</t>
        </is>
      </c>
      <c r="AQ1762" t="inlineStr">
        <is>
          <t>Yes</t>
        </is>
      </c>
      <c r="AR1762">
        <f>HYPERLINK("http://catalog.hathitrust.org/Record/000817742","HathiTrust Record")</f>
        <v/>
      </c>
      <c r="AS1762">
        <f>HYPERLINK("https://creighton-primo.hosted.exlibrisgroup.com/primo-explore/search?tab=default_tab&amp;search_scope=EVERYTHING&amp;vid=01CRU&amp;lang=en_US&amp;offset=0&amp;query=any,contains,991000876639702656","Catalog Record")</f>
        <v/>
      </c>
      <c r="AT1762">
        <f>HYPERLINK("http://www.worldcat.org/oclc/13810102","WorldCat Record")</f>
        <v/>
      </c>
      <c r="AU1762" t="inlineStr">
        <is>
          <t>373692861:eng</t>
        </is>
      </c>
      <c r="AV1762" t="inlineStr">
        <is>
          <t>13810102</t>
        </is>
      </c>
      <c r="AW1762" t="inlineStr">
        <is>
          <t>991000876639702656</t>
        </is>
      </c>
      <c r="AX1762" t="inlineStr">
        <is>
          <t>991000876639702656</t>
        </is>
      </c>
      <c r="AY1762" t="inlineStr">
        <is>
          <t>2268138000002656</t>
        </is>
      </c>
      <c r="AZ1762" t="inlineStr">
        <is>
          <t>BOOK</t>
        </is>
      </c>
      <c r="BB1762" t="inlineStr">
        <is>
          <t>9780774802420</t>
        </is>
      </c>
      <c r="BC1762" t="inlineStr">
        <is>
          <t>32285001264653</t>
        </is>
      </c>
      <c r="BD1762" t="inlineStr">
        <is>
          <t>893522090</t>
        </is>
      </c>
    </row>
    <row r="1763">
      <c r="A1763" t="inlineStr">
        <is>
          <t>No</t>
        </is>
      </c>
      <c r="B1763" t="inlineStr">
        <is>
          <t>LC92.C5 F57 1979</t>
        </is>
      </c>
      <c r="C1763" t="inlineStr">
        <is>
          <t>0                      LC 0092000C  5                  F  57          1979</t>
        </is>
      </c>
      <c r="D1763" t="inlineStr">
        <is>
          <t>Political ideology and educational reform in Chile, 1964-1976 / by Kathleen Boscardin Fischer.</t>
        </is>
      </c>
      <c r="F1763" t="inlineStr">
        <is>
          <t>No</t>
        </is>
      </c>
      <c r="G1763" t="inlineStr">
        <is>
          <t>1</t>
        </is>
      </c>
      <c r="H1763" t="inlineStr">
        <is>
          <t>No</t>
        </is>
      </c>
      <c r="I1763" t="inlineStr">
        <is>
          <t>No</t>
        </is>
      </c>
      <c r="J1763" t="inlineStr">
        <is>
          <t>0</t>
        </is>
      </c>
      <c r="K1763" t="inlineStr">
        <is>
          <t>Fischer, Kathleen B.</t>
        </is>
      </c>
      <c r="L1763" t="inlineStr">
        <is>
          <t>Los Angeles : UCLA Latin American Center publications, 1979.</t>
        </is>
      </c>
      <c r="M1763" t="inlineStr">
        <is>
          <t>1979</t>
        </is>
      </c>
      <c r="O1763" t="inlineStr">
        <is>
          <t>eng</t>
        </is>
      </c>
      <c r="P1763" t="inlineStr">
        <is>
          <t>cau</t>
        </is>
      </c>
      <c r="R1763" t="inlineStr">
        <is>
          <t xml:space="preserve">LC </t>
        </is>
      </c>
      <c r="S1763" t="n">
        <v>4</v>
      </c>
      <c r="T1763" t="n">
        <v>4</v>
      </c>
      <c r="U1763" t="inlineStr">
        <is>
          <t>1996-10-24</t>
        </is>
      </c>
      <c r="V1763" t="inlineStr">
        <is>
          <t>1996-10-24</t>
        </is>
      </c>
      <c r="W1763" t="inlineStr">
        <is>
          <t>1992-08-20</t>
        </is>
      </c>
      <c r="X1763" t="inlineStr">
        <is>
          <t>1992-08-20</t>
        </is>
      </c>
      <c r="Y1763" t="n">
        <v>287</v>
      </c>
      <c r="Z1763" t="n">
        <v>224</v>
      </c>
      <c r="AA1763" t="n">
        <v>229</v>
      </c>
      <c r="AB1763" t="n">
        <v>1</v>
      </c>
      <c r="AC1763" t="n">
        <v>1</v>
      </c>
      <c r="AD1763" t="n">
        <v>8</v>
      </c>
      <c r="AE1763" t="n">
        <v>9</v>
      </c>
      <c r="AF1763" t="n">
        <v>1</v>
      </c>
      <c r="AG1763" t="n">
        <v>1</v>
      </c>
      <c r="AH1763" t="n">
        <v>3</v>
      </c>
      <c r="AI1763" t="n">
        <v>4</v>
      </c>
      <c r="AJ1763" t="n">
        <v>6</v>
      </c>
      <c r="AK1763" t="n">
        <v>7</v>
      </c>
      <c r="AL1763" t="n">
        <v>0</v>
      </c>
      <c r="AM1763" t="n">
        <v>0</v>
      </c>
      <c r="AN1763" t="n">
        <v>0</v>
      </c>
      <c r="AO1763" t="n">
        <v>0</v>
      </c>
      <c r="AP1763" t="inlineStr">
        <is>
          <t>No</t>
        </is>
      </c>
      <c r="AQ1763" t="inlineStr">
        <is>
          <t>Yes</t>
        </is>
      </c>
      <c r="AR1763">
        <f>HYPERLINK("http://catalog.hathitrust.org/Record/000709041","HathiTrust Record")</f>
        <v/>
      </c>
      <c r="AS1763">
        <f>HYPERLINK("https://creighton-primo.hosted.exlibrisgroup.com/primo-explore/search?tab=default_tab&amp;search_scope=EVERYTHING&amp;vid=01CRU&amp;lang=en_US&amp;offset=0&amp;query=any,contains,991004854219702656","Catalog Record")</f>
        <v/>
      </c>
      <c r="AT1763">
        <f>HYPERLINK("http://www.worldcat.org/oclc/5660436","WorldCat Record")</f>
        <v/>
      </c>
      <c r="AU1763" t="inlineStr">
        <is>
          <t>14514345:eng</t>
        </is>
      </c>
      <c r="AV1763" t="inlineStr">
        <is>
          <t>5660436</t>
        </is>
      </c>
      <c r="AW1763" t="inlineStr">
        <is>
          <t>991004854219702656</t>
        </is>
      </c>
      <c r="AX1763" t="inlineStr">
        <is>
          <t>991004854219702656</t>
        </is>
      </c>
      <c r="AY1763" t="inlineStr">
        <is>
          <t>2261392790002656</t>
        </is>
      </c>
      <c r="AZ1763" t="inlineStr">
        <is>
          <t>BOOK</t>
        </is>
      </c>
      <c r="BB1763" t="inlineStr">
        <is>
          <t>9780879030469</t>
        </is>
      </c>
      <c r="BC1763" t="inlineStr">
        <is>
          <t>32285001264661</t>
        </is>
      </c>
      <c r="BD1763" t="inlineStr">
        <is>
          <t>893319712</t>
        </is>
      </c>
    </row>
    <row r="1764">
      <c r="A1764" t="inlineStr">
        <is>
          <t>No</t>
        </is>
      </c>
      <c r="B1764" t="inlineStr">
        <is>
          <t>LC93.E87 E36 1981</t>
        </is>
      </c>
      <c r="C1764" t="inlineStr">
        <is>
          <t>0                      LC 0093000E  87                 E  36          1981</t>
        </is>
      </c>
      <c r="D1764" t="inlineStr">
        <is>
          <t>The Educational systems in the European Community : a guide / edited by Lionel Elvin.</t>
        </is>
      </c>
      <c r="F1764" t="inlineStr">
        <is>
          <t>No</t>
        </is>
      </c>
      <c r="G1764" t="inlineStr">
        <is>
          <t>1</t>
        </is>
      </c>
      <c r="H1764" t="inlineStr">
        <is>
          <t>No</t>
        </is>
      </c>
      <c r="I1764" t="inlineStr">
        <is>
          <t>No</t>
        </is>
      </c>
      <c r="J1764" t="inlineStr">
        <is>
          <t>0</t>
        </is>
      </c>
      <c r="L1764" t="inlineStr">
        <is>
          <t>Windsor, Berks : NFER-Nelson ; Atlantic Highlands, N.J. : Distributed by Humanities Press, c1981.</t>
        </is>
      </c>
      <c r="M1764" t="inlineStr">
        <is>
          <t>1981</t>
        </is>
      </c>
      <c r="O1764" t="inlineStr">
        <is>
          <t>eng</t>
        </is>
      </c>
      <c r="P1764" t="inlineStr">
        <is>
          <t>enk</t>
        </is>
      </c>
      <c r="R1764" t="inlineStr">
        <is>
          <t xml:space="preserve">LC </t>
        </is>
      </c>
      <c r="S1764" t="n">
        <v>10</v>
      </c>
      <c r="T1764" t="n">
        <v>10</v>
      </c>
      <c r="U1764" t="inlineStr">
        <is>
          <t>2002-11-25</t>
        </is>
      </c>
      <c r="V1764" t="inlineStr">
        <is>
          <t>2002-11-25</t>
        </is>
      </c>
      <c r="W1764" t="inlineStr">
        <is>
          <t>1990-07-17</t>
        </is>
      </c>
      <c r="X1764" t="inlineStr">
        <is>
          <t>1990-07-17</t>
        </is>
      </c>
      <c r="Y1764" t="n">
        <v>345</v>
      </c>
      <c r="Z1764" t="n">
        <v>221</v>
      </c>
      <c r="AA1764" t="n">
        <v>223</v>
      </c>
      <c r="AB1764" t="n">
        <v>2</v>
      </c>
      <c r="AC1764" t="n">
        <v>2</v>
      </c>
      <c r="AD1764" t="n">
        <v>8</v>
      </c>
      <c r="AE1764" t="n">
        <v>8</v>
      </c>
      <c r="AF1764" t="n">
        <v>2</v>
      </c>
      <c r="AG1764" t="n">
        <v>2</v>
      </c>
      <c r="AH1764" t="n">
        <v>2</v>
      </c>
      <c r="AI1764" t="n">
        <v>2</v>
      </c>
      <c r="AJ1764" t="n">
        <v>4</v>
      </c>
      <c r="AK1764" t="n">
        <v>4</v>
      </c>
      <c r="AL1764" t="n">
        <v>1</v>
      </c>
      <c r="AM1764" t="n">
        <v>1</v>
      </c>
      <c r="AN1764" t="n">
        <v>0</v>
      </c>
      <c r="AO1764" t="n">
        <v>0</v>
      </c>
      <c r="AP1764" t="inlineStr">
        <is>
          <t>No</t>
        </is>
      </c>
      <c r="AQ1764" t="inlineStr">
        <is>
          <t>Yes</t>
        </is>
      </c>
      <c r="AR1764">
        <f>HYPERLINK("http://catalog.hathitrust.org/Record/000265669","HathiTrust Record")</f>
        <v/>
      </c>
      <c r="AS1764">
        <f>HYPERLINK("https://creighton-primo.hosted.exlibrisgroup.com/primo-explore/search?tab=default_tab&amp;search_scope=EVERYTHING&amp;vid=01CRU&amp;lang=en_US&amp;offset=0&amp;query=any,contains,991005246079702656","Catalog Record")</f>
        <v/>
      </c>
      <c r="AT1764">
        <f>HYPERLINK("http://www.worldcat.org/oclc/8457586","WorldCat Record")</f>
        <v/>
      </c>
      <c r="AU1764" t="inlineStr">
        <is>
          <t>347685382:eng</t>
        </is>
      </c>
      <c r="AV1764" t="inlineStr">
        <is>
          <t>8457586</t>
        </is>
      </c>
      <c r="AW1764" t="inlineStr">
        <is>
          <t>991005246079702656</t>
        </is>
      </c>
      <c r="AX1764" t="inlineStr">
        <is>
          <t>991005246079702656</t>
        </is>
      </c>
      <c r="AY1764" t="inlineStr">
        <is>
          <t>2269058660002656</t>
        </is>
      </c>
      <c r="AZ1764" t="inlineStr">
        <is>
          <t>BOOK</t>
        </is>
      </c>
      <c r="BB1764" t="inlineStr">
        <is>
          <t>9780856332234</t>
        </is>
      </c>
      <c r="BC1764" t="inlineStr">
        <is>
          <t>32285000237338</t>
        </is>
      </c>
      <c r="BD1764" t="inlineStr">
        <is>
          <t>893350976</t>
        </is>
      </c>
    </row>
    <row r="1765">
      <c r="A1765" t="inlineStr">
        <is>
          <t>No</t>
        </is>
      </c>
      <c r="B1765" t="inlineStr">
        <is>
          <t>LC93.G7 G67 1986</t>
        </is>
      </c>
      <c r="C1765" t="inlineStr">
        <is>
          <t>0                      LC 0093000G  7                  G  67          1986</t>
        </is>
      </c>
      <c r="D1765" t="inlineStr">
        <is>
          <t>Democracy in one school? : progressive education and restructuring / by Tuula Gordon.</t>
        </is>
      </c>
      <c r="F1765" t="inlineStr">
        <is>
          <t>No</t>
        </is>
      </c>
      <c r="G1765" t="inlineStr">
        <is>
          <t>1</t>
        </is>
      </c>
      <c r="H1765" t="inlineStr">
        <is>
          <t>No</t>
        </is>
      </c>
      <c r="I1765" t="inlineStr">
        <is>
          <t>No</t>
        </is>
      </c>
      <c r="J1765" t="inlineStr">
        <is>
          <t>0</t>
        </is>
      </c>
      <c r="K1765" t="inlineStr">
        <is>
          <t>Gordon, Tuula.</t>
        </is>
      </c>
      <c r="L1765" t="inlineStr">
        <is>
          <t>London ; Philadelphia, PA : Falmer Press, 1986.</t>
        </is>
      </c>
      <c r="M1765" t="inlineStr">
        <is>
          <t>1986</t>
        </is>
      </c>
      <c r="O1765" t="inlineStr">
        <is>
          <t>eng</t>
        </is>
      </c>
      <c r="P1765" t="inlineStr">
        <is>
          <t>enk</t>
        </is>
      </c>
      <c r="Q1765" t="inlineStr">
        <is>
          <t>Education policy perspectives</t>
        </is>
      </c>
      <c r="R1765" t="inlineStr">
        <is>
          <t xml:space="preserve">LC </t>
        </is>
      </c>
      <c r="S1765" t="n">
        <v>1</v>
      </c>
      <c r="T1765" t="n">
        <v>1</v>
      </c>
      <c r="U1765" t="inlineStr">
        <is>
          <t>2001-12-02</t>
        </is>
      </c>
      <c r="V1765" t="inlineStr">
        <is>
          <t>2001-12-02</t>
        </is>
      </c>
      <c r="W1765" t="inlineStr">
        <is>
          <t>1992-08-20</t>
        </is>
      </c>
      <c r="X1765" t="inlineStr">
        <is>
          <t>1992-08-20</t>
        </is>
      </c>
      <c r="Y1765" t="n">
        <v>187</v>
      </c>
      <c r="Z1765" t="n">
        <v>95</v>
      </c>
      <c r="AA1765" t="n">
        <v>96</v>
      </c>
      <c r="AB1765" t="n">
        <v>1</v>
      </c>
      <c r="AC1765" t="n">
        <v>1</v>
      </c>
      <c r="AD1765" t="n">
        <v>0</v>
      </c>
      <c r="AE1765" t="n">
        <v>0</v>
      </c>
      <c r="AF1765" t="n">
        <v>0</v>
      </c>
      <c r="AG1765" t="n">
        <v>0</v>
      </c>
      <c r="AH1765" t="n">
        <v>0</v>
      </c>
      <c r="AI1765" t="n">
        <v>0</v>
      </c>
      <c r="AJ1765" t="n">
        <v>0</v>
      </c>
      <c r="AK1765" t="n">
        <v>0</v>
      </c>
      <c r="AL1765" t="n">
        <v>0</v>
      </c>
      <c r="AM1765" t="n">
        <v>0</v>
      </c>
      <c r="AN1765" t="n">
        <v>0</v>
      </c>
      <c r="AO1765" t="n">
        <v>0</v>
      </c>
      <c r="AP1765" t="inlineStr">
        <is>
          <t>No</t>
        </is>
      </c>
      <c r="AQ1765" t="inlineStr">
        <is>
          <t>Yes</t>
        </is>
      </c>
      <c r="AR1765">
        <f>HYPERLINK("http://catalog.hathitrust.org/Record/000593580","HathiTrust Record")</f>
        <v/>
      </c>
      <c r="AS1765">
        <f>HYPERLINK("https://creighton-primo.hosted.exlibrisgroup.com/primo-explore/search?tab=default_tab&amp;search_scope=EVERYTHING&amp;vid=01CRU&amp;lang=en_US&amp;offset=0&amp;query=any,contains,991000862729702656","Catalog Record")</f>
        <v/>
      </c>
      <c r="AT1765">
        <f>HYPERLINK("http://www.worldcat.org/oclc/13700565","WorldCat Record")</f>
        <v/>
      </c>
      <c r="AU1765" t="inlineStr">
        <is>
          <t>6773833:eng</t>
        </is>
      </c>
      <c r="AV1765" t="inlineStr">
        <is>
          <t>13700565</t>
        </is>
      </c>
      <c r="AW1765" t="inlineStr">
        <is>
          <t>991000862729702656</t>
        </is>
      </c>
      <c r="AX1765" t="inlineStr">
        <is>
          <t>991000862729702656</t>
        </is>
      </c>
      <c r="AY1765" t="inlineStr">
        <is>
          <t>2261906060002656</t>
        </is>
      </c>
      <c r="AZ1765" t="inlineStr">
        <is>
          <t>BOOK</t>
        </is>
      </c>
      <c r="BB1765" t="inlineStr">
        <is>
          <t>9781850001058</t>
        </is>
      </c>
      <c r="BC1765" t="inlineStr">
        <is>
          <t>32285001264687</t>
        </is>
      </c>
      <c r="BD1765" t="inlineStr">
        <is>
          <t>893432362</t>
        </is>
      </c>
    </row>
    <row r="1766">
      <c r="A1766" t="inlineStr">
        <is>
          <t>No</t>
        </is>
      </c>
      <c r="B1766" t="inlineStr">
        <is>
          <t>LC93.R9 A6</t>
        </is>
      </c>
      <c r="C1766" t="inlineStr">
        <is>
          <t>0                      LC 0093000R  9                  A  6</t>
        </is>
      </c>
      <c r="D1766" t="inlineStr">
        <is>
          <t>Education and the State in tsarist Russia [by] Patrick L. Alston.</t>
        </is>
      </c>
      <c r="F1766" t="inlineStr">
        <is>
          <t>No</t>
        </is>
      </c>
      <c r="G1766" t="inlineStr">
        <is>
          <t>1</t>
        </is>
      </c>
      <c r="H1766" t="inlineStr">
        <is>
          <t>No</t>
        </is>
      </c>
      <c r="I1766" t="inlineStr">
        <is>
          <t>No</t>
        </is>
      </c>
      <c r="J1766" t="inlineStr">
        <is>
          <t>0</t>
        </is>
      </c>
      <c r="K1766" t="inlineStr">
        <is>
          <t>Alston, Patrick L.</t>
        </is>
      </c>
      <c r="L1766" t="inlineStr">
        <is>
          <t>Stanford, Calif., Stanford University Press, 1969.</t>
        </is>
      </c>
      <c r="M1766" t="inlineStr">
        <is>
          <t>1969</t>
        </is>
      </c>
      <c r="O1766" t="inlineStr">
        <is>
          <t>eng</t>
        </is>
      </c>
      <c r="P1766" t="inlineStr">
        <is>
          <t>cau</t>
        </is>
      </c>
      <c r="R1766" t="inlineStr">
        <is>
          <t xml:space="preserve">LC </t>
        </is>
      </c>
      <c r="S1766" t="n">
        <v>0</v>
      </c>
      <c r="T1766" t="n">
        <v>0</v>
      </c>
      <c r="U1766" t="inlineStr">
        <is>
          <t>2007-02-13</t>
        </is>
      </c>
      <c r="V1766" t="inlineStr">
        <is>
          <t>2007-02-13</t>
        </is>
      </c>
      <c r="W1766" t="inlineStr">
        <is>
          <t>1997-06-03</t>
        </is>
      </c>
      <c r="X1766" t="inlineStr">
        <is>
          <t>1997-06-03</t>
        </is>
      </c>
      <c r="Y1766" t="n">
        <v>620</v>
      </c>
      <c r="Z1766" t="n">
        <v>506</v>
      </c>
      <c r="AA1766" t="n">
        <v>513</v>
      </c>
      <c r="AB1766" t="n">
        <v>4</v>
      </c>
      <c r="AC1766" t="n">
        <v>4</v>
      </c>
      <c r="AD1766" t="n">
        <v>23</v>
      </c>
      <c r="AE1766" t="n">
        <v>23</v>
      </c>
      <c r="AF1766" t="n">
        <v>6</v>
      </c>
      <c r="AG1766" t="n">
        <v>6</v>
      </c>
      <c r="AH1766" t="n">
        <v>6</v>
      </c>
      <c r="AI1766" t="n">
        <v>6</v>
      </c>
      <c r="AJ1766" t="n">
        <v>15</v>
      </c>
      <c r="AK1766" t="n">
        <v>15</v>
      </c>
      <c r="AL1766" t="n">
        <v>3</v>
      </c>
      <c r="AM1766" t="n">
        <v>3</v>
      </c>
      <c r="AN1766" t="n">
        <v>0</v>
      </c>
      <c r="AO1766" t="n">
        <v>0</v>
      </c>
      <c r="AP1766" t="inlineStr">
        <is>
          <t>No</t>
        </is>
      </c>
      <c r="AQ1766" t="inlineStr">
        <is>
          <t>Yes</t>
        </is>
      </c>
      <c r="AR1766">
        <f>HYPERLINK("http://catalog.hathitrust.org/Record/001465531","HathiTrust Record")</f>
        <v/>
      </c>
      <c r="AS1766">
        <f>HYPERLINK("https://creighton-primo.hosted.exlibrisgroup.com/primo-explore/search?tab=default_tab&amp;search_scope=EVERYTHING&amp;vid=01CRU&amp;lang=en_US&amp;offset=0&amp;query=any,contains,991005433119702656","Catalog Record")</f>
        <v/>
      </c>
      <c r="AT1766">
        <f>HYPERLINK("http://www.worldcat.org/oclc/1634","WorldCat Record")</f>
        <v/>
      </c>
      <c r="AU1766" t="inlineStr">
        <is>
          <t>1124973:eng</t>
        </is>
      </c>
      <c r="AV1766" t="inlineStr">
        <is>
          <t>1634</t>
        </is>
      </c>
      <c r="AW1766" t="inlineStr">
        <is>
          <t>991005433119702656</t>
        </is>
      </c>
      <c r="AX1766" t="inlineStr">
        <is>
          <t>991005433119702656</t>
        </is>
      </c>
      <c r="AY1766" t="inlineStr">
        <is>
          <t>2271318000002656</t>
        </is>
      </c>
      <c r="AZ1766" t="inlineStr">
        <is>
          <t>BOOK</t>
        </is>
      </c>
      <c r="BC1766" t="inlineStr">
        <is>
          <t>32285002744968</t>
        </is>
      </c>
      <c r="BD1766" t="inlineStr">
        <is>
          <t>893613704</t>
        </is>
      </c>
    </row>
    <row r="1767">
      <c r="A1767" t="inlineStr">
        <is>
          <t>No</t>
        </is>
      </c>
      <c r="B1767" t="inlineStr">
        <is>
          <t>LC93.S7 B69 1997</t>
        </is>
      </c>
      <c r="C1767" t="inlineStr">
        <is>
          <t>0                      LC 0093000S  7                  B  69          1997</t>
        </is>
      </c>
      <c r="D1767" t="inlineStr">
        <is>
          <t>Historia patria : politics, history, and national identity in Spain, 1875-1975 / Carolyn P. Boyd.</t>
        </is>
      </c>
      <c r="F1767" t="inlineStr">
        <is>
          <t>No</t>
        </is>
      </c>
      <c r="G1767" t="inlineStr">
        <is>
          <t>1</t>
        </is>
      </c>
      <c r="H1767" t="inlineStr">
        <is>
          <t>No</t>
        </is>
      </c>
      <c r="I1767" t="inlineStr">
        <is>
          <t>No</t>
        </is>
      </c>
      <c r="J1767" t="inlineStr">
        <is>
          <t>0</t>
        </is>
      </c>
      <c r="K1767" t="inlineStr">
        <is>
          <t>Boyd, Carolyn P., 1944-2015.</t>
        </is>
      </c>
      <c r="L1767" t="inlineStr">
        <is>
          <t>Princeton, N.J. : Princeton University Press, c1997.</t>
        </is>
      </c>
      <c r="M1767" t="inlineStr">
        <is>
          <t>1997</t>
        </is>
      </c>
      <c r="O1767" t="inlineStr">
        <is>
          <t>eng</t>
        </is>
      </c>
      <c r="P1767" t="inlineStr">
        <is>
          <t>nju</t>
        </is>
      </c>
      <c r="R1767" t="inlineStr">
        <is>
          <t xml:space="preserve">LC </t>
        </is>
      </c>
      <c r="S1767" t="n">
        <v>1</v>
      </c>
      <c r="T1767" t="n">
        <v>1</v>
      </c>
      <c r="U1767" t="inlineStr">
        <is>
          <t>2006-11-29</t>
        </is>
      </c>
      <c r="V1767" t="inlineStr">
        <is>
          <t>2006-11-29</t>
        </is>
      </c>
      <c r="W1767" t="inlineStr">
        <is>
          <t>2006-11-29</t>
        </is>
      </c>
      <c r="X1767" t="inlineStr">
        <is>
          <t>2006-11-29</t>
        </is>
      </c>
      <c r="Y1767" t="n">
        <v>500</v>
      </c>
      <c r="Z1767" t="n">
        <v>385</v>
      </c>
      <c r="AA1767" t="n">
        <v>531</v>
      </c>
      <c r="AB1767" t="n">
        <v>1</v>
      </c>
      <c r="AC1767" t="n">
        <v>1</v>
      </c>
      <c r="AD1767" t="n">
        <v>20</v>
      </c>
      <c r="AE1767" t="n">
        <v>26</v>
      </c>
      <c r="AF1767" t="n">
        <v>10</v>
      </c>
      <c r="AG1767" t="n">
        <v>13</v>
      </c>
      <c r="AH1767" t="n">
        <v>6</v>
      </c>
      <c r="AI1767" t="n">
        <v>9</v>
      </c>
      <c r="AJ1767" t="n">
        <v>13</v>
      </c>
      <c r="AK1767" t="n">
        <v>15</v>
      </c>
      <c r="AL1767" t="n">
        <v>0</v>
      </c>
      <c r="AM1767" t="n">
        <v>0</v>
      </c>
      <c r="AN1767" t="n">
        <v>0</v>
      </c>
      <c r="AO1767" t="n">
        <v>0</v>
      </c>
      <c r="AP1767" t="inlineStr">
        <is>
          <t>No</t>
        </is>
      </c>
      <c r="AQ1767" t="inlineStr">
        <is>
          <t>No</t>
        </is>
      </c>
      <c r="AS1767">
        <f>HYPERLINK("https://creighton-primo.hosted.exlibrisgroup.com/primo-explore/search?tab=default_tab&amp;search_scope=EVERYTHING&amp;vid=01CRU&amp;lang=en_US&amp;offset=0&amp;query=any,contains,991004951589702656","Catalog Record")</f>
        <v/>
      </c>
      <c r="AT1767">
        <f>HYPERLINK("http://www.worldcat.org/oclc/35762708","WorldCat Record")</f>
        <v/>
      </c>
      <c r="AU1767" t="inlineStr">
        <is>
          <t>795056436:eng</t>
        </is>
      </c>
      <c r="AV1767" t="inlineStr">
        <is>
          <t>35762708</t>
        </is>
      </c>
      <c r="AW1767" t="inlineStr">
        <is>
          <t>991004951589702656</t>
        </is>
      </c>
      <c r="AX1767" t="inlineStr">
        <is>
          <t>991004951589702656</t>
        </is>
      </c>
      <c r="AY1767" t="inlineStr">
        <is>
          <t>2265025610002656</t>
        </is>
      </c>
      <c r="AZ1767" t="inlineStr">
        <is>
          <t>BOOK</t>
        </is>
      </c>
      <c r="BB1767" t="inlineStr">
        <is>
          <t>9780691026565</t>
        </is>
      </c>
      <c r="BC1767" t="inlineStr">
        <is>
          <t>32285005263172</t>
        </is>
      </c>
      <c r="BD1767" t="inlineStr">
        <is>
          <t>893719587</t>
        </is>
      </c>
    </row>
    <row r="1768">
      <c r="A1768" t="inlineStr">
        <is>
          <t>No</t>
        </is>
      </c>
      <c r="B1768" t="inlineStr">
        <is>
          <t>LC94.C5 B67 1983</t>
        </is>
      </c>
      <c r="C1768" t="inlineStr">
        <is>
          <t>0                      LC 0094000C  5                  B  67          1983</t>
        </is>
      </c>
      <c r="D1768" t="inlineStr">
        <is>
          <t>Education and social change in China : the beginnings of the modern era / Sally Borthwick.</t>
        </is>
      </c>
      <c r="F1768" t="inlineStr">
        <is>
          <t>No</t>
        </is>
      </c>
      <c r="G1768" t="inlineStr">
        <is>
          <t>1</t>
        </is>
      </c>
      <c r="H1768" t="inlineStr">
        <is>
          <t>No</t>
        </is>
      </c>
      <c r="I1768" t="inlineStr">
        <is>
          <t>No</t>
        </is>
      </c>
      <c r="J1768" t="inlineStr">
        <is>
          <t>0</t>
        </is>
      </c>
      <c r="K1768" t="inlineStr">
        <is>
          <t>Borthwick, Sally, 1945-</t>
        </is>
      </c>
      <c r="L1768" t="inlineStr">
        <is>
          <t>Stanford, Calif. : Hoover Institution Press, Stanford University, 1983.</t>
        </is>
      </c>
      <c r="M1768" t="inlineStr">
        <is>
          <t>1983</t>
        </is>
      </c>
      <c r="O1768" t="inlineStr">
        <is>
          <t>eng</t>
        </is>
      </c>
      <c r="P1768" t="inlineStr">
        <is>
          <t>cau</t>
        </is>
      </c>
      <c r="Q1768" t="inlineStr">
        <is>
          <t>Education and society</t>
        </is>
      </c>
      <c r="R1768" t="inlineStr">
        <is>
          <t xml:space="preserve">LC </t>
        </is>
      </c>
      <c r="S1768" t="n">
        <v>11</v>
      </c>
      <c r="T1768" t="n">
        <v>11</v>
      </c>
      <c r="U1768" t="inlineStr">
        <is>
          <t>2003-04-16</t>
        </is>
      </c>
      <c r="V1768" t="inlineStr">
        <is>
          <t>2003-04-16</t>
        </is>
      </c>
      <c r="W1768" t="inlineStr">
        <is>
          <t>1992-08-20</t>
        </is>
      </c>
      <c r="X1768" t="inlineStr">
        <is>
          <t>1992-08-20</t>
        </is>
      </c>
      <c r="Y1768" t="n">
        <v>384</v>
      </c>
      <c r="Z1768" t="n">
        <v>294</v>
      </c>
      <c r="AA1768" t="n">
        <v>295</v>
      </c>
      <c r="AB1768" t="n">
        <v>2</v>
      </c>
      <c r="AC1768" t="n">
        <v>2</v>
      </c>
      <c r="AD1768" t="n">
        <v>11</v>
      </c>
      <c r="AE1768" t="n">
        <v>11</v>
      </c>
      <c r="AF1768" t="n">
        <v>3</v>
      </c>
      <c r="AG1768" t="n">
        <v>3</v>
      </c>
      <c r="AH1768" t="n">
        <v>4</v>
      </c>
      <c r="AI1768" t="n">
        <v>4</v>
      </c>
      <c r="AJ1768" t="n">
        <v>5</v>
      </c>
      <c r="AK1768" t="n">
        <v>5</v>
      </c>
      <c r="AL1768" t="n">
        <v>1</v>
      </c>
      <c r="AM1768" t="n">
        <v>1</v>
      </c>
      <c r="AN1768" t="n">
        <v>0</v>
      </c>
      <c r="AO1768" t="n">
        <v>0</v>
      </c>
      <c r="AP1768" t="inlineStr">
        <is>
          <t>No</t>
        </is>
      </c>
      <c r="AQ1768" t="inlineStr">
        <is>
          <t>Yes</t>
        </is>
      </c>
      <c r="AR1768">
        <f>HYPERLINK("http://catalog.hathitrust.org/Record/000150685","HathiTrust Record")</f>
        <v/>
      </c>
      <c r="AS1768">
        <f>HYPERLINK("https://creighton-primo.hosted.exlibrisgroup.com/primo-explore/search?tab=default_tab&amp;search_scope=EVERYTHING&amp;vid=01CRU&amp;lang=en_US&amp;offset=0&amp;query=any,contains,991000065379702656","Catalog Record")</f>
        <v/>
      </c>
      <c r="AT1768">
        <f>HYPERLINK("http://www.worldcat.org/oclc/8763252","WorldCat Record")</f>
        <v/>
      </c>
      <c r="AU1768" t="inlineStr">
        <is>
          <t>889342425:eng</t>
        </is>
      </c>
      <c r="AV1768" t="inlineStr">
        <is>
          <t>8763252</t>
        </is>
      </c>
      <c r="AW1768" t="inlineStr">
        <is>
          <t>991000065379702656</t>
        </is>
      </c>
      <c r="AX1768" t="inlineStr">
        <is>
          <t>991000065379702656</t>
        </is>
      </c>
      <c r="AY1768" t="inlineStr">
        <is>
          <t>2266667200002656</t>
        </is>
      </c>
      <c r="AZ1768" t="inlineStr">
        <is>
          <t>BOOK</t>
        </is>
      </c>
      <c r="BB1768" t="inlineStr">
        <is>
          <t>9780817976811</t>
        </is>
      </c>
      <c r="BC1768" t="inlineStr">
        <is>
          <t>32285001264695</t>
        </is>
      </c>
      <c r="BD1768" t="inlineStr">
        <is>
          <t>893896587</t>
        </is>
      </c>
    </row>
    <row r="1769">
      <c r="A1769" t="inlineStr">
        <is>
          <t>No</t>
        </is>
      </c>
      <c r="B1769" t="inlineStr">
        <is>
          <t>LC985 .M32  1994</t>
        </is>
      </c>
      <c r="C1769" t="inlineStr">
        <is>
          <t>0                      LC 0985000M  32          1994</t>
        </is>
      </c>
      <c r="D1769" t="inlineStr">
        <is>
          <t>Assessing general education : a questionnaire to initiate campus conversations / by Jack Meacham.</t>
        </is>
      </c>
      <c r="F1769" t="inlineStr">
        <is>
          <t>No</t>
        </is>
      </c>
      <c r="G1769" t="inlineStr">
        <is>
          <t>1</t>
        </is>
      </c>
      <c r="H1769" t="inlineStr">
        <is>
          <t>No</t>
        </is>
      </c>
      <c r="I1769" t="inlineStr">
        <is>
          <t>No</t>
        </is>
      </c>
      <c r="J1769" t="inlineStr">
        <is>
          <t>0</t>
        </is>
      </c>
      <c r="K1769" t="inlineStr">
        <is>
          <t>Meacham, Jack.</t>
        </is>
      </c>
      <c r="L1769" t="inlineStr">
        <is>
          <t>Washington, D.C. : Association of American Colleges and Universities, [1994?]</t>
        </is>
      </c>
      <c r="M1769" t="inlineStr">
        <is>
          <t>1994</t>
        </is>
      </c>
      <c r="O1769" t="inlineStr">
        <is>
          <t>eng</t>
        </is>
      </c>
      <c r="P1769" t="inlineStr">
        <is>
          <t>kyu</t>
        </is>
      </c>
      <c r="R1769" t="inlineStr">
        <is>
          <t xml:space="preserve">LC </t>
        </is>
      </c>
      <c r="S1769" t="n">
        <v>1</v>
      </c>
      <c r="T1769" t="n">
        <v>1</v>
      </c>
      <c r="U1769" t="inlineStr">
        <is>
          <t>2007-02-19</t>
        </is>
      </c>
      <c r="V1769" t="inlineStr">
        <is>
          <t>2007-02-19</t>
        </is>
      </c>
      <c r="W1769" t="inlineStr">
        <is>
          <t>2003-12-01</t>
        </is>
      </c>
      <c r="X1769" t="inlineStr">
        <is>
          <t>2003-12-01</t>
        </is>
      </c>
      <c r="Y1769" t="n">
        <v>11</v>
      </c>
      <c r="Z1769" t="n">
        <v>10</v>
      </c>
      <c r="AA1769" t="n">
        <v>12</v>
      </c>
      <c r="AB1769" t="n">
        <v>1</v>
      </c>
      <c r="AC1769" t="n">
        <v>1</v>
      </c>
      <c r="AD1769" t="n">
        <v>0</v>
      </c>
      <c r="AE1769" t="n">
        <v>0</v>
      </c>
      <c r="AF1769" t="n">
        <v>0</v>
      </c>
      <c r="AG1769" t="n">
        <v>0</v>
      </c>
      <c r="AH1769" t="n">
        <v>0</v>
      </c>
      <c r="AI1769" t="n">
        <v>0</v>
      </c>
      <c r="AJ1769" t="n">
        <v>0</v>
      </c>
      <c r="AK1769" t="n">
        <v>0</v>
      </c>
      <c r="AL1769" t="n">
        <v>0</v>
      </c>
      <c r="AM1769" t="n">
        <v>0</v>
      </c>
      <c r="AN1769" t="n">
        <v>0</v>
      </c>
      <c r="AO1769" t="n">
        <v>0</v>
      </c>
      <c r="AP1769" t="inlineStr">
        <is>
          <t>No</t>
        </is>
      </c>
      <c r="AQ1769" t="inlineStr">
        <is>
          <t>No</t>
        </is>
      </c>
      <c r="AS1769">
        <f>HYPERLINK("https://creighton-primo.hosted.exlibrisgroup.com/primo-explore/search?tab=default_tab&amp;search_scope=EVERYTHING&amp;vid=01CRU&amp;lang=en_US&amp;offset=0&amp;query=any,contains,991004194999702656","Catalog Record")</f>
        <v/>
      </c>
      <c r="AT1769">
        <f>HYPERLINK("http://www.worldcat.org/oclc/34345842","WorldCat Record")</f>
        <v/>
      </c>
      <c r="AU1769" t="inlineStr">
        <is>
          <t>327353701:eng</t>
        </is>
      </c>
      <c r="AV1769" t="inlineStr">
        <is>
          <t>34345842</t>
        </is>
      </c>
      <c r="AW1769" t="inlineStr">
        <is>
          <t>991004194999702656</t>
        </is>
      </c>
      <c r="AX1769" t="inlineStr">
        <is>
          <t>991004194999702656</t>
        </is>
      </c>
      <c r="AY1769" t="inlineStr">
        <is>
          <t>2260365850002656</t>
        </is>
      </c>
      <c r="AZ1769" t="inlineStr">
        <is>
          <t>BOOK</t>
        </is>
      </c>
      <c r="BC1769" t="inlineStr">
        <is>
          <t>32285004841564</t>
        </is>
      </c>
      <c r="BD1769" t="inlineStr">
        <is>
          <t>893235175</t>
        </is>
      </c>
    </row>
    <row r="1770">
      <c r="A1770" t="inlineStr">
        <is>
          <t>No</t>
        </is>
      </c>
      <c r="B1770" t="inlineStr">
        <is>
          <t>LC985 .N48 1988</t>
        </is>
      </c>
      <c r="C1770" t="inlineStr">
        <is>
          <t>0                      LC 0985000N  48          1988</t>
        </is>
      </c>
      <c r="D1770" t="inlineStr">
        <is>
          <t>A New vitality in general education : planning, teaching, and supporting effective liberal learning / by the Task Group on General Education.</t>
        </is>
      </c>
      <c r="F1770" t="inlineStr">
        <is>
          <t>No</t>
        </is>
      </c>
      <c r="G1770" t="inlineStr">
        <is>
          <t>1</t>
        </is>
      </c>
      <c r="H1770" t="inlineStr">
        <is>
          <t>No</t>
        </is>
      </c>
      <c r="I1770" t="inlineStr">
        <is>
          <t>No</t>
        </is>
      </c>
      <c r="J1770" t="inlineStr">
        <is>
          <t>0</t>
        </is>
      </c>
      <c r="L1770" t="inlineStr">
        <is>
          <t>Washington, D.C. : Association of American Colleges, 1988.</t>
        </is>
      </c>
      <c r="M1770" t="inlineStr">
        <is>
          <t>1988</t>
        </is>
      </c>
      <c r="O1770" t="inlineStr">
        <is>
          <t>eng</t>
        </is>
      </c>
      <c r="P1770" t="inlineStr">
        <is>
          <t>dcu</t>
        </is>
      </c>
      <c r="R1770" t="inlineStr">
        <is>
          <t xml:space="preserve">LC </t>
        </is>
      </c>
      <c r="S1770" t="n">
        <v>1</v>
      </c>
      <c r="T1770" t="n">
        <v>1</v>
      </c>
      <c r="U1770" t="inlineStr">
        <is>
          <t>2003-11-24</t>
        </is>
      </c>
      <c r="V1770" t="inlineStr">
        <is>
          <t>2003-11-24</t>
        </is>
      </c>
      <c r="W1770" t="inlineStr">
        <is>
          <t>2003-11-24</t>
        </is>
      </c>
      <c r="X1770" t="inlineStr">
        <is>
          <t>2003-11-24</t>
        </is>
      </c>
      <c r="Y1770" t="n">
        <v>333</v>
      </c>
      <c r="Z1770" t="n">
        <v>313</v>
      </c>
      <c r="AA1770" t="n">
        <v>320</v>
      </c>
      <c r="AB1770" t="n">
        <v>4</v>
      </c>
      <c r="AC1770" t="n">
        <v>4</v>
      </c>
      <c r="AD1770" t="n">
        <v>12</v>
      </c>
      <c r="AE1770" t="n">
        <v>12</v>
      </c>
      <c r="AF1770" t="n">
        <v>4</v>
      </c>
      <c r="AG1770" t="n">
        <v>4</v>
      </c>
      <c r="AH1770" t="n">
        <v>4</v>
      </c>
      <c r="AI1770" t="n">
        <v>4</v>
      </c>
      <c r="AJ1770" t="n">
        <v>5</v>
      </c>
      <c r="AK1770" t="n">
        <v>5</v>
      </c>
      <c r="AL1770" t="n">
        <v>3</v>
      </c>
      <c r="AM1770" t="n">
        <v>3</v>
      </c>
      <c r="AN1770" t="n">
        <v>0</v>
      </c>
      <c r="AO1770" t="n">
        <v>0</v>
      </c>
      <c r="AP1770" t="inlineStr">
        <is>
          <t>No</t>
        </is>
      </c>
      <c r="AQ1770" t="inlineStr">
        <is>
          <t>Yes</t>
        </is>
      </c>
      <c r="AR1770">
        <f>HYPERLINK("http://catalog.hathitrust.org/Record/002437447","HathiTrust Record")</f>
        <v/>
      </c>
      <c r="AS1770">
        <f>HYPERLINK("https://creighton-primo.hosted.exlibrisgroup.com/primo-explore/search?tab=default_tab&amp;search_scope=EVERYTHING&amp;vid=01CRU&amp;lang=en_US&amp;offset=0&amp;query=any,contains,991004189019702656","Catalog Record")</f>
        <v/>
      </c>
      <c r="AT1770">
        <f>HYPERLINK("http://www.worldcat.org/oclc/21342290","WorldCat Record")</f>
        <v/>
      </c>
      <c r="AU1770" t="inlineStr">
        <is>
          <t>904442321:eng</t>
        </is>
      </c>
      <c r="AV1770" t="inlineStr">
        <is>
          <t>21342290</t>
        </is>
      </c>
      <c r="AW1770" t="inlineStr">
        <is>
          <t>991004189019702656</t>
        </is>
      </c>
      <c r="AX1770" t="inlineStr">
        <is>
          <t>991004189019702656</t>
        </is>
      </c>
      <c r="AY1770" t="inlineStr">
        <is>
          <t>2257216940002656</t>
        </is>
      </c>
      <c r="AZ1770" t="inlineStr">
        <is>
          <t>BOOK</t>
        </is>
      </c>
      <c r="BB1770" t="inlineStr">
        <is>
          <t>9780911696417</t>
        </is>
      </c>
      <c r="BC1770" t="inlineStr">
        <is>
          <t>32285004841234</t>
        </is>
      </c>
      <c r="BD1770" t="inlineStr">
        <is>
          <t>893411228</t>
        </is>
      </c>
    </row>
    <row r="1771">
      <c r="A1771" t="inlineStr">
        <is>
          <t>No</t>
        </is>
      </c>
      <c r="B1771" t="inlineStr">
        <is>
          <t>LD1256 .F3</t>
        </is>
      </c>
      <c r="C1771" t="inlineStr">
        <is>
          <t>0                      LD 1256000F  3</t>
        </is>
      </c>
      <c r="D1771" t="inlineStr">
        <is>
          <t>Crisis at Columbia; report of the Fact-Finding Commission appointed to investigate the disturbances at Columbia University in April and May, 1968.</t>
        </is>
      </c>
      <c r="F1771" t="inlineStr">
        <is>
          <t>No</t>
        </is>
      </c>
      <c r="G1771" t="inlineStr">
        <is>
          <t>1</t>
        </is>
      </c>
      <c r="H1771" t="inlineStr">
        <is>
          <t>No</t>
        </is>
      </c>
      <c r="I1771" t="inlineStr">
        <is>
          <t>No</t>
        </is>
      </c>
      <c r="J1771" t="inlineStr">
        <is>
          <t>0</t>
        </is>
      </c>
      <c r="K1771" t="inlineStr">
        <is>
          <t>Columbia University. Fact Finding Commission.</t>
        </is>
      </c>
      <c r="L1771" t="inlineStr">
        <is>
          <t>New York, Vintage Books [1968]</t>
        </is>
      </c>
      <c r="M1771" t="inlineStr">
        <is>
          <t>1968</t>
        </is>
      </c>
      <c r="O1771" t="inlineStr">
        <is>
          <t>eng</t>
        </is>
      </c>
      <c r="P1771" t="inlineStr">
        <is>
          <t>nyu</t>
        </is>
      </c>
      <c r="R1771" t="inlineStr">
        <is>
          <t xml:space="preserve">LD </t>
        </is>
      </c>
      <c r="S1771" t="n">
        <v>2</v>
      </c>
      <c r="T1771" t="n">
        <v>2</v>
      </c>
      <c r="U1771" t="inlineStr">
        <is>
          <t>2001-08-16</t>
        </is>
      </c>
      <c r="V1771" t="inlineStr">
        <is>
          <t>2001-08-16</t>
        </is>
      </c>
      <c r="W1771" t="inlineStr">
        <is>
          <t>1997-06-18</t>
        </is>
      </c>
      <c r="X1771" t="inlineStr">
        <is>
          <t>1997-06-18</t>
        </is>
      </c>
      <c r="Y1771" t="n">
        <v>740</v>
      </c>
      <c r="Z1771" t="n">
        <v>655</v>
      </c>
      <c r="AA1771" t="n">
        <v>669</v>
      </c>
      <c r="AB1771" t="n">
        <v>4</v>
      </c>
      <c r="AC1771" t="n">
        <v>4</v>
      </c>
      <c r="AD1771" t="n">
        <v>30</v>
      </c>
      <c r="AE1771" t="n">
        <v>30</v>
      </c>
      <c r="AF1771" t="n">
        <v>10</v>
      </c>
      <c r="AG1771" t="n">
        <v>10</v>
      </c>
      <c r="AH1771" t="n">
        <v>5</v>
      </c>
      <c r="AI1771" t="n">
        <v>5</v>
      </c>
      <c r="AJ1771" t="n">
        <v>18</v>
      </c>
      <c r="AK1771" t="n">
        <v>18</v>
      </c>
      <c r="AL1771" t="n">
        <v>3</v>
      </c>
      <c r="AM1771" t="n">
        <v>3</v>
      </c>
      <c r="AN1771" t="n">
        <v>3</v>
      </c>
      <c r="AO1771" t="n">
        <v>3</v>
      </c>
      <c r="AP1771" t="inlineStr">
        <is>
          <t>No</t>
        </is>
      </c>
      <c r="AQ1771" t="inlineStr">
        <is>
          <t>Yes</t>
        </is>
      </c>
      <c r="AR1771">
        <f>HYPERLINK("http://catalog.hathitrust.org/Record/001451731","HathiTrust Record")</f>
        <v/>
      </c>
      <c r="AS1771">
        <f>HYPERLINK("https://creighton-primo.hosted.exlibrisgroup.com/primo-explore/search?tab=default_tab&amp;search_scope=EVERYTHING&amp;vid=01CRU&amp;lang=en_US&amp;offset=0&amp;query=any,contains,991005435369702656","Catalog Record")</f>
        <v/>
      </c>
      <c r="AT1771">
        <f>HYPERLINK("http://www.worldcat.org/oclc/3013","WorldCat Record")</f>
        <v/>
      </c>
      <c r="AU1771" t="inlineStr">
        <is>
          <t>1126215:eng</t>
        </is>
      </c>
      <c r="AV1771" t="inlineStr">
        <is>
          <t>3013</t>
        </is>
      </c>
      <c r="AW1771" t="inlineStr">
        <is>
          <t>991005435369702656</t>
        </is>
      </c>
      <c r="AX1771" t="inlineStr">
        <is>
          <t>991005435369702656</t>
        </is>
      </c>
      <c r="AY1771" t="inlineStr">
        <is>
          <t>2265592410002656</t>
        </is>
      </c>
      <c r="AZ1771" t="inlineStr">
        <is>
          <t>BOOK</t>
        </is>
      </c>
      <c r="BC1771" t="inlineStr">
        <is>
          <t>32285002822251</t>
        </is>
      </c>
      <c r="BD1771" t="inlineStr">
        <is>
          <t>893802307</t>
        </is>
      </c>
    </row>
    <row r="1772">
      <c r="A1772" t="inlineStr">
        <is>
          <t>No</t>
        </is>
      </c>
      <c r="B1772" t="inlineStr">
        <is>
          <t>LD1811.F52 A8 1991</t>
        </is>
      </c>
      <c r="C1772" t="inlineStr">
        <is>
          <t>0                      LD 1811000F  52                 A  8           1991</t>
        </is>
      </c>
      <c r="D1772" t="inlineStr">
        <is>
          <t>As I remember Fordham : selections from the sesquicentennial oral history project.</t>
        </is>
      </c>
      <c r="F1772" t="inlineStr">
        <is>
          <t>No</t>
        </is>
      </c>
      <c r="G1772" t="inlineStr">
        <is>
          <t>1</t>
        </is>
      </c>
      <c r="H1772" t="inlineStr">
        <is>
          <t>No</t>
        </is>
      </c>
      <c r="I1772" t="inlineStr">
        <is>
          <t>No</t>
        </is>
      </c>
      <c r="J1772" t="inlineStr">
        <is>
          <t>0</t>
        </is>
      </c>
      <c r="L1772" t="inlineStr">
        <is>
          <t>[New York, N.Y.] : Office of the Sesquicentennial, Fordham University, 1991.</t>
        </is>
      </c>
      <c r="M1772" t="inlineStr">
        <is>
          <t>1991</t>
        </is>
      </c>
      <c r="O1772" t="inlineStr">
        <is>
          <t>eng</t>
        </is>
      </c>
      <c r="P1772" t="inlineStr">
        <is>
          <t>nyu</t>
        </is>
      </c>
      <c r="R1772" t="inlineStr">
        <is>
          <t xml:space="preserve">LD </t>
        </is>
      </c>
      <c r="S1772" t="n">
        <v>2</v>
      </c>
      <c r="T1772" t="n">
        <v>2</v>
      </c>
      <c r="U1772" t="inlineStr">
        <is>
          <t>2000-08-23</t>
        </is>
      </c>
      <c r="V1772" t="inlineStr">
        <is>
          <t>2000-08-23</t>
        </is>
      </c>
      <c r="W1772" t="inlineStr">
        <is>
          <t>2000-08-22</t>
        </is>
      </c>
      <c r="X1772" t="inlineStr">
        <is>
          <t>2000-08-22</t>
        </is>
      </c>
      <c r="Y1772" t="n">
        <v>50</v>
      </c>
      <c r="Z1772" t="n">
        <v>47</v>
      </c>
      <c r="AA1772" t="n">
        <v>47</v>
      </c>
      <c r="AB1772" t="n">
        <v>1</v>
      </c>
      <c r="AC1772" t="n">
        <v>1</v>
      </c>
      <c r="AD1772" t="n">
        <v>11</v>
      </c>
      <c r="AE1772" t="n">
        <v>11</v>
      </c>
      <c r="AF1772" t="n">
        <v>3</v>
      </c>
      <c r="AG1772" t="n">
        <v>3</v>
      </c>
      <c r="AH1772" t="n">
        <v>2</v>
      </c>
      <c r="AI1772" t="n">
        <v>2</v>
      </c>
      <c r="AJ1772" t="n">
        <v>11</v>
      </c>
      <c r="AK1772" t="n">
        <v>11</v>
      </c>
      <c r="AL1772" t="n">
        <v>0</v>
      </c>
      <c r="AM1772" t="n">
        <v>0</v>
      </c>
      <c r="AN1772" t="n">
        <v>0</v>
      </c>
      <c r="AO1772" t="n">
        <v>0</v>
      </c>
      <c r="AP1772" t="inlineStr">
        <is>
          <t>No</t>
        </is>
      </c>
      <c r="AQ1772" t="inlineStr">
        <is>
          <t>No</t>
        </is>
      </c>
      <c r="AS1772">
        <f>HYPERLINK("https://creighton-primo.hosted.exlibrisgroup.com/primo-explore/search?tab=default_tab&amp;search_scope=EVERYTHING&amp;vid=01CRU&amp;lang=en_US&amp;offset=0&amp;query=any,contains,991003270829702656","Catalog Record")</f>
        <v/>
      </c>
      <c r="AT1772">
        <f>HYPERLINK("http://www.worldcat.org/oclc/24217095","WorldCat Record")</f>
        <v/>
      </c>
      <c r="AU1772" t="inlineStr">
        <is>
          <t>26213412:eng</t>
        </is>
      </c>
      <c r="AV1772" t="inlineStr">
        <is>
          <t>24217095</t>
        </is>
      </c>
      <c r="AW1772" t="inlineStr">
        <is>
          <t>991003270829702656</t>
        </is>
      </c>
      <c r="AX1772" t="inlineStr">
        <is>
          <t>991003270829702656</t>
        </is>
      </c>
      <c r="AY1772" t="inlineStr">
        <is>
          <t>2272213690002656</t>
        </is>
      </c>
      <c r="AZ1772" t="inlineStr">
        <is>
          <t>BOOK</t>
        </is>
      </c>
      <c r="BB1772" t="inlineStr">
        <is>
          <t>9780823213382</t>
        </is>
      </c>
      <c r="BC1772" t="inlineStr">
        <is>
          <t>32285003758298</t>
        </is>
      </c>
      <c r="BD1772" t="inlineStr">
        <is>
          <t>893780783</t>
        </is>
      </c>
    </row>
    <row r="1773">
      <c r="A1773" t="inlineStr">
        <is>
          <t>No</t>
        </is>
      </c>
      <c r="B1773" t="inlineStr">
        <is>
          <t>LD1811.F52 S357 2002</t>
        </is>
      </c>
      <c r="C1773" t="inlineStr">
        <is>
          <t>0                      LD 1811000F  52                 S  357         2002</t>
        </is>
      </c>
      <c r="D1773" t="inlineStr">
        <is>
          <t>Fordham : a history and memoir / Raymond A. Schroth.</t>
        </is>
      </c>
      <c r="F1773" t="inlineStr">
        <is>
          <t>No</t>
        </is>
      </c>
      <c r="G1773" t="inlineStr">
        <is>
          <t>1</t>
        </is>
      </c>
      <c r="H1773" t="inlineStr">
        <is>
          <t>No</t>
        </is>
      </c>
      <c r="I1773" t="inlineStr">
        <is>
          <t>Yes</t>
        </is>
      </c>
      <c r="J1773" t="inlineStr">
        <is>
          <t>0</t>
        </is>
      </c>
      <c r="K1773" t="inlineStr">
        <is>
          <t>Schroth, Raymond A.</t>
        </is>
      </c>
      <c r="L1773" t="inlineStr">
        <is>
          <t>Chicago : Jesuit Way, c2002.</t>
        </is>
      </c>
      <c r="M1773" t="inlineStr">
        <is>
          <t>2002</t>
        </is>
      </c>
      <c r="O1773" t="inlineStr">
        <is>
          <t>eng</t>
        </is>
      </c>
      <c r="P1773" t="inlineStr">
        <is>
          <t>ilu</t>
        </is>
      </c>
      <c r="R1773" t="inlineStr">
        <is>
          <t xml:space="preserve">LD </t>
        </is>
      </c>
      <c r="S1773" t="n">
        <v>3</v>
      </c>
      <c r="T1773" t="n">
        <v>3</v>
      </c>
      <c r="U1773" t="inlineStr">
        <is>
          <t>2006-07-10</t>
        </is>
      </c>
      <c r="V1773" t="inlineStr">
        <is>
          <t>2006-07-10</t>
        </is>
      </c>
      <c r="W1773" t="inlineStr">
        <is>
          <t>2002-05-01</t>
        </is>
      </c>
      <c r="X1773" t="inlineStr">
        <is>
          <t>2002-05-01</t>
        </is>
      </c>
      <c r="Y1773" t="n">
        <v>86</v>
      </c>
      <c r="Z1773" t="n">
        <v>80</v>
      </c>
      <c r="AA1773" t="n">
        <v>580</v>
      </c>
      <c r="AB1773" t="n">
        <v>1</v>
      </c>
      <c r="AC1773" t="n">
        <v>3</v>
      </c>
      <c r="AD1773" t="n">
        <v>16</v>
      </c>
      <c r="AE1773" t="n">
        <v>28</v>
      </c>
      <c r="AF1773" t="n">
        <v>6</v>
      </c>
      <c r="AG1773" t="n">
        <v>13</v>
      </c>
      <c r="AH1773" t="n">
        <v>2</v>
      </c>
      <c r="AI1773" t="n">
        <v>4</v>
      </c>
      <c r="AJ1773" t="n">
        <v>13</v>
      </c>
      <c r="AK1773" t="n">
        <v>19</v>
      </c>
      <c r="AL1773" t="n">
        <v>0</v>
      </c>
      <c r="AM1773" t="n">
        <v>2</v>
      </c>
      <c r="AN1773" t="n">
        <v>0</v>
      </c>
      <c r="AO1773" t="n">
        <v>0</v>
      </c>
      <c r="AP1773" t="inlineStr">
        <is>
          <t>No</t>
        </is>
      </c>
      <c r="AQ1773" t="inlineStr">
        <is>
          <t>No</t>
        </is>
      </c>
      <c r="AS1773">
        <f>HYPERLINK("https://creighton-primo.hosted.exlibrisgroup.com/primo-explore/search?tab=default_tab&amp;search_scope=EVERYTHING&amp;vid=01CRU&amp;lang=en_US&amp;offset=0&amp;query=any,contains,991003798499702656","Catalog Record")</f>
        <v/>
      </c>
      <c r="AT1773">
        <f>HYPERLINK("http://www.worldcat.org/oclc/48265580","WorldCat Record")</f>
        <v/>
      </c>
      <c r="AU1773" t="inlineStr">
        <is>
          <t>894636482:eng</t>
        </is>
      </c>
      <c r="AV1773" t="inlineStr">
        <is>
          <t>48265580</t>
        </is>
      </c>
      <c r="AW1773" t="inlineStr">
        <is>
          <t>991003798499702656</t>
        </is>
      </c>
      <c r="AX1773" t="inlineStr">
        <is>
          <t>991003798499702656</t>
        </is>
      </c>
      <c r="AY1773" t="inlineStr">
        <is>
          <t>2255042810002656</t>
        </is>
      </c>
      <c r="AZ1773" t="inlineStr">
        <is>
          <t>BOOK</t>
        </is>
      </c>
      <c r="BB1773" t="inlineStr">
        <is>
          <t>9780829416763</t>
        </is>
      </c>
      <c r="BC1773" t="inlineStr">
        <is>
          <t>32285004484951</t>
        </is>
      </c>
      <c r="BD1773" t="inlineStr">
        <is>
          <t>893794064</t>
        </is>
      </c>
    </row>
    <row r="1774">
      <c r="A1774" t="inlineStr">
        <is>
          <t>No</t>
        </is>
      </c>
      <c r="B1774" t="inlineStr">
        <is>
          <t>LD1811.F549 M3</t>
        </is>
      </c>
      <c r="C1774" t="inlineStr">
        <is>
          <t>0                      LD 1811000F  549                M  3</t>
        </is>
      </c>
      <c r="D1774" t="inlineStr">
        <is>
          <t>The university in the American experience [by] Leo McLaughlin, John Courtney Murray [and] Pedro Arrupe.</t>
        </is>
      </c>
      <c r="F1774" t="inlineStr">
        <is>
          <t>No</t>
        </is>
      </c>
      <c r="G1774" t="inlineStr">
        <is>
          <t>1</t>
        </is>
      </c>
      <c r="H1774" t="inlineStr">
        <is>
          <t>No</t>
        </is>
      </c>
      <c r="I1774" t="inlineStr">
        <is>
          <t>No</t>
        </is>
      </c>
      <c r="J1774" t="inlineStr">
        <is>
          <t>0</t>
        </is>
      </c>
      <c r="K1774" t="inlineStr">
        <is>
          <t>McLaughlin, Leo, 1912-</t>
        </is>
      </c>
      <c r="L1774" t="inlineStr">
        <is>
          <t>New York, Fordham University, 1966.</t>
        </is>
      </c>
      <c r="M1774" t="inlineStr">
        <is>
          <t>1966</t>
        </is>
      </c>
      <c r="O1774" t="inlineStr">
        <is>
          <t>eng</t>
        </is>
      </c>
      <c r="P1774" t="inlineStr">
        <is>
          <t>nyu</t>
        </is>
      </c>
      <c r="R1774" t="inlineStr">
        <is>
          <t xml:space="preserve">LD </t>
        </is>
      </c>
      <c r="S1774" t="n">
        <v>4</v>
      </c>
      <c r="T1774" t="n">
        <v>4</v>
      </c>
      <c r="U1774" t="inlineStr">
        <is>
          <t>2006-08-03</t>
        </is>
      </c>
      <c r="V1774" t="inlineStr">
        <is>
          <t>2006-08-03</t>
        </is>
      </c>
      <c r="W1774" t="inlineStr">
        <is>
          <t>1997-06-18</t>
        </is>
      </c>
      <c r="X1774" t="inlineStr">
        <is>
          <t>1997-06-18</t>
        </is>
      </c>
      <c r="Y1774" t="n">
        <v>198</v>
      </c>
      <c r="Z1774" t="n">
        <v>194</v>
      </c>
      <c r="AA1774" t="n">
        <v>194</v>
      </c>
      <c r="AB1774" t="n">
        <v>2</v>
      </c>
      <c r="AC1774" t="n">
        <v>2</v>
      </c>
      <c r="AD1774" t="n">
        <v>27</v>
      </c>
      <c r="AE1774" t="n">
        <v>27</v>
      </c>
      <c r="AF1774" t="n">
        <v>7</v>
      </c>
      <c r="AG1774" t="n">
        <v>7</v>
      </c>
      <c r="AH1774" t="n">
        <v>5</v>
      </c>
      <c r="AI1774" t="n">
        <v>5</v>
      </c>
      <c r="AJ1774" t="n">
        <v>24</v>
      </c>
      <c r="AK1774" t="n">
        <v>24</v>
      </c>
      <c r="AL1774" t="n">
        <v>1</v>
      </c>
      <c r="AM1774" t="n">
        <v>1</v>
      </c>
      <c r="AN1774" t="n">
        <v>0</v>
      </c>
      <c r="AO1774" t="n">
        <v>0</v>
      </c>
      <c r="AP1774" t="inlineStr">
        <is>
          <t>No</t>
        </is>
      </c>
      <c r="AQ1774" t="inlineStr">
        <is>
          <t>No</t>
        </is>
      </c>
      <c r="AS1774">
        <f>HYPERLINK("https://creighton-primo.hosted.exlibrisgroup.com/primo-explore/search?tab=default_tab&amp;search_scope=EVERYTHING&amp;vid=01CRU&amp;lang=en_US&amp;offset=0&amp;query=any,contains,991003395299702656","Catalog Record")</f>
        <v/>
      </c>
      <c r="AT1774">
        <f>HYPERLINK("http://www.worldcat.org/oclc/934160","WorldCat Record")</f>
        <v/>
      </c>
      <c r="AU1774" t="inlineStr">
        <is>
          <t>1886945:eng</t>
        </is>
      </c>
      <c r="AV1774" t="inlineStr">
        <is>
          <t>934160</t>
        </is>
      </c>
      <c r="AW1774" t="inlineStr">
        <is>
          <t>991003395299702656</t>
        </is>
      </c>
      <c r="AX1774" t="inlineStr">
        <is>
          <t>991003395299702656</t>
        </is>
      </c>
      <c r="AY1774" t="inlineStr">
        <is>
          <t>2269598430002656</t>
        </is>
      </c>
      <c r="AZ1774" t="inlineStr">
        <is>
          <t>BOOK</t>
        </is>
      </c>
      <c r="BC1774" t="inlineStr">
        <is>
          <t>32285002822301</t>
        </is>
      </c>
      <c r="BD1774" t="inlineStr">
        <is>
          <t>893416337</t>
        </is>
      </c>
    </row>
    <row r="1775">
      <c r="A1775" t="inlineStr">
        <is>
          <t>No</t>
        </is>
      </c>
      <c r="B1775" t="inlineStr">
        <is>
          <t>LD1961.G52 D3</t>
        </is>
      </c>
      <c r="C1775" t="inlineStr">
        <is>
          <t>0                      LD 1961000G  52                 D  3</t>
        </is>
      </c>
      <c r="D1775" t="inlineStr">
        <is>
          <t>Georgetown University: origin and early years.</t>
        </is>
      </c>
      <c r="F1775" t="inlineStr">
        <is>
          <t>No</t>
        </is>
      </c>
      <c r="G1775" t="inlineStr">
        <is>
          <t>1</t>
        </is>
      </c>
      <c r="H1775" t="inlineStr">
        <is>
          <t>No</t>
        </is>
      </c>
      <c r="I1775" t="inlineStr">
        <is>
          <t>No</t>
        </is>
      </c>
      <c r="J1775" t="inlineStr">
        <is>
          <t>0</t>
        </is>
      </c>
      <c r="K1775" t="inlineStr">
        <is>
          <t>Daley, John M., 1938-</t>
        </is>
      </c>
      <c r="L1775" t="inlineStr">
        <is>
          <t>Washington, Georgetown University Press, 1957.</t>
        </is>
      </c>
      <c r="M1775" t="inlineStr">
        <is>
          <t>1957</t>
        </is>
      </c>
      <c r="O1775" t="inlineStr">
        <is>
          <t>eng</t>
        </is>
      </c>
      <c r="P1775" t="inlineStr">
        <is>
          <t xml:space="preserve">xx </t>
        </is>
      </c>
      <c r="R1775" t="inlineStr">
        <is>
          <t xml:space="preserve">LD </t>
        </is>
      </c>
      <c r="S1775" t="n">
        <v>4</v>
      </c>
      <c r="T1775" t="n">
        <v>4</v>
      </c>
      <c r="U1775" t="inlineStr">
        <is>
          <t>2006-02-27</t>
        </is>
      </c>
      <c r="V1775" t="inlineStr">
        <is>
          <t>2006-02-27</t>
        </is>
      </c>
      <c r="W1775" t="inlineStr">
        <is>
          <t>1997-06-18</t>
        </is>
      </c>
      <c r="X1775" t="inlineStr">
        <is>
          <t>1997-06-18</t>
        </is>
      </c>
      <c r="Y1775" t="n">
        <v>178</v>
      </c>
      <c r="Z1775" t="n">
        <v>167</v>
      </c>
      <c r="AA1775" t="n">
        <v>178</v>
      </c>
      <c r="AB1775" t="n">
        <v>1</v>
      </c>
      <c r="AC1775" t="n">
        <v>1</v>
      </c>
      <c r="AD1775" t="n">
        <v>26</v>
      </c>
      <c r="AE1775" t="n">
        <v>26</v>
      </c>
      <c r="AF1775" t="n">
        <v>8</v>
      </c>
      <c r="AG1775" t="n">
        <v>8</v>
      </c>
      <c r="AH1775" t="n">
        <v>6</v>
      </c>
      <c r="AI1775" t="n">
        <v>6</v>
      </c>
      <c r="AJ1775" t="n">
        <v>23</v>
      </c>
      <c r="AK1775" t="n">
        <v>23</v>
      </c>
      <c r="AL1775" t="n">
        <v>0</v>
      </c>
      <c r="AM1775" t="n">
        <v>0</v>
      </c>
      <c r="AN1775" t="n">
        <v>0</v>
      </c>
      <c r="AO1775" t="n">
        <v>0</v>
      </c>
      <c r="AP1775" t="inlineStr">
        <is>
          <t>Yes</t>
        </is>
      </c>
      <c r="AQ1775" t="inlineStr">
        <is>
          <t>No</t>
        </is>
      </c>
      <c r="AR1775">
        <f>HYPERLINK("http://catalog.hathitrust.org/Record/001451830","HathiTrust Record")</f>
        <v/>
      </c>
      <c r="AS1775">
        <f>HYPERLINK("https://creighton-primo.hosted.exlibrisgroup.com/primo-explore/search?tab=default_tab&amp;search_scope=EVERYTHING&amp;vid=01CRU&amp;lang=en_US&amp;offset=0&amp;query=any,contains,991003641249702656","Catalog Record")</f>
        <v/>
      </c>
      <c r="AT1775">
        <f>HYPERLINK("http://www.worldcat.org/oclc/1239028","WorldCat Record")</f>
        <v/>
      </c>
      <c r="AU1775" t="inlineStr">
        <is>
          <t>423255566:eng</t>
        </is>
      </c>
      <c r="AV1775" t="inlineStr">
        <is>
          <t>1239028</t>
        </is>
      </c>
      <c r="AW1775" t="inlineStr">
        <is>
          <t>991003641249702656</t>
        </is>
      </c>
      <c r="AX1775" t="inlineStr">
        <is>
          <t>991003641249702656</t>
        </is>
      </c>
      <c r="AY1775" t="inlineStr">
        <is>
          <t>2266205950002656</t>
        </is>
      </c>
      <c r="AZ1775" t="inlineStr">
        <is>
          <t>BOOK</t>
        </is>
      </c>
      <c r="BC1775" t="inlineStr">
        <is>
          <t>32285002822319</t>
        </is>
      </c>
      <c r="BD1775" t="inlineStr">
        <is>
          <t>893692964</t>
        </is>
      </c>
    </row>
    <row r="1776">
      <c r="A1776" t="inlineStr">
        <is>
          <t>No</t>
        </is>
      </c>
      <c r="B1776" t="inlineStr">
        <is>
          <t>LD1961.G52 D78</t>
        </is>
      </c>
      <c r="C1776" t="inlineStr">
        <is>
          <t>0                      LD 1961000G  52                 D  78</t>
        </is>
      </c>
      <c r="D1776" t="inlineStr">
        <is>
          <t>Georgetown University, first in the Nation's Capital [by] Joseph T. Durkin. Foreword by Robert I. Gannon.</t>
        </is>
      </c>
      <c r="F1776" t="inlineStr">
        <is>
          <t>No</t>
        </is>
      </c>
      <c r="G1776" t="inlineStr">
        <is>
          <t>1</t>
        </is>
      </c>
      <c r="H1776" t="inlineStr">
        <is>
          <t>No</t>
        </is>
      </c>
      <c r="I1776" t="inlineStr">
        <is>
          <t>No</t>
        </is>
      </c>
      <c r="J1776" t="inlineStr">
        <is>
          <t>0</t>
        </is>
      </c>
      <c r="K1776" t="inlineStr">
        <is>
          <t>Durkin, Joseph T. (Joseph Thomas), 1903-2003.</t>
        </is>
      </c>
      <c r="L1776" t="inlineStr">
        <is>
          <t>Garden City, N.Y., Doubleday, 1964.</t>
        </is>
      </c>
      <c r="M1776" t="inlineStr">
        <is>
          <t>1964</t>
        </is>
      </c>
      <c r="N1776" t="inlineStr">
        <is>
          <t>[1st ed.]</t>
        </is>
      </c>
      <c r="O1776" t="inlineStr">
        <is>
          <t>eng</t>
        </is>
      </c>
      <c r="P1776" t="inlineStr">
        <is>
          <t>nyu</t>
        </is>
      </c>
      <c r="R1776" t="inlineStr">
        <is>
          <t xml:space="preserve">LD </t>
        </is>
      </c>
      <c r="S1776" t="n">
        <v>4</v>
      </c>
      <c r="T1776" t="n">
        <v>4</v>
      </c>
      <c r="U1776" t="inlineStr">
        <is>
          <t>2006-02-27</t>
        </is>
      </c>
      <c r="V1776" t="inlineStr">
        <is>
          <t>2006-02-27</t>
        </is>
      </c>
      <c r="W1776" t="inlineStr">
        <is>
          <t>1997-06-18</t>
        </is>
      </c>
      <c r="X1776" t="inlineStr">
        <is>
          <t>1997-06-18</t>
        </is>
      </c>
      <c r="Y1776" t="n">
        <v>264</v>
      </c>
      <c r="Z1776" t="n">
        <v>252</v>
      </c>
      <c r="AA1776" t="n">
        <v>258</v>
      </c>
      <c r="AB1776" t="n">
        <v>2</v>
      </c>
      <c r="AC1776" t="n">
        <v>2</v>
      </c>
      <c r="AD1776" t="n">
        <v>30</v>
      </c>
      <c r="AE1776" t="n">
        <v>30</v>
      </c>
      <c r="AF1776" t="n">
        <v>9</v>
      </c>
      <c r="AG1776" t="n">
        <v>9</v>
      </c>
      <c r="AH1776" t="n">
        <v>9</v>
      </c>
      <c r="AI1776" t="n">
        <v>9</v>
      </c>
      <c r="AJ1776" t="n">
        <v>24</v>
      </c>
      <c r="AK1776" t="n">
        <v>24</v>
      </c>
      <c r="AL1776" t="n">
        <v>1</v>
      </c>
      <c r="AM1776" t="n">
        <v>1</v>
      </c>
      <c r="AN1776" t="n">
        <v>0</v>
      </c>
      <c r="AO1776" t="n">
        <v>0</v>
      </c>
      <c r="AP1776" t="inlineStr">
        <is>
          <t>No</t>
        </is>
      </c>
      <c r="AQ1776" t="inlineStr">
        <is>
          <t>Yes</t>
        </is>
      </c>
      <c r="AR1776">
        <f>HYPERLINK("http://catalog.hathitrust.org/Record/001451831","HathiTrust Record")</f>
        <v/>
      </c>
      <c r="AS1776">
        <f>HYPERLINK("https://creighton-primo.hosted.exlibrisgroup.com/primo-explore/search?tab=default_tab&amp;search_scope=EVERYTHING&amp;vid=01CRU&amp;lang=en_US&amp;offset=0&amp;query=any,contains,991003470819702656","Catalog Record")</f>
        <v/>
      </c>
      <c r="AT1776">
        <f>HYPERLINK("http://www.worldcat.org/oclc/1013271","WorldCat Record")</f>
        <v/>
      </c>
      <c r="AU1776" t="inlineStr">
        <is>
          <t>1936272:eng</t>
        </is>
      </c>
      <c r="AV1776" t="inlineStr">
        <is>
          <t>1013271</t>
        </is>
      </c>
      <c r="AW1776" t="inlineStr">
        <is>
          <t>991003470819702656</t>
        </is>
      </c>
      <c r="AX1776" t="inlineStr">
        <is>
          <t>991003470819702656</t>
        </is>
      </c>
      <c r="AY1776" t="inlineStr">
        <is>
          <t>2255387540002656</t>
        </is>
      </c>
      <c r="AZ1776" t="inlineStr">
        <is>
          <t>BOOK</t>
        </is>
      </c>
      <c r="BC1776" t="inlineStr">
        <is>
          <t>32285002822327</t>
        </is>
      </c>
      <c r="BD1776" t="inlineStr">
        <is>
          <t>893686570</t>
        </is>
      </c>
    </row>
    <row r="1777">
      <c r="A1777" t="inlineStr">
        <is>
          <t>No</t>
        </is>
      </c>
      <c r="B1777" t="inlineStr">
        <is>
          <t>LD2001.G62 S3</t>
        </is>
      </c>
      <c r="C1777" t="inlineStr">
        <is>
          <t>0                      LD 2001000G  62                 S  3</t>
        </is>
      </c>
      <c r="D1777" t="inlineStr">
        <is>
          <t>Gonzaga University; seventy-five years, 1887-1962.</t>
        </is>
      </c>
      <c r="F1777" t="inlineStr">
        <is>
          <t>No</t>
        </is>
      </c>
      <c r="G1777" t="inlineStr">
        <is>
          <t>1</t>
        </is>
      </c>
      <c r="H1777" t="inlineStr">
        <is>
          <t>No</t>
        </is>
      </c>
      <c r="I1777" t="inlineStr">
        <is>
          <t>No</t>
        </is>
      </c>
      <c r="J1777" t="inlineStr">
        <is>
          <t>0</t>
        </is>
      </c>
      <c r="K1777" t="inlineStr">
        <is>
          <t>Schoenberg, Wilfred P.</t>
        </is>
      </c>
      <c r="L1777" t="inlineStr">
        <is>
          <t>Spokane, Gonzaga University [1963]</t>
        </is>
      </c>
      <c r="M1777" t="inlineStr">
        <is>
          <t>1963</t>
        </is>
      </c>
      <c r="O1777" t="inlineStr">
        <is>
          <t>eng</t>
        </is>
      </c>
      <c r="P1777" t="inlineStr">
        <is>
          <t xml:space="preserve">xx </t>
        </is>
      </c>
      <c r="R1777" t="inlineStr">
        <is>
          <t xml:space="preserve">LD </t>
        </is>
      </c>
      <c r="S1777" t="n">
        <v>2</v>
      </c>
      <c r="T1777" t="n">
        <v>2</v>
      </c>
      <c r="U1777" t="inlineStr">
        <is>
          <t>2004-02-12</t>
        </is>
      </c>
      <c r="V1777" t="inlineStr">
        <is>
          <t>2004-02-12</t>
        </is>
      </c>
      <c r="W1777" t="inlineStr">
        <is>
          <t>1997-06-18</t>
        </is>
      </c>
      <c r="X1777" t="inlineStr">
        <is>
          <t>1997-06-18</t>
        </is>
      </c>
      <c r="Y1777" t="n">
        <v>93</v>
      </c>
      <c r="Z1777" t="n">
        <v>88</v>
      </c>
      <c r="AA1777" t="n">
        <v>95</v>
      </c>
      <c r="AB1777" t="n">
        <v>1</v>
      </c>
      <c r="AC1777" t="n">
        <v>1</v>
      </c>
      <c r="AD1777" t="n">
        <v>24</v>
      </c>
      <c r="AE1777" t="n">
        <v>24</v>
      </c>
      <c r="AF1777" t="n">
        <v>7</v>
      </c>
      <c r="AG1777" t="n">
        <v>7</v>
      </c>
      <c r="AH1777" t="n">
        <v>3</v>
      </c>
      <c r="AI1777" t="n">
        <v>3</v>
      </c>
      <c r="AJ1777" t="n">
        <v>23</v>
      </c>
      <c r="AK1777" t="n">
        <v>23</v>
      </c>
      <c r="AL1777" t="n">
        <v>0</v>
      </c>
      <c r="AM1777" t="n">
        <v>0</v>
      </c>
      <c r="AN1777" t="n">
        <v>0</v>
      </c>
      <c r="AO1777" t="n">
        <v>0</v>
      </c>
      <c r="AP1777" t="inlineStr">
        <is>
          <t>No</t>
        </is>
      </c>
      <c r="AQ1777" t="inlineStr">
        <is>
          <t>No</t>
        </is>
      </c>
      <c r="AS1777">
        <f>HYPERLINK("https://creighton-primo.hosted.exlibrisgroup.com/primo-explore/search?tab=default_tab&amp;search_scope=EVERYTHING&amp;vid=01CRU&amp;lang=en_US&amp;offset=0&amp;query=any,contains,991003783329702656","Catalog Record")</f>
        <v/>
      </c>
      <c r="AT1777">
        <f>HYPERLINK("http://www.worldcat.org/oclc/1498206","WorldCat Record")</f>
        <v/>
      </c>
      <c r="AU1777" t="inlineStr">
        <is>
          <t>793476267:eng</t>
        </is>
      </c>
      <c r="AV1777" t="inlineStr">
        <is>
          <t>1498206</t>
        </is>
      </c>
      <c r="AW1777" t="inlineStr">
        <is>
          <t>991003783329702656</t>
        </is>
      </c>
      <c r="AX1777" t="inlineStr">
        <is>
          <t>991003783329702656</t>
        </is>
      </c>
      <c r="AY1777" t="inlineStr">
        <is>
          <t>2269365850002656</t>
        </is>
      </c>
      <c r="AZ1777" t="inlineStr">
        <is>
          <t>BOOK</t>
        </is>
      </c>
      <c r="BC1777" t="inlineStr">
        <is>
          <t>32285002822343</t>
        </is>
      </c>
      <c r="BD1777" t="inlineStr">
        <is>
          <t>893330799</t>
        </is>
      </c>
    </row>
    <row r="1778">
      <c r="A1778" t="inlineStr">
        <is>
          <t>No</t>
        </is>
      </c>
      <c r="B1778" t="inlineStr">
        <is>
          <t>LD2281.H32 K89 1999</t>
        </is>
      </c>
      <c r="C1778" t="inlineStr">
        <is>
          <t>0                      LD 2281000H  32                 K  89          1999</t>
        </is>
      </c>
      <c r="D1778" t="inlineStr">
        <is>
          <t>Thy honored name : a history of the College of the Holy Cross, 1843-1994 / Anthony J. Kuzniewski.</t>
        </is>
      </c>
      <c r="F1778" t="inlineStr">
        <is>
          <t>No</t>
        </is>
      </c>
      <c r="G1778" t="inlineStr">
        <is>
          <t>1</t>
        </is>
      </c>
      <c r="H1778" t="inlineStr">
        <is>
          <t>No</t>
        </is>
      </c>
      <c r="I1778" t="inlineStr">
        <is>
          <t>No</t>
        </is>
      </c>
      <c r="J1778" t="inlineStr">
        <is>
          <t>0</t>
        </is>
      </c>
      <c r="K1778" t="inlineStr">
        <is>
          <t>Kuzniewski, Anthony J.</t>
        </is>
      </c>
      <c r="L1778" t="inlineStr">
        <is>
          <t>Washington, D.C. : Catholic University of America Press, c1999.</t>
        </is>
      </c>
      <c r="M1778" t="inlineStr">
        <is>
          <t>1999</t>
        </is>
      </c>
      <c r="O1778" t="inlineStr">
        <is>
          <t>eng</t>
        </is>
      </c>
      <c r="P1778" t="inlineStr">
        <is>
          <t>dcu</t>
        </is>
      </c>
      <c r="R1778" t="inlineStr">
        <is>
          <t xml:space="preserve">LD </t>
        </is>
      </c>
      <c r="S1778" t="n">
        <v>5</v>
      </c>
      <c r="T1778" t="n">
        <v>5</v>
      </c>
      <c r="U1778" t="inlineStr">
        <is>
          <t>1999-09-03</t>
        </is>
      </c>
      <c r="V1778" t="inlineStr">
        <is>
          <t>1999-09-03</t>
        </is>
      </c>
      <c r="W1778" t="inlineStr">
        <is>
          <t>1999-08-18</t>
        </is>
      </c>
      <c r="X1778" t="inlineStr">
        <is>
          <t>1999-08-18</t>
        </is>
      </c>
      <c r="Y1778" t="n">
        <v>115</v>
      </c>
      <c r="Z1778" t="n">
        <v>110</v>
      </c>
      <c r="AA1778" t="n">
        <v>112</v>
      </c>
      <c r="AB1778" t="n">
        <v>1</v>
      </c>
      <c r="AC1778" t="n">
        <v>1</v>
      </c>
      <c r="AD1778" t="n">
        <v>21</v>
      </c>
      <c r="AE1778" t="n">
        <v>21</v>
      </c>
      <c r="AF1778" t="n">
        <v>7</v>
      </c>
      <c r="AG1778" t="n">
        <v>7</v>
      </c>
      <c r="AH1778" t="n">
        <v>3</v>
      </c>
      <c r="AI1778" t="n">
        <v>3</v>
      </c>
      <c r="AJ1778" t="n">
        <v>20</v>
      </c>
      <c r="AK1778" t="n">
        <v>20</v>
      </c>
      <c r="AL1778" t="n">
        <v>0</v>
      </c>
      <c r="AM1778" t="n">
        <v>0</v>
      </c>
      <c r="AN1778" t="n">
        <v>0</v>
      </c>
      <c r="AO1778" t="n">
        <v>0</v>
      </c>
      <c r="AP1778" t="inlineStr">
        <is>
          <t>No</t>
        </is>
      </c>
      <c r="AQ1778" t="inlineStr">
        <is>
          <t>Yes</t>
        </is>
      </c>
      <c r="AR1778">
        <f>HYPERLINK("http://catalog.hathitrust.org/Record/004028805","HathiTrust Record")</f>
        <v/>
      </c>
      <c r="AS1778">
        <f>HYPERLINK("https://creighton-primo.hosted.exlibrisgroup.com/primo-explore/search?tab=default_tab&amp;search_scope=EVERYTHING&amp;vid=01CRU&amp;lang=en_US&amp;offset=0&amp;query=any,contains,991002921979702656","Catalog Record")</f>
        <v/>
      </c>
      <c r="AT1778">
        <f>HYPERLINK("http://www.worldcat.org/oclc/38828225","WorldCat Record")</f>
        <v/>
      </c>
      <c r="AU1778" t="inlineStr">
        <is>
          <t>476276938:eng</t>
        </is>
      </c>
      <c r="AV1778" t="inlineStr">
        <is>
          <t>38828225</t>
        </is>
      </c>
      <c r="AW1778" t="inlineStr">
        <is>
          <t>991002921979702656</t>
        </is>
      </c>
      <c r="AX1778" t="inlineStr">
        <is>
          <t>991002921979702656</t>
        </is>
      </c>
      <c r="AY1778" t="inlineStr">
        <is>
          <t>2261481800002656</t>
        </is>
      </c>
      <c r="AZ1778" t="inlineStr">
        <is>
          <t>BOOK</t>
        </is>
      </c>
      <c r="BB1778" t="inlineStr">
        <is>
          <t>9780813209111</t>
        </is>
      </c>
      <c r="BC1778" t="inlineStr">
        <is>
          <t>32285003582490</t>
        </is>
      </c>
      <c r="BD1778" t="inlineStr">
        <is>
          <t>893805214</t>
        </is>
      </c>
    </row>
    <row r="1779">
      <c r="A1779" t="inlineStr">
        <is>
          <t>No</t>
        </is>
      </c>
      <c r="B1779" t="inlineStr">
        <is>
          <t>LD3131.L763 P74 2003</t>
        </is>
      </c>
      <c r="C1779" t="inlineStr">
        <is>
          <t>0                      LD 3131000L  763                P  74          2003</t>
        </is>
      </c>
      <c r="D1779" t="inlineStr">
        <is>
          <t>Fire and ice : imagination and intellect in the Catholic tradition : the 2000 President's Institute on the Catholic Character at Loyola Marymount University / Mary K. McCullough, editor.</t>
        </is>
      </c>
      <c r="F1779" t="inlineStr">
        <is>
          <t>No</t>
        </is>
      </c>
      <c r="G1779" t="inlineStr">
        <is>
          <t>1</t>
        </is>
      </c>
      <c r="H1779" t="inlineStr">
        <is>
          <t>No</t>
        </is>
      </c>
      <c r="I1779" t="inlineStr">
        <is>
          <t>No</t>
        </is>
      </c>
      <c r="J1779" t="inlineStr">
        <is>
          <t>0</t>
        </is>
      </c>
      <c r="K1779" t="inlineStr">
        <is>
          <t>President's Institute on the Catholic Character of Loyola Marymount University (2000)</t>
        </is>
      </c>
      <c r="L1779" t="inlineStr">
        <is>
          <t>Scranton, PA : University of Scranton Press, c2003.</t>
        </is>
      </c>
      <c r="M1779" t="inlineStr">
        <is>
          <t>2003</t>
        </is>
      </c>
      <c r="O1779" t="inlineStr">
        <is>
          <t>eng</t>
        </is>
      </c>
      <c r="P1779" t="inlineStr">
        <is>
          <t>pau</t>
        </is>
      </c>
      <c r="R1779" t="inlineStr">
        <is>
          <t xml:space="preserve">LD </t>
        </is>
      </c>
      <c r="S1779" t="n">
        <v>3</v>
      </c>
      <c r="T1779" t="n">
        <v>3</v>
      </c>
      <c r="U1779" t="inlineStr">
        <is>
          <t>2004-10-11</t>
        </is>
      </c>
      <c r="V1779" t="inlineStr">
        <is>
          <t>2004-10-11</t>
        </is>
      </c>
      <c r="W1779" t="inlineStr">
        <is>
          <t>2004-03-15</t>
        </is>
      </c>
      <c r="X1779" t="inlineStr">
        <is>
          <t>2004-03-15</t>
        </is>
      </c>
      <c r="Y1779" t="n">
        <v>65</v>
      </c>
      <c r="Z1779" t="n">
        <v>61</v>
      </c>
      <c r="AA1779" t="n">
        <v>63</v>
      </c>
      <c r="AB1779" t="n">
        <v>1</v>
      </c>
      <c r="AC1779" t="n">
        <v>1</v>
      </c>
      <c r="AD1779" t="n">
        <v>10</v>
      </c>
      <c r="AE1779" t="n">
        <v>10</v>
      </c>
      <c r="AF1779" t="n">
        <v>2</v>
      </c>
      <c r="AG1779" t="n">
        <v>2</v>
      </c>
      <c r="AH1779" t="n">
        <v>2</v>
      </c>
      <c r="AI1779" t="n">
        <v>2</v>
      </c>
      <c r="AJ1779" t="n">
        <v>8</v>
      </c>
      <c r="AK1779" t="n">
        <v>8</v>
      </c>
      <c r="AL1779" t="n">
        <v>0</v>
      </c>
      <c r="AM1779" t="n">
        <v>0</v>
      </c>
      <c r="AN1779" t="n">
        <v>0</v>
      </c>
      <c r="AO1779" t="n">
        <v>0</v>
      </c>
      <c r="AP1779" t="inlineStr">
        <is>
          <t>No</t>
        </is>
      </c>
      <c r="AQ1779" t="inlineStr">
        <is>
          <t>Yes</t>
        </is>
      </c>
      <c r="AR1779">
        <f>HYPERLINK("http://catalog.hathitrust.org/Record/004367304","HathiTrust Record")</f>
        <v/>
      </c>
      <c r="AS1779">
        <f>HYPERLINK("https://creighton-primo.hosted.exlibrisgroup.com/primo-explore/search?tab=default_tab&amp;search_scope=EVERYTHING&amp;vid=01CRU&amp;lang=en_US&amp;offset=0&amp;query=any,contains,991004256209702656","Catalog Record")</f>
        <v/>
      </c>
      <c r="AT1779">
        <f>HYPERLINK("http://www.worldcat.org/oclc/52464583","WorldCat Record")</f>
        <v/>
      </c>
      <c r="AU1779" t="inlineStr">
        <is>
          <t>997373447:eng</t>
        </is>
      </c>
      <c r="AV1779" t="inlineStr">
        <is>
          <t>52464583</t>
        </is>
      </c>
      <c r="AW1779" t="inlineStr">
        <is>
          <t>991004256209702656</t>
        </is>
      </c>
      <c r="AX1779" t="inlineStr">
        <is>
          <t>991004256209702656</t>
        </is>
      </c>
      <c r="AY1779" t="inlineStr">
        <is>
          <t>2255010310002656</t>
        </is>
      </c>
      <c r="AZ1779" t="inlineStr">
        <is>
          <t>BOOK</t>
        </is>
      </c>
      <c r="BB1779" t="inlineStr">
        <is>
          <t>9781589660588</t>
        </is>
      </c>
      <c r="BC1779" t="inlineStr">
        <is>
          <t>32285004893524</t>
        </is>
      </c>
      <c r="BD1779" t="inlineStr">
        <is>
          <t>893722351</t>
        </is>
      </c>
    </row>
    <row r="1780">
      <c r="A1780" t="inlineStr">
        <is>
          <t>No</t>
        </is>
      </c>
      <c r="B1780" t="inlineStr">
        <is>
          <t>LD3231.M542 H3</t>
        </is>
      </c>
      <c r="C1780" t="inlineStr">
        <is>
          <t>0                      LD 3231000M  542                H  3</t>
        </is>
      </c>
      <c r="D1780" t="inlineStr">
        <is>
          <t>The story of Marquette University; an object lesson in the development of Catholic higher education.</t>
        </is>
      </c>
      <c r="F1780" t="inlineStr">
        <is>
          <t>No</t>
        </is>
      </c>
      <c r="G1780" t="inlineStr">
        <is>
          <t>1</t>
        </is>
      </c>
      <c r="H1780" t="inlineStr">
        <is>
          <t>No</t>
        </is>
      </c>
      <c r="I1780" t="inlineStr">
        <is>
          <t>No</t>
        </is>
      </c>
      <c r="J1780" t="inlineStr">
        <is>
          <t>0</t>
        </is>
      </c>
      <c r="K1780" t="inlineStr">
        <is>
          <t>Hamilton, Raphael N., 1892-</t>
        </is>
      </c>
      <c r="L1780" t="inlineStr">
        <is>
          <t>Milwaukee, Marquette University Press, 1953.</t>
        </is>
      </c>
      <c r="M1780" t="inlineStr">
        <is>
          <t>1953</t>
        </is>
      </c>
      <c r="O1780" t="inlineStr">
        <is>
          <t>eng</t>
        </is>
      </c>
      <c r="P1780" t="inlineStr">
        <is>
          <t>wiu</t>
        </is>
      </c>
      <c r="R1780" t="inlineStr">
        <is>
          <t xml:space="preserve">LD </t>
        </is>
      </c>
      <c r="S1780" t="n">
        <v>1</v>
      </c>
      <c r="T1780" t="n">
        <v>1</v>
      </c>
      <c r="U1780" t="inlineStr">
        <is>
          <t>2006-07-10</t>
        </is>
      </c>
      <c r="V1780" t="inlineStr">
        <is>
          <t>2006-07-10</t>
        </is>
      </c>
      <c r="W1780" t="inlineStr">
        <is>
          <t>1997-06-18</t>
        </is>
      </c>
      <c r="X1780" t="inlineStr">
        <is>
          <t>1997-06-18</t>
        </is>
      </c>
      <c r="Y1780" t="n">
        <v>155</v>
      </c>
      <c r="Z1780" t="n">
        <v>146</v>
      </c>
      <c r="AA1780" t="n">
        <v>157</v>
      </c>
      <c r="AB1780" t="n">
        <v>2</v>
      </c>
      <c r="AC1780" t="n">
        <v>2</v>
      </c>
      <c r="AD1780" t="n">
        <v>24</v>
      </c>
      <c r="AE1780" t="n">
        <v>24</v>
      </c>
      <c r="AF1780" t="n">
        <v>6</v>
      </c>
      <c r="AG1780" t="n">
        <v>6</v>
      </c>
      <c r="AH1780" t="n">
        <v>4</v>
      </c>
      <c r="AI1780" t="n">
        <v>4</v>
      </c>
      <c r="AJ1780" t="n">
        <v>20</v>
      </c>
      <c r="AK1780" t="n">
        <v>20</v>
      </c>
      <c r="AL1780" t="n">
        <v>1</v>
      </c>
      <c r="AM1780" t="n">
        <v>1</v>
      </c>
      <c r="AN1780" t="n">
        <v>1</v>
      </c>
      <c r="AO1780" t="n">
        <v>1</v>
      </c>
      <c r="AP1780" t="inlineStr">
        <is>
          <t>Yes</t>
        </is>
      </c>
      <c r="AQ1780" t="inlineStr">
        <is>
          <t>No</t>
        </is>
      </c>
      <c r="AR1780">
        <f>HYPERLINK("http://catalog.hathitrust.org/Record/001452029","HathiTrust Record")</f>
        <v/>
      </c>
      <c r="AS1780">
        <f>HYPERLINK("https://creighton-primo.hosted.exlibrisgroup.com/primo-explore/search?tab=default_tab&amp;search_scope=EVERYTHING&amp;vid=01CRU&amp;lang=en_US&amp;offset=0&amp;query=any,contains,991003508649702656","Catalog Record")</f>
        <v/>
      </c>
      <c r="AT1780">
        <f>HYPERLINK("http://www.worldcat.org/oclc/1061950","WorldCat Record")</f>
        <v/>
      </c>
      <c r="AU1780" t="inlineStr">
        <is>
          <t>392648904:eng</t>
        </is>
      </c>
      <c r="AV1780" t="inlineStr">
        <is>
          <t>1061950</t>
        </is>
      </c>
      <c r="AW1780" t="inlineStr">
        <is>
          <t>991003508649702656</t>
        </is>
      </c>
      <c r="AX1780" t="inlineStr">
        <is>
          <t>991003508649702656</t>
        </is>
      </c>
      <c r="AY1780" t="inlineStr">
        <is>
          <t>2256373700002656</t>
        </is>
      </c>
      <c r="AZ1780" t="inlineStr">
        <is>
          <t>BOOK</t>
        </is>
      </c>
      <c r="BC1780" t="inlineStr">
        <is>
          <t>32285002822491</t>
        </is>
      </c>
      <c r="BD1780" t="inlineStr">
        <is>
          <t>893336563</t>
        </is>
      </c>
    </row>
    <row r="1781">
      <c r="A1781" t="inlineStr">
        <is>
          <t>No</t>
        </is>
      </c>
      <c r="B1781" t="inlineStr">
        <is>
          <t>LD3668 .M3 1969</t>
        </is>
      </c>
      <c r="C1781" t="inlineStr">
        <is>
          <t>0                      LD 3668000M  3           1969</t>
        </is>
      </c>
      <c r="D1781" t="inlineStr">
        <is>
          <t>Centennial history of the University of Nebraska / [by] Robert N. Manley.</t>
        </is>
      </c>
      <c r="E1781" t="inlineStr">
        <is>
          <t>V. 1</t>
        </is>
      </c>
      <c r="F1781" t="inlineStr">
        <is>
          <t>Yes</t>
        </is>
      </c>
      <c r="G1781" t="inlineStr">
        <is>
          <t>1</t>
        </is>
      </c>
      <c r="H1781" t="inlineStr">
        <is>
          <t>No</t>
        </is>
      </c>
      <c r="I1781" t="inlineStr">
        <is>
          <t>No</t>
        </is>
      </c>
      <c r="J1781" t="inlineStr">
        <is>
          <t>0</t>
        </is>
      </c>
      <c r="K1781" t="inlineStr">
        <is>
          <t>Manley, Robert N.</t>
        </is>
      </c>
      <c r="L1781" t="inlineStr">
        <is>
          <t>Lincoln : University of Nebraska Press, [1969-73]</t>
        </is>
      </c>
      <c r="M1781" t="inlineStr">
        <is>
          <t>1969</t>
        </is>
      </c>
      <c r="O1781" t="inlineStr">
        <is>
          <t>eng</t>
        </is>
      </c>
      <c r="P1781" t="inlineStr">
        <is>
          <t>nbu</t>
        </is>
      </c>
      <c r="R1781" t="inlineStr">
        <is>
          <t xml:space="preserve">LD </t>
        </is>
      </c>
      <c r="S1781" t="n">
        <v>1</v>
      </c>
      <c r="T1781" t="n">
        <v>2</v>
      </c>
      <c r="U1781" t="inlineStr">
        <is>
          <t>2006-10-30</t>
        </is>
      </c>
      <c r="V1781" t="inlineStr">
        <is>
          <t>2006-10-30</t>
        </is>
      </c>
      <c r="W1781" t="inlineStr">
        <is>
          <t>2006-10-30</t>
        </is>
      </c>
      <c r="X1781" t="inlineStr">
        <is>
          <t>2006-10-30</t>
        </is>
      </c>
      <c r="Y1781" t="n">
        <v>245</v>
      </c>
      <c r="Z1781" t="n">
        <v>230</v>
      </c>
      <c r="AA1781" t="n">
        <v>233</v>
      </c>
      <c r="AB1781" t="n">
        <v>32</v>
      </c>
      <c r="AC1781" t="n">
        <v>33</v>
      </c>
      <c r="AD1781" t="n">
        <v>17</v>
      </c>
      <c r="AE1781" t="n">
        <v>18</v>
      </c>
      <c r="AF1781" t="n">
        <v>0</v>
      </c>
      <c r="AG1781" t="n">
        <v>0</v>
      </c>
      <c r="AH1781" t="n">
        <v>1</v>
      </c>
      <c r="AI1781" t="n">
        <v>1</v>
      </c>
      <c r="AJ1781" t="n">
        <v>2</v>
      </c>
      <c r="AK1781" t="n">
        <v>2</v>
      </c>
      <c r="AL1781" t="n">
        <v>14</v>
      </c>
      <c r="AM1781" t="n">
        <v>15</v>
      </c>
      <c r="AN1781" t="n">
        <v>0</v>
      </c>
      <c r="AO1781" t="n">
        <v>0</v>
      </c>
      <c r="AP1781" t="inlineStr">
        <is>
          <t>No</t>
        </is>
      </c>
      <c r="AQ1781" t="inlineStr">
        <is>
          <t>Yes</t>
        </is>
      </c>
      <c r="AR1781">
        <f>HYPERLINK("http://catalog.hathitrust.org/Record/000203066","HathiTrust Record")</f>
        <v/>
      </c>
      <c r="AS1781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1">
        <f>HYPERLINK("http://www.worldcat.org/oclc/4235","WorldCat Record")</f>
        <v/>
      </c>
      <c r="AU1781" t="inlineStr">
        <is>
          <t>1127721:eng</t>
        </is>
      </c>
      <c r="AV1781" t="inlineStr">
        <is>
          <t>4235</t>
        </is>
      </c>
      <c r="AW1781" t="inlineStr">
        <is>
          <t>991004961149702656</t>
        </is>
      </c>
      <c r="AX1781" t="inlineStr">
        <is>
          <t>991004961149702656</t>
        </is>
      </c>
      <c r="AY1781" t="inlineStr">
        <is>
          <t>2266203470002656</t>
        </is>
      </c>
      <c r="AZ1781" t="inlineStr">
        <is>
          <t>BOOK</t>
        </is>
      </c>
      <c r="BB1781" t="inlineStr">
        <is>
          <t>9780822016052</t>
        </is>
      </c>
      <c r="BC1781" t="inlineStr">
        <is>
          <t>32285005229900</t>
        </is>
      </c>
      <c r="BD1781" t="inlineStr">
        <is>
          <t>893430659</t>
        </is>
      </c>
    </row>
    <row r="1782">
      <c r="A1782" t="inlineStr">
        <is>
          <t>No</t>
        </is>
      </c>
      <c r="B1782" t="inlineStr">
        <is>
          <t>LD3668 .M3 1969</t>
        </is>
      </c>
      <c r="C1782" t="inlineStr">
        <is>
          <t>0                      LD 3668000M  3           1969</t>
        </is>
      </c>
      <c r="D1782" t="inlineStr">
        <is>
          <t>Centennial history of the University of Nebraska / [by] Robert N. Manley.</t>
        </is>
      </c>
      <c r="E1782" t="inlineStr">
        <is>
          <t>V. 2</t>
        </is>
      </c>
      <c r="F1782" t="inlineStr">
        <is>
          <t>Yes</t>
        </is>
      </c>
      <c r="G1782" t="inlineStr">
        <is>
          <t>1</t>
        </is>
      </c>
      <c r="H1782" t="inlineStr">
        <is>
          <t>No</t>
        </is>
      </c>
      <c r="I1782" t="inlineStr">
        <is>
          <t>No</t>
        </is>
      </c>
      <c r="J1782" t="inlineStr">
        <is>
          <t>0</t>
        </is>
      </c>
      <c r="K1782" t="inlineStr">
        <is>
          <t>Manley, Robert N.</t>
        </is>
      </c>
      <c r="L1782" t="inlineStr">
        <is>
          <t>Lincoln : University of Nebraska Press, [1969-73]</t>
        </is>
      </c>
      <c r="M1782" t="inlineStr">
        <is>
          <t>1969</t>
        </is>
      </c>
      <c r="O1782" t="inlineStr">
        <is>
          <t>eng</t>
        </is>
      </c>
      <c r="P1782" t="inlineStr">
        <is>
          <t>nbu</t>
        </is>
      </c>
      <c r="R1782" t="inlineStr">
        <is>
          <t xml:space="preserve">LD </t>
        </is>
      </c>
      <c r="S1782" t="n">
        <v>1</v>
      </c>
      <c r="T1782" t="n">
        <v>2</v>
      </c>
      <c r="U1782" t="inlineStr">
        <is>
          <t>2006-10-30</t>
        </is>
      </c>
      <c r="V1782" t="inlineStr">
        <is>
          <t>2006-10-30</t>
        </is>
      </c>
      <c r="W1782" t="inlineStr">
        <is>
          <t>2006-10-30</t>
        </is>
      </c>
      <c r="X1782" t="inlineStr">
        <is>
          <t>2006-10-30</t>
        </is>
      </c>
      <c r="Y1782" t="n">
        <v>245</v>
      </c>
      <c r="Z1782" t="n">
        <v>230</v>
      </c>
      <c r="AA1782" t="n">
        <v>233</v>
      </c>
      <c r="AB1782" t="n">
        <v>32</v>
      </c>
      <c r="AC1782" t="n">
        <v>33</v>
      </c>
      <c r="AD1782" t="n">
        <v>17</v>
      </c>
      <c r="AE1782" t="n">
        <v>18</v>
      </c>
      <c r="AF1782" t="n">
        <v>0</v>
      </c>
      <c r="AG1782" t="n">
        <v>0</v>
      </c>
      <c r="AH1782" t="n">
        <v>1</v>
      </c>
      <c r="AI1782" t="n">
        <v>1</v>
      </c>
      <c r="AJ1782" t="n">
        <v>2</v>
      </c>
      <c r="AK1782" t="n">
        <v>2</v>
      </c>
      <c r="AL1782" t="n">
        <v>14</v>
      </c>
      <c r="AM1782" t="n">
        <v>15</v>
      </c>
      <c r="AN1782" t="n">
        <v>0</v>
      </c>
      <c r="AO1782" t="n">
        <v>0</v>
      </c>
      <c r="AP1782" t="inlineStr">
        <is>
          <t>No</t>
        </is>
      </c>
      <c r="AQ1782" t="inlineStr">
        <is>
          <t>Yes</t>
        </is>
      </c>
      <c r="AR1782">
        <f>HYPERLINK("http://catalog.hathitrust.org/Record/000203066","HathiTrust Record")</f>
        <v/>
      </c>
      <c r="AS1782">
        <f>HYPERLINK("https://creighton-primo.hosted.exlibrisgroup.com/primo-explore/search?tab=default_tab&amp;search_scope=EVERYTHING&amp;vid=01CRU&amp;lang=en_US&amp;offset=0&amp;query=any,contains,991004961149702656","Catalog Record")</f>
        <v/>
      </c>
      <c r="AT1782">
        <f>HYPERLINK("http://www.worldcat.org/oclc/4235","WorldCat Record")</f>
        <v/>
      </c>
      <c r="AU1782" t="inlineStr">
        <is>
          <t>1127721:eng</t>
        </is>
      </c>
      <c r="AV1782" t="inlineStr">
        <is>
          <t>4235</t>
        </is>
      </c>
      <c r="AW1782" t="inlineStr">
        <is>
          <t>991004961149702656</t>
        </is>
      </c>
      <c r="AX1782" t="inlineStr">
        <is>
          <t>991004961149702656</t>
        </is>
      </c>
      <c r="AY1782" t="inlineStr">
        <is>
          <t>2266203470002656</t>
        </is>
      </c>
      <c r="AZ1782" t="inlineStr">
        <is>
          <t>BOOK</t>
        </is>
      </c>
      <c r="BB1782" t="inlineStr">
        <is>
          <t>9780822016052</t>
        </is>
      </c>
      <c r="BC1782" t="inlineStr">
        <is>
          <t>32285005229918</t>
        </is>
      </c>
      <c r="BD1782" t="inlineStr">
        <is>
          <t>893424388</t>
        </is>
      </c>
    </row>
    <row r="1783">
      <c r="A1783" t="inlineStr">
        <is>
          <t>No</t>
        </is>
      </c>
      <c r="B1783" t="inlineStr">
        <is>
          <t>LD4112.65.S65 O63 2001</t>
        </is>
      </c>
      <c r="C1783" t="inlineStr">
        <is>
          <t>0                      LD 4112650S  65                 O  63          2001</t>
        </is>
      </c>
      <c r="D1783" t="inlineStr">
        <is>
          <t>Edward Sorin / Marvin R. O'Connell.</t>
        </is>
      </c>
      <c r="F1783" t="inlineStr">
        <is>
          <t>No</t>
        </is>
      </c>
      <c r="G1783" t="inlineStr">
        <is>
          <t>1</t>
        </is>
      </c>
      <c r="H1783" t="inlineStr">
        <is>
          <t>No</t>
        </is>
      </c>
      <c r="I1783" t="inlineStr">
        <is>
          <t>No</t>
        </is>
      </c>
      <c r="J1783" t="inlineStr">
        <is>
          <t>0</t>
        </is>
      </c>
      <c r="K1783" t="inlineStr">
        <is>
          <t>O'Connell, Marvin R., 1930-2016.</t>
        </is>
      </c>
      <c r="L1783" t="inlineStr">
        <is>
          <t>Notre Dame, Ind. : University of Notre Dame Press, c2001.</t>
        </is>
      </c>
      <c r="M1783" t="inlineStr">
        <is>
          <t>2001</t>
        </is>
      </c>
      <c r="O1783" t="inlineStr">
        <is>
          <t>eng</t>
        </is>
      </c>
      <c r="P1783" t="inlineStr">
        <is>
          <t>inu</t>
        </is>
      </c>
      <c r="R1783" t="inlineStr">
        <is>
          <t xml:space="preserve">LD </t>
        </is>
      </c>
      <c r="S1783" t="n">
        <v>1</v>
      </c>
      <c r="T1783" t="n">
        <v>1</v>
      </c>
      <c r="U1783" t="inlineStr">
        <is>
          <t>2002-03-25</t>
        </is>
      </c>
      <c r="V1783" t="inlineStr">
        <is>
          <t>2002-03-25</t>
        </is>
      </c>
      <c r="W1783" t="inlineStr">
        <is>
          <t>2002-02-27</t>
        </is>
      </c>
      <c r="X1783" t="inlineStr">
        <is>
          <t>2002-02-27</t>
        </is>
      </c>
      <c r="Y1783" t="n">
        <v>202</v>
      </c>
      <c r="Z1783" t="n">
        <v>190</v>
      </c>
      <c r="AA1783" t="n">
        <v>196</v>
      </c>
      <c r="AB1783" t="n">
        <v>1</v>
      </c>
      <c r="AC1783" t="n">
        <v>1</v>
      </c>
      <c r="AD1783" t="n">
        <v>13</v>
      </c>
      <c r="AE1783" t="n">
        <v>13</v>
      </c>
      <c r="AF1783" t="n">
        <v>4</v>
      </c>
      <c r="AG1783" t="n">
        <v>4</v>
      </c>
      <c r="AH1783" t="n">
        <v>4</v>
      </c>
      <c r="AI1783" t="n">
        <v>4</v>
      </c>
      <c r="AJ1783" t="n">
        <v>8</v>
      </c>
      <c r="AK1783" t="n">
        <v>8</v>
      </c>
      <c r="AL1783" t="n">
        <v>0</v>
      </c>
      <c r="AM1783" t="n">
        <v>0</v>
      </c>
      <c r="AN1783" t="n">
        <v>0</v>
      </c>
      <c r="AO1783" t="n">
        <v>0</v>
      </c>
      <c r="AP1783" t="inlineStr">
        <is>
          <t>No</t>
        </is>
      </c>
      <c r="AQ1783" t="inlineStr">
        <is>
          <t>Yes</t>
        </is>
      </c>
      <c r="AR1783">
        <f>HYPERLINK("http://catalog.hathitrust.org/Record/004219873","HathiTrust Record")</f>
        <v/>
      </c>
      <c r="AS1783">
        <f>HYPERLINK("https://creighton-primo.hosted.exlibrisgroup.com/primo-explore/search?tab=default_tab&amp;search_scope=EVERYTHING&amp;vid=01CRU&amp;lang=en_US&amp;offset=0&amp;query=any,contains,991003752629702656","Catalog Record")</f>
        <v/>
      </c>
      <c r="AT1783">
        <f>HYPERLINK("http://www.worldcat.org/oclc/46884132","WorldCat Record")</f>
        <v/>
      </c>
      <c r="AU1783" t="inlineStr">
        <is>
          <t>36126206:eng</t>
        </is>
      </c>
      <c r="AV1783" t="inlineStr">
        <is>
          <t>46884132</t>
        </is>
      </c>
      <c r="AW1783" t="inlineStr">
        <is>
          <t>991003752629702656</t>
        </is>
      </c>
      <c r="AX1783" t="inlineStr">
        <is>
          <t>991003752629702656</t>
        </is>
      </c>
      <c r="AY1783" t="inlineStr">
        <is>
          <t>2271999200002656</t>
        </is>
      </c>
      <c r="AZ1783" t="inlineStr">
        <is>
          <t>BOOK</t>
        </is>
      </c>
      <c r="BB1783" t="inlineStr">
        <is>
          <t>9780268027599</t>
        </is>
      </c>
      <c r="BC1783" t="inlineStr">
        <is>
          <t>32285004458377</t>
        </is>
      </c>
      <c r="BD1783" t="inlineStr">
        <is>
          <t>893234529</t>
        </is>
      </c>
    </row>
    <row r="1784">
      <c r="A1784" t="inlineStr">
        <is>
          <t>No</t>
        </is>
      </c>
      <c r="B1784" t="inlineStr">
        <is>
          <t>LD4113 .S67 2001</t>
        </is>
      </c>
      <c r="C1784" t="inlineStr">
        <is>
          <t>0                      LD 4113000S  67          2001</t>
        </is>
      </c>
      <c r="D1784" t="inlineStr">
        <is>
          <t>Chronicles of Notre Dame du Lac / Edward Sorin ; translated by John M. Toohey ; edited and annotated by James T. Connelly.</t>
        </is>
      </c>
      <c r="F1784" t="inlineStr">
        <is>
          <t>No</t>
        </is>
      </c>
      <c r="G1784" t="inlineStr">
        <is>
          <t>1</t>
        </is>
      </c>
      <c r="H1784" t="inlineStr">
        <is>
          <t>No</t>
        </is>
      </c>
      <c r="I1784" t="inlineStr">
        <is>
          <t>No</t>
        </is>
      </c>
      <c r="J1784" t="inlineStr">
        <is>
          <t>0</t>
        </is>
      </c>
      <c r="K1784" t="inlineStr">
        <is>
          <t>Sorin, Edward.</t>
        </is>
      </c>
      <c r="L1784" t="inlineStr">
        <is>
          <t>Notre Dame, Ind. : University of Notre Dame Press, 2001.</t>
        </is>
      </c>
      <c r="M1784" t="inlineStr">
        <is>
          <t>2001</t>
        </is>
      </c>
      <c r="O1784" t="inlineStr">
        <is>
          <t>eng</t>
        </is>
      </c>
      <c r="P1784" t="inlineStr">
        <is>
          <t>inu</t>
        </is>
      </c>
      <c r="R1784" t="inlineStr">
        <is>
          <t xml:space="preserve">LD </t>
        </is>
      </c>
      <c r="S1784" t="n">
        <v>2</v>
      </c>
      <c r="T1784" t="n">
        <v>2</v>
      </c>
      <c r="U1784" t="inlineStr">
        <is>
          <t>2002-04-24</t>
        </is>
      </c>
      <c r="V1784" t="inlineStr">
        <is>
          <t>2002-04-24</t>
        </is>
      </c>
      <c r="W1784" t="inlineStr">
        <is>
          <t>2002-03-18</t>
        </is>
      </c>
      <c r="X1784" t="inlineStr">
        <is>
          <t>2002-03-18</t>
        </is>
      </c>
      <c r="Y1784" t="n">
        <v>14</v>
      </c>
      <c r="Z1784" t="n">
        <v>12</v>
      </c>
      <c r="AA1784" t="n">
        <v>138</v>
      </c>
      <c r="AB1784" t="n">
        <v>1</v>
      </c>
      <c r="AC1784" t="n">
        <v>2</v>
      </c>
      <c r="AD1784" t="n">
        <v>1</v>
      </c>
      <c r="AE1784" t="n">
        <v>13</v>
      </c>
      <c r="AF1784" t="n">
        <v>0</v>
      </c>
      <c r="AG1784" t="n">
        <v>4</v>
      </c>
      <c r="AH1784" t="n">
        <v>1</v>
      </c>
      <c r="AI1784" t="n">
        <v>3</v>
      </c>
      <c r="AJ1784" t="n">
        <v>0</v>
      </c>
      <c r="AK1784" t="n">
        <v>9</v>
      </c>
      <c r="AL1784" t="n">
        <v>0</v>
      </c>
      <c r="AM1784" t="n">
        <v>1</v>
      </c>
      <c r="AN1784" t="n">
        <v>0</v>
      </c>
      <c r="AO1784" t="n">
        <v>0</v>
      </c>
      <c r="AP1784" t="inlineStr">
        <is>
          <t>No</t>
        </is>
      </c>
      <c r="AQ1784" t="inlineStr">
        <is>
          <t>No</t>
        </is>
      </c>
      <c r="AS1784">
        <f>HYPERLINK("https://creighton-primo.hosted.exlibrisgroup.com/primo-explore/search?tab=default_tab&amp;search_scope=EVERYTHING&amp;vid=01CRU&amp;lang=en_US&amp;offset=0&amp;query=any,contains,991003764789702656","Catalog Record")</f>
        <v/>
      </c>
      <c r="AT1784">
        <f>HYPERLINK("http://www.worldcat.org/oclc/50094714","WorldCat Record")</f>
        <v/>
      </c>
      <c r="AU1784" t="inlineStr">
        <is>
          <t>994996:eng</t>
        </is>
      </c>
      <c r="AV1784" t="inlineStr">
        <is>
          <t>50094714</t>
        </is>
      </c>
      <c r="AW1784" t="inlineStr">
        <is>
          <t>991003764789702656</t>
        </is>
      </c>
      <c r="AX1784" t="inlineStr">
        <is>
          <t>991003764789702656</t>
        </is>
      </c>
      <c r="AY1784" t="inlineStr">
        <is>
          <t>2270885160002656</t>
        </is>
      </c>
      <c r="AZ1784" t="inlineStr">
        <is>
          <t>BOOK</t>
        </is>
      </c>
      <c r="BB1784" t="inlineStr">
        <is>
          <t>9780268022709</t>
        </is>
      </c>
      <c r="BC1784" t="inlineStr">
        <is>
          <t>32285004461561</t>
        </is>
      </c>
      <c r="BD1784" t="inlineStr">
        <is>
          <t>893810156</t>
        </is>
      </c>
    </row>
    <row r="1785">
      <c r="A1785" t="inlineStr">
        <is>
          <t>No</t>
        </is>
      </c>
      <c r="B1785" t="inlineStr">
        <is>
          <t>LD473 .D66 1990</t>
        </is>
      </c>
      <c r="C1785" t="inlineStr">
        <is>
          <t>0                      LD 0473000D  66          1990</t>
        </is>
      </c>
      <c r="D1785" t="inlineStr">
        <is>
          <t>History of Boston College : from the beginnings to 1990 / Charles F. Donovan, David R. Dunigan, Paul A. FitzGerald.</t>
        </is>
      </c>
      <c r="F1785" t="inlineStr">
        <is>
          <t>No</t>
        </is>
      </c>
      <c r="G1785" t="inlineStr">
        <is>
          <t>1</t>
        </is>
      </c>
      <c r="H1785" t="inlineStr">
        <is>
          <t>No</t>
        </is>
      </c>
      <c r="I1785" t="inlineStr">
        <is>
          <t>No</t>
        </is>
      </c>
      <c r="J1785" t="inlineStr">
        <is>
          <t>0</t>
        </is>
      </c>
      <c r="K1785" t="inlineStr">
        <is>
          <t>Donovan, Charles F. (Charles Francis), 1912-</t>
        </is>
      </c>
      <c r="L1785" t="inlineStr">
        <is>
          <t>Chestnut Hill, Mass. : University Press of Boston College, c1990.</t>
        </is>
      </c>
      <c r="M1785" t="inlineStr">
        <is>
          <t>1990</t>
        </is>
      </c>
      <c r="O1785" t="inlineStr">
        <is>
          <t>eng</t>
        </is>
      </c>
      <c r="P1785" t="inlineStr">
        <is>
          <t>mau</t>
        </is>
      </c>
      <c r="R1785" t="inlineStr">
        <is>
          <t xml:space="preserve">LD </t>
        </is>
      </c>
      <c r="S1785" t="n">
        <v>1</v>
      </c>
      <c r="T1785" t="n">
        <v>1</v>
      </c>
      <c r="U1785" t="inlineStr">
        <is>
          <t>2003-08-19</t>
        </is>
      </c>
      <c r="V1785" t="inlineStr">
        <is>
          <t>2003-08-19</t>
        </is>
      </c>
      <c r="W1785" t="inlineStr">
        <is>
          <t>2003-08-19</t>
        </is>
      </c>
      <c r="X1785" t="inlineStr">
        <is>
          <t>2003-08-19</t>
        </is>
      </c>
      <c r="Y1785" t="n">
        <v>58</v>
      </c>
      <c r="Z1785" t="n">
        <v>54</v>
      </c>
      <c r="AA1785" t="n">
        <v>70</v>
      </c>
      <c r="AB1785" t="n">
        <v>1</v>
      </c>
      <c r="AC1785" t="n">
        <v>2</v>
      </c>
      <c r="AD1785" t="n">
        <v>10</v>
      </c>
      <c r="AE1785" t="n">
        <v>12</v>
      </c>
      <c r="AF1785" t="n">
        <v>4</v>
      </c>
      <c r="AG1785" t="n">
        <v>4</v>
      </c>
      <c r="AH1785" t="n">
        <v>1</v>
      </c>
      <c r="AI1785" t="n">
        <v>2</v>
      </c>
      <c r="AJ1785" t="n">
        <v>10</v>
      </c>
      <c r="AK1785" t="n">
        <v>10</v>
      </c>
      <c r="AL1785" t="n">
        <v>0</v>
      </c>
      <c r="AM1785" t="n">
        <v>1</v>
      </c>
      <c r="AN1785" t="n">
        <v>0</v>
      </c>
      <c r="AO1785" t="n">
        <v>0</v>
      </c>
      <c r="AP1785" t="inlineStr">
        <is>
          <t>Yes</t>
        </is>
      </c>
      <c r="AQ1785" t="inlineStr">
        <is>
          <t>No</t>
        </is>
      </c>
      <c r="AR1785">
        <f>HYPERLINK("http://catalog.hathitrust.org/Record/007390819","HathiTrust Record")</f>
        <v/>
      </c>
      <c r="AS1785">
        <f>HYPERLINK("https://creighton-primo.hosted.exlibrisgroup.com/primo-explore/search?tab=default_tab&amp;search_scope=EVERYTHING&amp;vid=01CRU&amp;lang=en_US&amp;offset=0&amp;query=any,contains,991004106829702656","Catalog Record")</f>
        <v/>
      </c>
      <c r="AT1785">
        <f>HYPERLINK("http://www.worldcat.org/oclc/22446270","WorldCat Record")</f>
        <v/>
      </c>
      <c r="AU1785" t="inlineStr">
        <is>
          <t>24622676:eng</t>
        </is>
      </c>
      <c r="AV1785" t="inlineStr">
        <is>
          <t>22446270</t>
        </is>
      </c>
      <c r="AW1785" t="inlineStr">
        <is>
          <t>991004106829702656</t>
        </is>
      </c>
      <c r="AX1785" t="inlineStr">
        <is>
          <t>991004106829702656</t>
        </is>
      </c>
      <c r="AY1785" t="inlineStr">
        <is>
          <t>2266284820002656</t>
        </is>
      </c>
      <c r="AZ1785" t="inlineStr">
        <is>
          <t>BOOK</t>
        </is>
      </c>
      <c r="BB1785" t="inlineStr">
        <is>
          <t>9780962593406</t>
        </is>
      </c>
      <c r="BC1785" t="inlineStr">
        <is>
          <t>32285004759832</t>
        </is>
      </c>
      <c r="BD1785" t="inlineStr">
        <is>
          <t>893794478</t>
        </is>
      </c>
    </row>
    <row r="1786">
      <c r="A1786" t="inlineStr">
        <is>
          <t>No</t>
        </is>
      </c>
      <c r="B1786" t="inlineStr">
        <is>
          <t>LD474.5 .D79 1988</t>
        </is>
      </c>
      <c r="C1786" t="inlineStr">
        <is>
          <t>0                      LD 0474500D  79          1988</t>
        </is>
      </c>
      <c r="D1786" t="inlineStr">
        <is>
          <t>Boston College : photography / by Dan Dry.</t>
        </is>
      </c>
      <c r="F1786" t="inlineStr">
        <is>
          <t>No</t>
        </is>
      </c>
      <c r="G1786" t="inlineStr">
        <is>
          <t>1</t>
        </is>
      </c>
      <c r="H1786" t="inlineStr">
        <is>
          <t>No</t>
        </is>
      </c>
      <c r="I1786" t="inlineStr">
        <is>
          <t>No</t>
        </is>
      </c>
      <c r="J1786" t="inlineStr">
        <is>
          <t>0</t>
        </is>
      </c>
      <c r="K1786" t="inlineStr">
        <is>
          <t>Dry, Dan.</t>
        </is>
      </c>
      <c r="L1786" t="inlineStr">
        <is>
          <t>Louisville : Harmony House, [c1988]</t>
        </is>
      </c>
      <c r="M1786" t="inlineStr">
        <is>
          <t>1988</t>
        </is>
      </c>
      <c r="N1786" t="inlineStr">
        <is>
          <t>1st ed.</t>
        </is>
      </c>
      <c r="O1786" t="inlineStr">
        <is>
          <t>eng</t>
        </is>
      </c>
      <c r="P1786" t="inlineStr">
        <is>
          <t>kyu</t>
        </is>
      </c>
      <c r="R1786" t="inlineStr">
        <is>
          <t xml:space="preserve">LD </t>
        </is>
      </c>
      <c r="S1786" t="n">
        <v>0</v>
      </c>
      <c r="T1786" t="n">
        <v>0</v>
      </c>
      <c r="U1786" t="inlineStr">
        <is>
          <t>2010-07-21</t>
        </is>
      </c>
      <c r="V1786" t="inlineStr">
        <is>
          <t>2010-07-21</t>
        </is>
      </c>
      <c r="W1786" t="inlineStr">
        <is>
          <t>1994-11-17</t>
        </is>
      </c>
      <c r="X1786" t="inlineStr">
        <is>
          <t>1994-11-17</t>
        </is>
      </c>
      <c r="Y1786" t="n">
        <v>10</v>
      </c>
      <c r="Z1786" t="n">
        <v>9</v>
      </c>
      <c r="AA1786" t="n">
        <v>9</v>
      </c>
      <c r="AB1786" t="n">
        <v>1</v>
      </c>
      <c r="AC1786" t="n">
        <v>1</v>
      </c>
      <c r="AD1786" t="n">
        <v>1</v>
      </c>
      <c r="AE1786" t="n">
        <v>1</v>
      </c>
      <c r="AF1786" t="n">
        <v>0</v>
      </c>
      <c r="AG1786" t="n">
        <v>0</v>
      </c>
      <c r="AH1786" t="n">
        <v>0</v>
      </c>
      <c r="AI1786" t="n">
        <v>0</v>
      </c>
      <c r="AJ1786" t="n">
        <v>1</v>
      </c>
      <c r="AK1786" t="n">
        <v>1</v>
      </c>
      <c r="AL1786" t="n">
        <v>0</v>
      </c>
      <c r="AM1786" t="n">
        <v>0</v>
      </c>
      <c r="AN1786" t="n">
        <v>0</v>
      </c>
      <c r="AO1786" t="n">
        <v>0</v>
      </c>
      <c r="AP1786" t="inlineStr">
        <is>
          <t>No</t>
        </is>
      </c>
      <c r="AQ1786" t="inlineStr">
        <is>
          <t>No</t>
        </is>
      </c>
      <c r="AS1786">
        <f>HYPERLINK("https://creighton-primo.hosted.exlibrisgroup.com/primo-explore/search?tab=default_tab&amp;search_scope=EVERYTHING&amp;vid=01CRU&amp;lang=en_US&amp;offset=0&amp;query=any,contains,991001485959702656","Catalog Record")</f>
        <v/>
      </c>
      <c r="AT1786">
        <f>HYPERLINK("http://www.worldcat.org/oclc/19659350","WorldCat Record")</f>
        <v/>
      </c>
      <c r="AU1786" t="inlineStr">
        <is>
          <t>21248778:eng</t>
        </is>
      </c>
      <c r="AV1786" t="inlineStr">
        <is>
          <t>19659350</t>
        </is>
      </c>
      <c r="AW1786" t="inlineStr">
        <is>
          <t>991001485959702656</t>
        </is>
      </c>
      <c r="AX1786" t="inlineStr">
        <is>
          <t>991001485959702656</t>
        </is>
      </c>
      <c r="AY1786" t="inlineStr">
        <is>
          <t>2263319000002656</t>
        </is>
      </c>
      <c r="AZ1786" t="inlineStr">
        <is>
          <t>BOOK</t>
        </is>
      </c>
      <c r="BB1786" t="inlineStr">
        <is>
          <t>9780916509286</t>
        </is>
      </c>
      <c r="BC1786" t="inlineStr">
        <is>
          <t>32285001971182</t>
        </is>
      </c>
      <c r="BD1786" t="inlineStr">
        <is>
          <t>893866269</t>
        </is>
      </c>
    </row>
    <row r="1787">
      <c r="A1787" t="inlineStr">
        <is>
          <t>No</t>
        </is>
      </c>
      <c r="B1787" t="inlineStr">
        <is>
          <t>LD4814.S72 C66 2000</t>
        </is>
      </c>
      <c r="C1787" t="inlineStr">
        <is>
          <t>0                      LD 4814000S  72                 C  66          2000</t>
        </is>
      </c>
      <c r="D1787" t="inlineStr">
        <is>
          <t>Saint Joseph's : Philadelphia's Jesuit university : 150 years / David R. Contosta.</t>
        </is>
      </c>
      <c r="F1787" t="inlineStr">
        <is>
          <t>No</t>
        </is>
      </c>
      <c r="G1787" t="inlineStr">
        <is>
          <t>1</t>
        </is>
      </c>
      <c r="H1787" t="inlineStr">
        <is>
          <t>No</t>
        </is>
      </c>
      <c r="I1787" t="inlineStr">
        <is>
          <t>No</t>
        </is>
      </c>
      <c r="J1787" t="inlineStr">
        <is>
          <t>0</t>
        </is>
      </c>
      <c r="K1787" t="inlineStr">
        <is>
          <t>Contosta, David R.</t>
        </is>
      </c>
      <c r="L1787" t="inlineStr">
        <is>
          <t>Philadelphia : Saint Joseph's University Press, c2000.</t>
        </is>
      </c>
      <c r="M1787" t="inlineStr">
        <is>
          <t>2000</t>
        </is>
      </c>
      <c r="O1787" t="inlineStr">
        <is>
          <t>eng</t>
        </is>
      </c>
      <c r="P1787" t="inlineStr">
        <is>
          <t>pau</t>
        </is>
      </c>
      <c r="R1787" t="inlineStr">
        <is>
          <t xml:space="preserve">LD </t>
        </is>
      </c>
      <c r="S1787" t="n">
        <v>1</v>
      </c>
      <c r="T1787" t="n">
        <v>1</v>
      </c>
      <c r="U1787" t="inlineStr">
        <is>
          <t>2001-08-30</t>
        </is>
      </c>
      <c r="V1787" t="inlineStr">
        <is>
          <t>2001-08-30</t>
        </is>
      </c>
      <c r="W1787" t="inlineStr">
        <is>
          <t>2001-08-30</t>
        </is>
      </c>
      <c r="X1787" t="inlineStr">
        <is>
          <t>2001-08-30</t>
        </is>
      </c>
      <c r="Y1787" t="n">
        <v>58</v>
      </c>
      <c r="Z1787" t="n">
        <v>57</v>
      </c>
      <c r="AA1787" t="n">
        <v>59</v>
      </c>
      <c r="AB1787" t="n">
        <v>1</v>
      </c>
      <c r="AC1787" t="n">
        <v>1</v>
      </c>
      <c r="AD1787" t="n">
        <v>9</v>
      </c>
      <c r="AE1787" t="n">
        <v>9</v>
      </c>
      <c r="AF1787" t="n">
        <v>2</v>
      </c>
      <c r="AG1787" t="n">
        <v>2</v>
      </c>
      <c r="AH1787" t="n">
        <v>3</v>
      </c>
      <c r="AI1787" t="n">
        <v>3</v>
      </c>
      <c r="AJ1787" t="n">
        <v>8</v>
      </c>
      <c r="AK1787" t="n">
        <v>8</v>
      </c>
      <c r="AL1787" t="n">
        <v>0</v>
      </c>
      <c r="AM1787" t="n">
        <v>0</v>
      </c>
      <c r="AN1787" t="n">
        <v>0</v>
      </c>
      <c r="AO1787" t="n">
        <v>0</v>
      </c>
      <c r="AP1787" t="inlineStr">
        <is>
          <t>No</t>
        </is>
      </c>
      <c r="AQ1787" t="inlineStr">
        <is>
          <t>Yes</t>
        </is>
      </c>
      <c r="AR1787">
        <f>HYPERLINK("http://catalog.hathitrust.org/Record/003554520","HathiTrust Record")</f>
        <v/>
      </c>
      <c r="AS1787">
        <f>HYPERLINK("https://creighton-primo.hosted.exlibrisgroup.com/primo-explore/search?tab=default_tab&amp;search_scope=EVERYTHING&amp;vid=01CRU&amp;lang=en_US&amp;offset=0&amp;query=any,contains,991003612229702656","Catalog Record")</f>
        <v/>
      </c>
      <c r="AT1787">
        <f>HYPERLINK("http://www.worldcat.org/oclc/44313252","WorldCat Record")</f>
        <v/>
      </c>
      <c r="AU1787" t="inlineStr">
        <is>
          <t>4160476330:eng</t>
        </is>
      </c>
      <c r="AV1787" t="inlineStr">
        <is>
          <t>44313252</t>
        </is>
      </c>
      <c r="AW1787" t="inlineStr">
        <is>
          <t>991003612229702656</t>
        </is>
      </c>
      <c r="AX1787" t="inlineStr">
        <is>
          <t>991003612229702656</t>
        </is>
      </c>
      <c r="AY1787" t="inlineStr">
        <is>
          <t>2257028490002656</t>
        </is>
      </c>
      <c r="AZ1787" t="inlineStr">
        <is>
          <t>BOOK</t>
        </is>
      </c>
      <c r="BB1787" t="inlineStr">
        <is>
          <t>9780916101374</t>
        </is>
      </c>
      <c r="BC1787" t="inlineStr">
        <is>
          <t>32285004383542</t>
        </is>
      </c>
      <c r="BD1787" t="inlineStr">
        <is>
          <t>893874960</t>
        </is>
      </c>
    </row>
    <row r="1788">
      <c r="A1788" t="inlineStr">
        <is>
          <t>No</t>
        </is>
      </c>
      <c r="B1788" t="inlineStr">
        <is>
          <t>LD4817.S52 A3</t>
        </is>
      </c>
      <c r="C1788" t="inlineStr">
        <is>
          <t>0                      LD 4817000S  52                 A  3</t>
        </is>
      </c>
      <c r="D1788" t="inlineStr">
        <is>
          <t>Saint Louis University : 150 years / Rita G. Adams, William C. Einspanier, B.T. Lukaszewski.</t>
        </is>
      </c>
      <c r="F1788" t="inlineStr">
        <is>
          <t>No</t>
        </is>
      </c>
      <c r="G1788" t="inlineStr">
        <is>
          <t>1</t>
        </is>
      </c>
      <c r="H1788" t="inlineStr">
        <is>
          <t>No</t>
        </is>
      </c>
      <c r="I1788" t="inlineStr">
        <is>
          <t>No</t>
        </is>
      </c>
      <c r="J1788" t="inlineStr">
        <is>
          <t>0</t>
        </is>
      </c>
      <c r="K1788" t="inlineStr">
        <is>
          <t>Adams, Rita Grace, 1934-</t>
        </is>
      </c>
      <c r="L1788" t="inlineStr">
        <is>
          <t>[St. Louis : St. Louis University, 1968?]</t>
        </is>
      </c>
      <c r="M1788" t="inlineStr">
        <is>
          <t>1968</t>
        </is>
      </c>
      <c r="O1788" t="inlineStr">
        <is>
          <t>eng</t>
        </is>
      </c>
      <c r="P1788" t="inlineStr">
        <is>
          <t>mou</t>
        </is>
      </c>
      <c r="R1788" t="inlineStr">
        <is>
          <t xml:space="preserve">LD </t>
        </is>
      </c>
      <c r="S1788" t="n">
        <v>1</v>
      </c>
      <c r="T1788" t="n">
        <v>1</v>
      </c>
      <c r="U1788" t="inlineStr">
        <is>
          <t>1998-04-19</t>
        </is>
      </c>
      <c r="V1788" t="inlineStr">
        <is>
          <t>1998-04-19</t>
        </is>
      </c>
      <c r="W1788" t="inlineStr">
        <is>
          <t>1997-06-18</t>
        </is>
      </c>
      <c r="X1788" t="inlineStr">
        <is>
          <t>1997-06-18</t>
        </is>
      </c>
      <c r="Y1788" t="n">
        <v>43</v>
      </c>
      <c r="Z1788" t="n">
        <v>39</v>
      </c>
      <c r="AA1788" t="n">
        <v>39</v>
      </c>
      <c r="AB1788" t="n">
        <v>1</v>
      </c>
      <c r="AC1788" t="n">
        <v>1</v>
      </c>
      <c r="AD1788" t="n">
        <v>11</v>
      </c>
      <c r="AE1788" t="n">
        <v>11</v>
      </c>
      <c r="AF1788" t="n">
        <v>3</v>
      </c>
      <c r="AG1788" t="n">
        <v>3</v>
      </c>
      <c r="AH1788" t="n">
        <v>2</v>
      </c>
      <c r="AI1788" t="n">
        <v>2</v>
      </c>
      <c r="AJ1788" t="n">
        <v>10</v>
      </c>
      <c r="AK1788" t="n">
        <v>10</v>
      </c>
      <c r="AL1788" t="n">
        <v>0</v>
      </c>
      <c r="AM1788" t="n">
        <v>0</v>
      </c>
      <c r="AN1788" t="n">
        <v>0</v>
      </c>
      <c r="AO1788" t="n">
        <v>0</v>
      </c>
      <c r="AP1788" t="inlineStr">
        <is>
          <t>No</t>
        </is>
      </c>
      <c r="AQ1788" t="inlineStr">
        <is>
          <t>No</t>
        </is>
      </c>
      <c r="AS1788">
        <f>HYPERLINK("https://creighton-primo.hosted.exlibrisgroup.com/primo-explore/search?tab=default_tab&amp;search_scope=EVERYTHING&amp;vid=01CRU&amp;lang=en_US&amp;offset=0&amp;query=any,contains,991004692269702656","Catalog Record")</f>
        <v/>
      </c>
      <c r="AT1788">
        <f>HYPERLINK("http://www.worldcat.org/oclc/4622736","WorldCat Record")</f>
        <v/>
      </c>
      <c r="AU1788" t="inlineStr">
        <is>
          <t>1012320645:eng</t>
        </is>
      </c>
      <c r="AV1788" t="inlineStr">
        <is>
          <t>4622736</t>
        </is>
      </c>
      <c r="AW1788" t="inlineStr">
        <is>
          <t>991004692269702656</t>
        </is>
      </c>
      <c r="AX1788" t="inlineStr">
        <is>
          <t>991004692269702656</t>
        </is>
      </c>
      <c r="AY1788" t="inlineStr">
        <is>
          <t>2255909220002656</t>
        </is>
      </c>
      <c r="AZ1788" t="inlineStr">
        <is>
          <t>BOOK</t>
        </is>
      </c>
      <c r="BC1788" t="inlineStr">
        <is>
          <t>32285002822673</t>
        </is>
      </c>
      <c r="BD1788" t="inlineStr">
        <is>
          <t>893331918</t>
        </is>
      </c>
    </row>
    <row r="1789">
      <c r="A1789" t="inlineStr">
        <is>
          <t>No</t>
        </is>
      </c>
      <c r="B1789" t="inlineStr">
        <is>
          <t>LD4817.S52 F3</t>
        </is>
      </c>
      <c r="C1789" t="inlineStr">
        <is>
          <t>0                      LD 4817000S  52                 F  3</t>
        </is>
      </c>
      <c r="D1789" t="inlineStr">
        <is>
          <t>Better the dream ; Saint Louis : university &amp; community 1818-1968 / William Barbey Faherty.</t>
        </is>
      </c>
      <c r="F1789" t="inlineStr">
        <is>
          <t>No</t>
        </is>
      </c>
      <c r="G1789" t="inlineStr">
        <is>
          <t>1</t>
        </is>
      </c>
      <c r="H1789" t="inlineStr">
        <is>
          <t>No</t>
        </is>
      </c>
      <c r="I1789" t="inlineStr">
        <is>
          <t>No</t>
        </is>
      </c>
      <c r="J1789" t="inlineStr">
        <is>
          <t>0</t>
        </is>
      </c>
      <c r="K1789" t="inlineStr">
        <is>
          <t>Faherty, William Barnaby, 1914-2011.</t>
        </is>
      </c>
      <c r="L1789" t="inlineStr">
        <is>
          <t>[St. Louis] : St. Louis University, 1968.</t>
        </is>
      </c>
      <c r="M1789" t="inlineStr">
        <is>
          <t>1968</t>
        </is>
      </c>
      <c r="N1789" t="inlineStr">
        <is>
          <t>A sesquicentennial ed.</t>
        </is>
      </c>
      <c r="O1789" t="inlineStr">
        <is>
          <t>eng</t>
        </is>
      </c>
      <c r="P1789" t="inlineStr">
        <is>
          <t>mou</t>
        </is>
      </c>
      <c r="R1789" t="inlineStr">
        <is>
          <t xml:space="preserve">LD </t>
        </is>
      </c>
      <c r="S1789" t="n">
        <v>3</v>
      </c>
      <c r="T1789" t="n">
        <v>3</v>
      </c>
      <c r="U1789" t="inlineStr">
        <is>
          <t>2004-04-19</t>
        </is>
      </c>
      <c r="V1789" t="inlineStr">
        <is>
          <t>2004-04-19</t>
        </is>
      </c>
      <c r="W1789" t="inlineStr">
        <is>
          <t>1992-09-14</t>
        </is>
      </c>
      <c r="X1789" t="inlineStr">
        <is>
          <t>1992-09-14</t>
        </is>
      </c>
      <c r="Y1789" t="n">
        <v>74</v>
      </c>
      <c r="Z1789" t="n">
        <v>71</v>
      </c>
      <c r="AA1789" t="n">
        <v>73</v>
      </c>
      <c r="AB1789" t="n">
        <v>1</v>
      </c>
      <c r="AC1789" t="n">
        <v>1</v>
      </c>
      <c r="AD1789" t="n">
        <v>20</v>
      </c>
      <c r="AE1789" t="n">
        <v>20</v>
      </c>
      <c r="AF1789" t="n">
        <v>4</v>
      </c>
      <c r="AG1789" t="n">
        <v>4</v>
      </c>
      <c r="AH1789" t="n">
        <v>5</v>
      </c>
      <c r="AI1789" t="n">
        <v>5</v>
      </c>
      <c r="AJ1789" t="n">
        <v>17</v>
      </c>
      <c r="AK1789" t="n">
        <v>17</v>
      </c>
      <c r="AL1789" t="n">
        <v>0</v>
      </c>
      <c r="AM1789" t="n">
        <v>0</v>
      </c>
      <c r="AN1789" t="n">
        <v>0</v>
      </c>
      <c r="AO1789" t="n">
        <v>0</v>
      </c>
      <c r="AP1789" t="inlineStr">
        <is>
          <t>No</t>
        </is>
      </c>
      <c r="AQ1789" t="inlineStr">
        <is>
          <t>Yes</t>
        </is>
      </c>
      <c r="AR1789">
        <f>HYPERLINK("http://catalog.hathitrust.org/Record/006214778","HathiTrust Record")</f>
        <v/>
      </c>
      <c r="AS1789">
        <f>HYPERLINK("https://creighton-primo.hosted.exlibrisgroup.com/primo-explore/search?tab=default_tab&amp;search_scope=EVERYTHING&amp;vid=01CRU&amp;lang=en_US&amp;offset=0&amp;query=any,contains,991004806839702656","Catalog Record")</f>
        <v/>
      </c>
      <c r="AT1789">
        <f>HYPERLINK("http://www.worldcat.org/oclc/5257325","WorldCat Record")</f>
        <v/>
      </c>
      <c r="AU1789" t="inlineStr">
        <is>
          <t>16173800:eng</t>
        </is>
      </c>
      <c r="AV1789" t="inlineStr">
        <is>
          <t>5257325</t>
        </is>
      </c>
      <c r="AW1789" t="inlineStr">
        <is>
          <t>991004806839702656</t>
        </is>
      </c>
      <c r="AX1789" t="inlineStr">
        <is>
          <t>991004806839702656</t>
        </is>
      </c>
      <c r="AY1789" t="inlineStr">
        <is>
          <t>2261456450002656</t>
        </is>
      </c>
      <c r="AZ1789" t="inlineStr">
        <is>
          <t>BOOK</t>
        </is>
      </c>
      <c r="BC1789" t="inlineStr">
        <is>
          <t>32285001310738</t>
        </is>
      </c>
      <c r="BD1789" t="inlineStr">
        <is>
          <t>893446403</t>
        </is>
      </c>
    </row>
    <row r="1790">
      <c r="A1790" t="inlineStr">
        <is>
          <t>No</t>
        </is>
      </c>
      <c r="B1790" t="inlineStr">
        <is>
          <t>LD4817.S52 H6</t>
        </is>
      </c>
      <c r="C1790" t="inlineStr">
        <is>
          <t>0                      LD 4817000S  52                 H  6</t>
        </is>
      </c>
      <c r="D1790" t="inlineStr">
        <is>
          <t>Historical sketch of the St. Louis University : the celebration of its fiftieth anniversary or golden jubilee on June 24, 1879 / by Walter H. Hill.</t>
        </is>
      </c>
      <c r="F1790" t="inlineStr">
        <is>
          <t>No</t>
        </is>
      </c>
      <c r="G1790" t="inlineStr">
        <is>
          <t>1</t>
        </is>
      </c>
      <c r="H1790" t="inlineStr">
        <is>
          <t>No</t>
        </is>
      </c>
      <c r="I1790" t="inlineStr">
        <is>
          <t>No</t>
        </is>
      </c>
      <c r="J1790" t="inlineStr">
        <is>
          <t>0</t>
        </is>
      </c>
      <c r="K1790" t="inlineStr">
        <is>
          <t>Hill, Walter H. (Walter Henry), 1822-1907.</t>
        </is>
      </c>
      <c r="L1790" t="inlineStr">
        <is>
          <t>St. Louis : Patrick Fox, 1879.</t>
        </is>
      </c>
      <c r="M1790" t="inlineStr">
        <is>
          <t>1879</t>
        </is>
      </c>
      <c r="O1790" t="inlineStr">
        <is>
          <t>eng</t>
        </is>
      </c>
      <c r="P1790" t="inlineStr">
        <is>
          <t>mou</t>
        </is>
      </c>
      <c r="R1790" t="inlineStr">
        <is>
          <t xml:space="preserve">LD </t>
        </is>
      </c>
      <c r="S1790" t="n">
        <v>1</v>
      </c>
      <c r="T1790" t="n">
        <v>1</v>
      </c>
      <c r="U1790" t="inlineStr">
        <is>
          <t>1998-04-19</t>
        </is>
      </c>
      <c r="V1790" t="inlineStr">
        <is>
          <t>1998-04-19</t>
        </is>
      </c>
      <c r="W1790" t="inlineStr">
        <is>
          <t>1997-06-18</t>
        </is>
      </c>
      <c r="X1790" t="inlineStr">
        <is>
          <t>1997-06-18</t>
        </is>
      </c>
      <c r="Y1790" t="n">
        <v>87</v>
      </c>
      <c r="Z1790" t="n">
        <v>84</v>
      </c>
      <c r="AA1790" t="n">
        <v>97</v>
      </c>
      <c r="AB1790" t="n">
        <v>2</v>
      </c>
      <c r="AC1790" t="n">
        <v>2</v>
      </c>
      <c r="AD1790" t="n">
        <v>17</v>
      </c>
      <c r="AE1790" t="n">
        <v>18</v>
      </c>
      <c r="AF1790" t="n">
        <v>3</v>
      </c>
      <c r="AG1790" t="n">
        <v>3</v>
      </c>
      <c r="AH1790" t="n">
        <v>2</v>
      </c>
      <c r="AI1790" t="n">
        <v>3</v>
      </c>
      <c r="AJ1790" t="n">
        <v>15</v>
      </c>
      <c r="AK1790" t="n">
        <v>15</v>
      </c>
      <c r="AL1790" t="n">
        <v>1</v>
      </c>
      <c r="AM1790" t="n">
        <v>1</v>
      </c>
      <c r="AN1790" t="n">
        <v>1</v>
      </c>
      <c r="AO1790" t="n">
        <v>1</v>
      </c>
      <c r="AP1790" t="inlineStr">
        <is>
          <t>Yes</t>
        </is>
      </c>
      <c r="AQ1790" t="inlineStr">
        <is>
          <t>No</t>
        </is>
      </c>
      <c r="AR1790">
        <f>HYPERLINK("http://catalog.hathitrust.org/Record/006554770","HathiTrust Record")</f>
        <v/>
      </c>
      <c r="AS1790">
        <f>HYPERLINK("https://creighton-primo.hosted.exlibrisgroup.com/primo-explore/search?tab=default_tab&amp;search_scope=EVERYTHING&amp;vid=01CRU&amp;lang=en_US&amp;offset=0&amp;query=any,contains,991003949319702656","Catalog Record")</f>
        <v/>
      </c>
      <c r="AT1790">
        <f>HYPERLINK("http://www.worldcat.org/oclc/1953629","WorldCat Record")</f>
        <v/>
      </c>
      <c r="AU1790" t="inlineStr">
        <is>
          <t>196165696:eng</t>
        </is>
      </c>
      <c r="AV1790" t="inlineStr">
        <is>
          <t>1953629</t>
        </is>
      </c>
      <c r="AW1790" t="inlineStr">
        <is>
          <t>991003949319702656</t>
        </is>
      </c>
      <c r="AX1790" t="inlineStr">
        <is>
          <t>991003949319702656</t>
        </is>
      </c>
      <c r="AY1790" t="inlineStr">
        <is>
          <t>2266580250002656</t>
        </is>
      </c>
      <c r="AZ1790" t="inlineStr">
        <is>
          <t>BOOK</t>
        </is>
      </c>
      <c r="BC1790" t="inlineStr">
        <is>
          <t>32285002822681</t>
        </is>
      </c>
      <c r="BD1790" t="inlineStr">
        <is>
          <t>893875508</t>
        </is>
      </c>
    </row>
    <row r="1791">
      <c r="A1791" t="inlineStr">
        <is>
          <t>No</t>
        </is>
      </c>
      <c r="B1791" t="inlineStr">
        <is>
          <t>LD4853 .B46</t>
        </is>
      </c>
      <c r="C1791" t="inlineStr">
        <is>
          <t>0                      LD 4853000B  46</t>
        </is>
      </c>
      <c r="D1791" t="inlineStr">
        <is>
          <t>Continuity and change : Xavier University, 1831-1981 / Lee J. Bennish.</t>
        </is>
      </c>
      <c r="F1791" t="inlineStr">
        <is>
          <t>No</t>
        </is>
      </c>
      <c r="G1791" t="inlineStr">
        <is>
          <t>1</t>
        </is>
      </c>
      <c r="H1791" t="inlineStr">
        <is>
          <t>No</t>
        </is>
      </c>
      <c r="I1791" t="inlineStr">
        <is>
          <t>No</t>
        </is>
      </c>
      <c r="J1791" t="inlineStr">
        <is>
          <t>0</t>
        </is>
      </c>
      <c r="K1791" t="inlineStr">
        <is>
          <t>Bennish, Lee J.</t>
        </is>
      </c>
      <c r="L1791" t="inlineStr">
        <is>
          <t>Chicago : Loyola University Press, c1981.</t>
        </is>
      </c>
      <c r="M1791" t="inlineStr">
        <is>
          <t>1981</t>
        </is>
      </c>
      <c r="O1791" t="inlineStr">
        <is>
          <t>eng</t>
        </is>
      </c>
      <c r="P1791" t="inlineStr">
        <is>
          <t>ilu</t>
        </is>
      </c>
      <c r="R1791" t="inlineStr">
        <is>
          <t xml:space="preserve">LD </t>
        </is>
      </c>
      <c r="S1791" t="n">
        <v>1</v>
      </c>
      <c r="T1791" t="n">
        <v>1</v>
      </c>
      <c r="U1791" t="inlineStr">
        <is>
          <t>2004-04-19</t>
        </is>
      </c>
      <c r="V1791" t="inlineStr">
        <is>
          <t>2004-04-19</t>
        </is>
      </c>
      <c r="W1791" t="inlineStr">
        <is>
          <t>1992-09-14</t>
        </is>
      </c>
      <c r="X1791" t="inlineStr">
        <is>
          <t>1992-09-14</t>
        </is>
      </c>
      <c r="Y1791" t="n">
        <v>146</v>
      </c>
      <c r="Z1791" t="n">
        <v>142</v>
      </c>
      <c r="AA1791" t="n">
        <v>143</v>
      </c>
      <c r="AB1791" t="n">
        <v>1</v>
      </c>
      <c r="AC1791" t="n">
        <v>1</v>
      </c>
      <c r="AD1791" t="n">
        <v>23</v>
      </c>
      <c r="AE1791" t="n">
        <v>23</v>
      </c>
      <c r="AF1791" t="n">
        <v>7</v>
      </c>
      <c r="AG1791" t="n">
        <v>7</v>
      </c>
      <c r="AH1791" t="n">
        <v>4</v>
      </c>
      <c r="AI1791" t="n">
        <v>4</v>
      </c>
      <c r="AJ1791" t="n">
        <v>23</v>
      </c>
      <c r="AK1791" t="n">
        <v>23</v>
      </c>
      <c r="AL1791" t="n">
        <v>0</v>
      </c>
      <c r="AM1791" t="n">
        <v>0</v>
      </c>
      <c r="AN1791" t="n">
        <v>0</v>
      </c>
      <c r="AO1791" t="n">
        <v>0</v>
      </c>
      <c r="AP1791" t="inlineStr">
        <is>
          <t>No</t>
        </is>
      </c>
      <c r="AQ1791" t="inlineStr">
        <is>
          <t>Yes</t>
        </is>
      </c>
      <c r="AR1791">
        <f>HYPERLINK("http://catalog.hathitrust.org/Record/000153772","HathiTrust Record")</f>
        <v/>
      </c>
      <c r="AS1791">
        <f>HYPERLINK("https://creighton-primo.hosted.exlibrisgroup.com/primo-explore/search?tab=default_tab&amp;search_scope=EVERYTHING&amp;vid=01CRU&amp;lang=en_US&amp;offset=0&amp;query=any,contains,991005169809702656","Catalog Record")</f>
        <v/>
      </c>
      <c r="AT1791">
        <f>HYPERLINK("http://www.worldcat.org/oclc/8554580","WorldCat Record")</f>
        <v/>
      </c>
      <c r="AU1791" t="inlineStr">
        <is>
          <t>32213060:eng</t>
        </is>
      </c>
      <c r="AV1791" t="inlineStr">
        <is>
          <t>8554580</t>
        </is>
      </c>
      <c r="AW1791" t="inlineStr">
        <is>
          <t>991005169809702656</t>
        </is>
      </c>
      <c r="AX1791" t="inlineStr">
        <is>
          <t>991005169809702656</t>
        </is>
      </c>
      <c r="AY1791" t="inlineStr">
        <is>
          <t>2270563630002656</t>
        </is>
      </c>
      <c r="AZ1791" t="inlineStr">
        <is>
          <t>BOOK</t>
        </is>
      </c>
      <c r="BB1791" t="inlineStr">
        <is>
          <t>9780829403886</t>
        </is>
      </c>
      <c r="BC1791" t="inlineStr">
        <is>
          <t>32285001310753</t>
        </is>
      </c>
      <c r="BD1791" t="inlineStr">
        <is>
          <t>893338642</t>
        </is>
      </c>
    </row>
    <row r="1792">
      <c r="A1792" t="inlineStr">
        <is>
          <t>No</t>
        </is>
      </c>
      <c r="B1792" t="inlineStr">
        <is>
          <t>LD5185.8 .C55</t>
        </is>
      </c>
      <c r="C1792" t="inlineStr">
        <is>
          <t>0                      LD 5185800C  55</t>
        </is>
      </c>
      <c r="D1792" t="inlineStr">
        <is>
          <t>The distinctive college: Antioch, Reed &amp; Swarthmore [by] Burton R. Clark.</t>
        </is>
      </c>
      <c r="F1792" t="inlineStr">
        <is>
          <t>No</t>
        </is>
      </c>
      <c r="G1792" t="inlineStr">
        <is>
          <t>1</t>
        </is>
      </c>
      <c r="H1792" t="inlineStr">
        <is>
          <t>No</t>
        </is>
      </c>
      <c r="I1792" t="inlineStr">
        <is>
          <t>No</t>
        </is>
      </c>
      <c r="J1792" t="inlineStr">
        <is>
          <t>0</t>
        </is>
      </c>
      <c r="K1792" t="inlineStr">
        <is>
          <t>Clark, Burton R.</t>
        </is>
      </c>
      <c r="L1792" t="inlineStr">
        <is>
          <t>Chicago : Aldine Pub. Co., [1970]</t>
        </is>
      </c>
      <c r="M1792" t="inlineStr">
        <is>
          <t>1970</t>
        </is>
      </c>
      <c r="O1792" t="inlineStr">
        <is>
          <t>eng</t>
        </is>
      </c>
      <c r="P1792" t="inlineStr">
        <is>
          <t>ilu</t>
        </is>
      </c>
      <c r="R1792" t="inlineStr">
        <is>
          <t xml:space="preserve">LD </t>
        </is>
      </c>
      <c r="S1792" t="n">
        <v>5</v>
      </c>
      <c r="T1792" t="n">
        <v>5</v>
      </c>
      <c r="U1792" t="inlineStr">
        <is>
          <t>2005-03-27</t>
        </is>
      </c>
      <c r="V1792" t="inlineStr">
        <is>
          <t>2005-03-27</t>
        </is>
      </c>
      <c r="W1792" t="inlineStr">
        <is>
          <t>1997-08-27</t>
        </is>
      </c>
      <c r="X1792" t="inlineStr">
        <is>
          <t>1997-08-27</t>
        </is>
      </c>
      <c r="Y1792" t="n">
        <v>559</v>
      </c>
      <c r="Z1792" t="n">
        <v>511</v>
      </c>
      <c r="AA1792" t="n">
        <v>585</v>
      </c>
      <c r="AB1792" t="n">
        <v>3</v>
      </c>
      <c r="AC1792" t="n">
        <v>3</v>
      </c>
      <c r="AD1792" t="n">
        <v>28</v>
      </c>
      <c r="AE1792" t="n">
        <v>29</v>
      </c>
      <c r="AF1792" t="n">
        <v>10</v>
      </c>
      <c r="AG1792" t="n">
        <v>10</v>
      </c>
      <c r="AH1792" t="n">
        <v>6</v>
      </c>
      <c r="AI1792" t="n">
        <v>6</v>
      </c>
      <c r="AJ1792" t="n">
        <v>16</v>
      </c>
      <c r="AK1792" t="n">
        <v>17</v>
      </c>
      <c r="AL1792" t="n">
        <v>2</v>
      </c>
      <c r="AM1792" t="n">
        <v>2</v>
      </c>
      <c r="AN1792" t="n">
        <v>0</v>
      </c>
      <c r="AO1792" t="n">
        <v>0</v>
      </c>
      <c r="AP1792" t="inlineStr">
        <is>
          <t>No</t>
        </is>
      </c>
      <c r="AQ1792" t="inlineStr">
        <is>
          <t>Yes</t>
        </is>
      </c>
      <c r="AR1792">
        <f>HYPERLINK("http://catalog.hathitrust.org/Record/000001176","HathiTrust Record")</f>
        <v/>
      </c>
      <c r="AS1792">
        <f>HYPERLINK("https://creighton-primo.hosted.exlibrisgroup.com/primo-explore/search?tab=default_tab&amp;search_scope=EVERYTHING&amp;vid=01CRU&amp;lang=en_US&amp;offset=0&amp;query=any,contains,991000523469702656","Catalog Record")</f>
        <v/>
      </c>
      <c r="AT1792">
        <f>HYPERLINK("http://www.worldcat.org/oclc/88696","WorldCat Record")</f>
        <v/>
      </c>
      <c r="AU1792" t="inlineStr">
        <is>
          <t>1290654:eng</t>
        </is>
      </c>
      <c r="AV1792" t="inlineStr">
        <is>
          <t>88696</t>
        </is>
      </c>
      <c r="AW1792" t="inlineStr">
        <is>
          <t>991000523469702656</t>
        </is>
      </c>
      <c r="AX1792" t="inlineStr">
        <is>
          <t>991000523469702656</t>
        </is>
      </c>
      <c r="AY1792" t="inlineStr">
        <is>
          <t>2269477490002656</t>
        </is>
      </c>
      <c r="AZ1792" t="inlineStr">
        <is>
          <t>BOOK</t>
        </is>
      </c>
      <c r="BC1792" t="inlineStr">
        <is>
          <t>32285002822715</t>
        </is>
      </c>
      <c r="BD1792" t="inlineStr">
        <is>
          <t>893321116</t>
        </is>
      </c>
    </row>
    <row r="1793">
      <c r="A1793" t="inlineStr">
        <is>
          <t>No</t>
        </is>
      </c>
      <c r="B1793" t="inlineStr">
        <is>
          <t>LD5678 .D3</t>
        </is>
      </c>
      <c r="C1793" t="inlineStr">
        <is>
          <t>0                      LD 5678000D  3</t>
        </is>
      </c>
      <c r="D1793" t="inlineStr">
        <is>
          <t>Mr. Jefferson's University : a history / Virginius Dabney.</t>
        </is>
      </c>
      <c r="F1793" t="inlineStr">
        <is>
          <t>No</t>
        </is>
      </c>
      <c r="G1793" t="inlineStr">
        <is>
          <t>1</t>
        </is>
      </c>
      <c r="H1793" t="inlineStr">
        <is>
          <t>No</t>
        </is>
      </c>
      <c r="I1793" t="inlineStr">
        <is>
          <t>No</t>
        </is>
      </c>
      <c r="J1793" t="inlineStr">
        <is>
          <t>0</t>
        </is>
      </c>
      <c r="K1793" t="inlineStr">
        <is>
          <t>Dabney, Virginius, 1901-1995.</t>
        </is>
      </c>
      <c r="L1793" t="inlineStr">
        <is>
          <t>Charlottesville : University Press of Virginia, 1981.</t>
        </is>
      </c>
      <c r="M1793" t="inlineStr">
        <is>
          <t>1981</t>
        </is>
      </c>
      <c r="O1793" t="inlineStr">
        <is>
          <t>eng</t>
        </is>
      </c>
      <c r="P1793" t="inlineStr">
        <is>
          <t>vau</t>
        </is>
      </c>
      <c r="R1793" t="inlineStr">
        <is>
          <t xml:space="preserve">LD </t>
        </is>
      </c>
      <c r="S1793" t="n">
        <v>1</v>
      </c>
      <c r="T1793" t="n">
        <v>1</v>
      </c>
      <c r="U1793" t="inlineStr">
        <is>
          <t>2003-04-02</t>
        </is>
      </c>
      <c r="V1793" t="inlineStr">
        <is>
          <t>2003-04-02</t>
        </is>
      </c>
      <c r="W1793" t="inlineStr">
        <is>
          <t>1992-09-14</t>
        </is>
      </c>
      <c r="X1793" t="inlineStr">
        <is>
          <t>1992-09-14</t>
        </is>
      </c>
      <c r="Y1793" t="n">
        <v>324</v>
      </c>
      <c r="Z1793" t="n">
        <v>309</v>
      </c>
      <c r="AA1793" t="n">
        <v>326</v>
      </c>
      <c r="AB1793" t="n">
        <v>2</v>
      </c>
      <c r="AC1793" t="n">
        <v>2</v>
      </c>
      <c r="AD1793" t="n">
        <v>15</v>
      </c>
      <c r="AE1793" t="n">
        <v>15</v>
      </c>
      <c r="AF1793" t="n">
        <v>4</v>
      </c>
      <c r="AG1793" t="n">
        <v>4</v>
      </c>
      <c r="AH1793" t="n">
        <v>3</v>
      </c>
      <c r="AI1793" t="n">
        <v>3</v>
      </c>
      <c r="AJ1793" t="n">
        <v>8</v>
      </c>
      <c r="AK1793" t="n">
        <v>8</v>
      </c>
      <c r="AL1793" t="n">
        <v>1</v>
      </c>
      <c r="AM1793" t="n">
        <v>1</v>
      </c>
      <c r="AN1793" t="n">
        <v>1</v>
      </c>
      <c r="AO1793" t="n">
        <v>1</v>
      </c>
      <c r="AP1793" t="inlineStr">
        <is>
          <t>No</t>
        </is>
      </c>
      <c r="AQ1793" t="inlineStr">
        <is>
          <t>Yes</t>
        </is>
      </c>
      <c r="AR1793">
        <f>HYPERLINK("http://catalog.hathitrust.org/Record/000140435","HathiTrust Record")</f>
        <v/>
      </c>
      <c r="AS1793">
        <f>HYPERLINK("https://creighton-primo.hosted.exlibrisgroup.com/primo-explore/search?tab=default_tab&amp;search_scope=EVERYTHING&amp;vid=01CRU&amp;lang=en_US&amp;offset=0&amp;query=any,contains,991005113269702656","Catalog Record")</f>
        <v/>
      </c>
      <c r="AT1793">
        <f>HYPERLINK("http://www.worldcat.org/oclc/7459941","WorldCat Record")</f>
        <v/>
      </c>
      <c r="AU1793" t="inlineStr">
        <is>
          <t>427128625:eng</t>
        </is>
      </c>
      <c r="AV1793" t="inlineStr">
        <is>
          <t>7459941</t>
        </is>
      </c>
      <c r="AW1793" t="inlineStr">
        <is>
          <t>991005113269702656</t>
        </is>
      </c>
      <c r="AX1793" t="inlineStr">
        <is>
          <t>991005113269702656</t>
        </is>
      </c>
      <c r="AY1793" t="inlineStr">
        <is>
          <t>2256451230002656</t>
        </is>
      </c>
      <c r="AZ1793" t="inlineStr">
        <is>
          <t>BOOK</t>
        </is>
      </c>
      <c r="BB1793" t="inlineStr">
        <is>
          <t>9780813909042</t>
        </is>
      </c>
      <c r="BC1793" t="inlineStr">
        <is>
          <t>32285001310787</t>
        </is>
      </c>
      <c r="BD1793" t="inlineStr">
        <is>
          <t>893795625</t>
        </is>
      </c>
    </row>
    <row r="1794">
      <c r="A1794" t="inlineStr">
        <is>
          <t>No</t>
        </is>
      </c>
      <c r="B1794" t="inlineStr">
        <is>
          <t>LD6343 .O74 1985</t>
        </is>
      </c>
      <c r="C1794" t="inlineStr">
        <is>
          <t>0                      LD 6343000O  74          1985</t>
        </is>
      </c>
      <c r="D1794" t="inlineStr">
        <is>
          <t>Joining the club : a history of Jews and Yale / Dan A. Oren.</t>
        </is>
      </c>
      <c r="F1794" t="inlineStr">
        <is>
          <t>No</t>
        </is>
      </c>
      <c r="G1794" t="inlineStr">
        <is>
          <t>1</t>
        </is>
      </c>
      <c r="H1794" t="inlineStr">
        <is>
          <t>No</t>
        </is>
      </c>
      <c r="I1794" t="inlineStr">
        <is>
          <t>No</t>
        </is>
      </c>
      <c r="J1794" t="inlineStr">
        <is>
          <t>0</t>
        </is>
      </c>
      <c r="K1794" t="inlineStr">
        <is>
          <t>Oren, Dan A., 1958-</t>
        </is>
      </c>
      <c r="L1794" t="inlineStr">
        <is>
          <t>New Haven : Yale University Press, c1985.</t>
        </is>
      </c>
      <c r="M1794" t="inlineStr">
        <is>
          <t>1985</t>
        </is>
      </c>
      <c r="O1794" t="inlineStr">
        <is>
          <t>eng</t>
        </is>
      </c>
      <c r="P1794" t="inlineStr">
        <is>
          <t>ctu</t>
        </is>
      </c>
      <c r="Q1794" t="inlineStr">
        <is>
          <t>The Yale scene. University series ; 4</t>
        </is>
      </c>
      <c r="R1794" t="inlineStr">
        <is>
          <t xml:space="preserve">LD </t>
        </is>
      </c>
      <c r="S1794" t="n">
        <v>3</v>
      </c>
      <c r="T1794" t="n">
        <v>3</v>
      </c>
      <c r="U1794" t="inlineStr">
        <is>
          <t>2008-12-02</t>
        </is>
      </c>
      <c r="V1794" t="inlineStr">
        <is>
          <t>2008-12-02</t>
        </is>
      </c>
      <c r="W1794" t="inlineStr">
        <is>
          <t>1992-09-14</t>
        </is>
      </c>
      <c r="X1794" t="inlineStr">
        <is>
          <t>1992-09-14</t>
        </is>
      </c>
      <c r="Y1794" t="n">
        <v>450</v>
      </c>
      <c r="Z1794" t="n">
        <v>389</v>
      </c>
      <c r="AA1794" t="n">
        <v>436</v>
      </c>
      <c r="AB1794" t="n">
        <v>2</v>
      </c>
      <c r="AC1794" t="n">
        <v>3</v>
      </c>
      <c r="AD1794" t="n">
        <v>14</v>
      </c>
      <c r="AE1794" t="n">
        <v>19</v>
      </c>
      <c r="AF1794" t="n">
        <v>2</v>
      </c>
      <c r="AG1794" t="n">
        <v>4</v>
      </c>
      <c r="AH1794" t="n">
        <v>4</v>
      </c>
      <c r="AI1794" t="n">
        <v>5</v>
      </c>
      <c r="AJ1794" t="n">
        <v>10</v>
      </c>
      <c r="AK1794" t="n">
        <v>12</v>
      </c>
      <c r="AL1794" t="n">
        <v>0</v>
      </c>
      <c r="AM1794" t="n">
        <v>1</v>
      </c>
      <c r="AN1794" t="n">
        <v>0</v>
      </c>
      <c r="AO1794" t="n">
        <v>0</v>
      </c>
      <c r="AP1794" t="inlineStr">
        <is>
          <t>No</t>
        </is>
      </c>
      <c r="AQ1794" t="inlineStr">
        <is>
          <t>No</t>
        </is>
      </c>
      <c r="AS1794">
        <f>HYPERLINK("https://creighton-primo.hosted.exlibrisgroup.com/primo-explore/search?tab=default_tab&amp;search_scope=EVERYTHING&amp;vid=01CRU&amp;lang=en_US&amp;offset=0&amp;query=any,contains,991000661239702656","Catalog Record")</f>
        <v/>
      </c>
      <c r="AT1794">
        <f>HYPERLINK("http://www.worldcat.org/oclc/12238434","WorldCat Record")</f>
        <v/>
      </c>
      <c r="AU1794" t="inlineStr">
        <is>
          <t>836720813:eng</t>
        </is>
      </c>
      <c r="AV1794" t="inlineStr">
        <is>
          <t>12238434</t>
        </is>
      </c>
      <c r="AW1794" t="inlineStr">
        <is>
          <t>991000661239702656</t>
        </is>
      </c>
      <c r="AX1794" t="inlineStr">
        <is>
          <t>991000661239702656</t>
        </is>
      </c>
      <c r="AY1794" t="inlineStr">
        <is>
          <t>2266690720002656</t>
        </is>
      </c>
      <c r="AZ1794" t="inlineStr">
        <is>
          <t>BOOK</t>
        </is>
      </c>
      <c r="BB1794" t="inlineStr">
        <is>
          <t>9780300033304</t>
        </is>
      </c>
      <c r="BC1794" t="inlineStr">
        <is>
          <t>32285001310837</t>
        </is>
      </c>
      <c r="BD1794" t="inlineStr">
        <is>
          <t>893778120</t>
        </is>
      </c>
    </row>
    <row r="1795">
      <c r="A1795" t="inlineStr">
        <is>
          <t>No</t>
        </is>
      </c>
      <c r="B1795" t="inlineStr">
        <is>
          <t>LD7251 .N94</t>
        </is>
      </c>
      <c r="C1795" t="inlineStr">
        <is>
          <t>0                      LD 7251000N  94</t>
        </is>
      </c>
      <c r="D1795" t="inlineStr">
        <is>
          <t>The making of a Sister-teacher.</t>
        </is>
      </c>
      <c r="F1795" t="inlineStr">
        <is>
          <t>No</t>
        </is>
      </c>
      <c r="G1795" t="inlineStr">
        <is>
          <t>1</t>
        </is>
      </c>
      <c r="H1795" t="inlineStr">
        <is>
          <t>No</t>
        </is>
      </c>
      <c r="I1795" t="inlineStr">
        <is>
          <t>No</t>
        </is>
      </c>
      <c r="J1795" t="inlineStr">
        <is>
          <t>0</t>
        </is>
      </c>
      <c r="K1795" t="inlineStr">
        <is>
          <t>Maria Concepta, Sister.</t>
        </is>
      </c>
      <c r="L1795" t="inlineStr">
        <is>
          <t>Notre Dame [Ind.] University of Notre Dame Press [1965]</t>
        </is>
      </c>
      <c r="M1795" t="inlineStr">
        <is>
          <t>1965</t>
        </is>
      </c>
      <c r="O1795" t="inlineStr">
        <is>
          <t>eng</t>
        </is>
      </c>
      <c r="P1795" t="inlineStr">
        <is>
          <t>inu</t>
        </is>
      </c>
      <c r="R1795" t="inlineStr">
        <is>
          <t xml:space="preserve">LD </t>
        </is>
      </c>
      <c r="S1795" t="n">
        <v>1</v>
      </c>
      <c r="T1795" t="n">
        <v>1</v>
      </c>
      <c r="U1795" t="inlineStr">
        <is>
          <t>2001-10-11</t>
        </is>
      </c>
      <c r="V1795" t="inlineStr">
        <is>
          <t>2001-10-11</t>
        </is>
      </c>
      <c r="W1795" t="inlineStr">
        <is>
          <t>1997-06-19</t>
        </is>
      </c>
      <c r="X1795" t="inlineStr">
        <is>
          <t>1997-06-19</t>
        </is>
      </c>
      <c r="Y1795" t="n">
        <v>114</v>
      </c>
      <c r="Z1795" t="n">
        <v>98</v>
      </c>
      <c r="AA1795" t="n">
        <v>98</v>
      </c>
      <c r="AB1795" t="n">
        <v>1</v>
      </c>
      <c r="AC1795" t="n">
        <v>1</v>
      </c>
      <c r="AD1795" t="n">
        <v>9</v>
      </c>
      <c r="AE1795" t="n">
        <v>9</v>
      </c>
      <c r="AF1795" t="n">
        <v>2</v>
      </c>
      <c r="AG1795" t="n">
        <v>2</v>
      </c>
      <c r="AH1795" t="n">
        <v>3</v>
      </c>
      <c r="AI1795" t="n">
        <v>3</v>
      </c>
      <c r="AJ1795" t="n">
        <v>7</v>
      </c>
      <c r="AK1795" t="n">
        <v>7</v>
      </c>
      <c r="AL1795" t="n">
        <v>0</v>
      </c>
      <c r="AM1795" t="n">
        <v>0</v>
      </c>
      <c r="AN1795" t="n">
        <v>0</v>
      </c>
      <c r="AO1795" t="n">
        <v>0</v>
      </c>
      <c r="AP1795" t="inlineStr">
        <is>
          <t>No</t>
        </is>
      </c>
      <c r="AQ1795" t="inlineStr">
        <is>
          <t>No</t>
        </is>
      </c>
      <c r="AS1795">
        <f>HYPERLINK("https://creighton-primo.hosted.exlibrisgroup.com/primo-explore/search?tab=default_tab&amp;search_scope=EVERYTHING&amp;vid=01CRU&amp;lang=en_US&amp;offset=0&amp;query=any,contains,991004355269702656","Catalog Record")</f>
        <v/>
      </c>
      <c r="AT1795">
        <f>HYPERLINK("http://www.worldcat.org/oclc/3136006","WorldCat Record")</f>
        <v/>
      </c>
      <c r="AU1795" t="inlineStr">
        <is>
          <t>8633760:eng</t>
        </is>
      </c>
      <c r="AV1795" t="inlineStr">
        <is>
          <t>3136006</t>
        </is>
      </c>
      <c r="AW1795" t="inlineStr">
        <is>
          <t>991004355269702656</t>
        </is>
      </c>
      <c r="AX1795" t="inlineStr">
        <is>
          <t>991004355269702656</t>
        </is>
      </c>
      <c r="AY1795" t="inlineStr">
        <is>
          <t>2255922380002656</t>
        </is>
      </c>
      <c r="AZ1795" t="inlineStr">
        <is>
          <t>BOOK</t>
        </is>
      </c>
      <c r="BC1795" t="inlineStr">
        <is>
          <t>32285002822871</t>
        </is>
      </c>
      <c r="BD1795" t="inlineStr">
        <is>
          <t>893700126</t>
        </is>
      </c>
    </row>
    <row r="1796">
      <c r="A1796" t="inlineStr">
        <is>
          <t>No</t>
        </is>
      </c>
      <c r="B1796" t="inlineStr">
        <is>
          <t>LD7251 .N9417</t>
        </is>
      </c>
      <c r="C1796" t="inlineStr">
        <is>
          <t>0                      LD 7251000N  9417</t>
        </is>
      </c>
      <c r="D1796" t="inlineStr">
        <is>
          <t>My first seventy years.</t>
        </is>
      </c>
      <c r="F1796" t="inlineStr">
        <is>
          <t>No</t>
        </is>
      </c>
      <c r="G1796" t="inlineStr">
        <is>
          <t>1</t>
        </is>
      </c>
      <c r="H1796" t="inlineStr">
        <is>
          <t>No</t>
        </is>
      </c>
      <c r="I1796" t="inlineStr">
        <is>
          <t>No</t>
        </is>
      </c>
      <c r="J1796" t="inlineStr">
        <is>
          <t>0</t>
        </is>
      </c>
      <c r="K1796" t="inlineStr">
        <is>
          <t>M. Madeleva (Mary Madeleva), Sister, 1887-1964.</t>
        </is>
      </c>
      <c r="L1796" t="inlineStr">
        <is>
          <t>New York, Macmillan, 1959.</t>
        </is>
      </c>
      <c r="M1796" t="inlineStr">
        <is>
          <t>1959</t>
        </is>
      </c>
      <c r="O1796" t="inlineStr">
        <is>
          <t>eng</t>
        </is>
      </c>
      <c r="P1796" t="inlineStr">
        <is>
          <t>nyu</t>
        </is>
      </c>
      <c r="R1796" t="inlineStr">
        <is>
          <t xml:space="preserve">LD </t>
        </is>
      </c>
      <c r="S1796" t="n">
        <v>2</v>
      </c>
      <c r="T1796" t="n">
        <v>2</v>
      </c>
      <c r="U1796" t="inlineStr">
        <is>
          <t>2007-06-04</t>
        </is>
      </c>
      <c r="V1796" t="inlineStr">
        <is>
          <t>2007-06-04</t>
        </is>
      </c>
      <c r="W1796" t="inlineStr">
        <is>
          <t>1992-04-15</t>
        </is>
      </c>
      <c r="X1796" t="inlineStr">
        <is>
          <t>1992-04-15</t>
        </is>
      </c>
      <c r="Y1796" t="n">
        <v>281</v>
      </c>
      <c r="Z1796" t="n">
        <v>260</v>
      </c>
      <c r="AA1796" t="n">
        <v>267</v>
      </c>
      <c r="AB1796" t="n">
        <v>3</v>
      </c>
      <c r="AC1796" t="n">
        <v>3</v>
      </c>
      <c r="AD1796" t="n">
        <v>24</v>
      </c>
      <c r="AE1796" t="n">
        <v>24</v>
      </c>
      <c r="AF1796" t="n">
        <v>5</v>
      </c>
      <c r="AG1796" t="n">
        <v>5</v>
      </c>
      <c r="AH1796" t="n">
        <v>7</v>
      </c>
      <c r="AI1796" t="n">
        <v>7</v>
      </c>
      <c r="AJ1796" t="n">
        <v>18</v>
      </c>
      <c r="AK1796" t="n">
        <v>18</v>
      </c>
      <c r="AL1796" t="n">
        <v>1</v>
      </c>
      <c r="AM1796" t="n">
        <v>1</v>
      </c>
      <c r="AN1796" t="n">
        <v>0</v>
      </c>
      <c r="AO1796" t="n">
        <v>0</v>
      </c>
      <c r="AP1796" t="inlineStr">
        <is>
          <t>No</t>
        </is>
      </c>
      <c r="AQ1796" t="inlineStr">
        <is>
          <t>No</t>
        </is>
      </c>
      <c r="AS1796">
        <f>HYPERLINK("https://creighton-primo.hosted.exlibrisgroup.com/primo-explore/search?tab=default_tab&amp;search_scope=EVERYTHING&amp;vid=01CRU&amp;lang=en_US&amp;offset=0&amp;query=any,contains,991003470779702656","Catalog Record")</f>
        <v/>
      </c>
      <c r="AT1796">
        <f>HYPERLINK("http://www.worldcat.org/oclc/1013264","WorldCat Record")</f>
        <v/>
      </c>
      <c r="AU1796" t="inlineStr">
        <is>
          <t>1936262:eng</t>
        </is>
      </c>
      <c r="AV1796" t="inlineStr">
        <is>
          <t>1013264</t>
        </is>
      </c>
      <c r="AW1796" t="inlineStr">
        <is>
          <t>991003470779702656</t>
        </is>
      </c>
      <c r="AX1796" t="inlineStr">
        <is>
          <t>991003470779702656</t>
        </is>
      </c>
      <c r="AY1796" t="inlineStr">
        <is>
          <t>2255386700002656</t>
        </is>
      </c>
      <c r="AZ1796" t="inlineStr">
        <is>
          <t>BOOK</t>
        </is>
      </c>
      <c r="BC1796" t="inlineStr">
        <is>
          <t>32285001053270</t>
        </is>
      </c>
      <c r="BD1796" t="inlineStr">
        <is>
          <t>893499322</t>
        </is>
      </c>
    </row>
    <row r="1797">
      <c r="A1797" t="inlineStr">
        <is>
          <t>No</t>
        </is>
      </c>
      <c r="B1797" t="inlineStr">
        <is>
          <t>LD7251.T3813 B8</t>
        </is>
      </c>
      <c r="C1797" t="inlineStr">
        <is>
          <t>0                      LD 7251000T  3813               B  8</t>
        </is>
      </c>
      <c r="D1797" t="inlineStr">
        <is>
          <t>Mother Butler of Marymount, by Katherine Burton.</t>
        </is>
      </c>
      <c r="F1797" t="inlineStr">
        <is>
          <t>No</t>
        </is>
      </c>
      <c r="G1797" t="inlineStr">
        <is>
          <t>1</t>
        </is>
      </c>
      <c r="H1797" t="inlineStr">
        <is>
          <t>No</t>
        </is>
      </c>
      <c r="I1797" t="inlineStr">
        <is>
          <t>No</t>
        </is>
      </c>
      <c r="J1797" t="inlineStr">
        <is>
          <t>0</t>
        </is>
      </c>
      <c r="K1797" t="inlineStr">
        <is>
          <t>Burton, Katherine, 1890-1969.</t>
        </is>
      </c>
      <c r="L1797" t="inlineStr">
        <is>
          <t>New York, Toronto, Longmans, Green and co., 1944.</t>
        </is>
      </c>
      <c r="M1797" t="inlineStr">
        <is>
          <t>1944</t>
        </is>
      </c>
      <c r="O1797" t="inlineStr">
        <is>
          <t>eng</t>
        </is>
      </c>
      <c r="P1797" t="inlineStr">
        <is>
          <t xml:space="preserve">xx </t>
        </is>
      </c>
      <c r="R1797" t="inlineStr">
        <is>
          <t xml:space="preserve">LD </t>
        </is>
      </c>
      <c r="S1797" t="n">
        <v>1</v>
      </c>
      <c r="T1797" t="n">
        <v>1</v>
      </c>
      <c r="U1797" t="inlineStr">
        <is>
          <t>2001-10-11</t>
        </is>
      </c>
      <c r="V1797" t="inlineStr">
        <is>
          <t>2001-10-11</t>
        </is>
      </c>
      <c r="W1797" t="inlineStr">
        <is>
          <t>1997-06-19</t>
        </is>
      </c>
      <c r="X1797" t="inlineStr">
        <is>
          <t>1997-06-19</t>
        </is>
      </c>
      <c r="Y1797" t="n">
        <v>142</v>
      </c>
      <c r="Z1797" t="n">
        <v>134</v>
      </c>
      <c r="AA1797" t="n">
        <v>136</v>
      </c>
      <c r="AB1797" t="n">
        <v>1</v>
      </c>
      <c r="AC1797" t="n">
        <v>1</v>
      </c>
      <c r="AD1797" t="n">
        <v>17</v>
      </c>
      <c r="AE1797" t="n">
        <v>17</v>
      </c>
      <c r="AF1797" t="n">
        <v>4</v>
      </c>
      <c r="AG1797" t="n">
        <v>4</v>
      </c>
      <c r="AH1797" t="n">
        <v>6</v>
      </c>
      <c r="AI1797" t="n">
        <v>6</v>
      </c>
      <c r="AJ1797" t="n">
        <v>14</v>
      </c>
      <c r="AK1797" t="n">
        <v>14</v>
      </c>
      <c r="AL1797" t="n">
        <v>0</v>
      </c>
      <c r="AM1797" t="n">
        <v>0</v>
      </c>
      <c r="AN1797" t="n">
        <v>0</v>
      </c>
      <c r="AO1797" t="n">
        <v>0</v>
      </c>
      <c r="AP1797" t="inlineStr">
        <is>
          <t>No</t>
        </is>
      </c>
      <c r="AQ1797" t="inlineStr">
        <is>
          <t>Yes</t>
        </is>
      </c>
      <c r="AR1797">
        <f>HYPERLINK("http://catalog.hathitrust.org/Record/008375488","HathiTrust Record")</f>
        <v/>
      </c>
      <c r="AS1797">
        <f>HYPERLINK("https://creighton-primo.hosted.exlibrisgroup.com/primo-explore/search?tab=default_tab&amp;search_scope=EVERYTHING&amp;vid=01CRU&amp;lang=en_US&amp;offset=0&amp;query=any,contains,991002696729702656","Catalog Record")</f>
        <v/>
      </c>
      <c r="AT1797">
        <f>HYPERLINK("http://www.worldcat.org/oclc/403887","WorldCat Record")</f>
        <v/>
      </c>
      <c r="AU1797" t="inlineStr">
        <is>
          <t>428856052:eng</t>
        </is>
      </c>
      <c r="AV1797" t="inlineStr">
        <is>
          <t>403887</t>
        </is>
      </c>
      <c r="AW1797" t="inlineStr">
        <is>
          <t>991002696729702656</t>
        </is>
      </c>
      <c r="AX1797" t="inlineStr">
        <is>
          <t>991002696729702656</t>
        </is>
      </c>
      <c r="AY1797" t="inlineStr">
        <is>
          <t>2259707660002656</t>
        </is>
      </c>
      <c r="AZ1797" t="inlineStr">
        <is>
          <t>BOOK</t>
        </is>
      </c>
      <c r="BC1797" t="inlineStr">
        <is>
          <t>32285002822889</t>
        </is>
      </c>
      <c r="BD1797" t="inlineStr">
        <is>
          <t>893867573</t>
        </is>
      </c>
    </row>
    <row r="1798">
      <c r="A1798" t="inlineStr">
        <is>
          <t>No</t>
        </is>
      </c>
      <c r="B1798" t="inlineStr">
        <is>
          <t>LD7501.C622 S74 1986</t>
        </is>
      </c>
      <c r="C1798" t="inlineStr">
        <is>
          <t>0                      LD 7501000C  622                S  74          1986</t>
        </is>
      </c>
      <c r="D1798" t="inlineStr">
        <is>
          <t>Years in passing, St. Ignatius High School : an anecdotal history / by Nelson Callahan with Jim Toman.</t>
        </is>
      </c>
      <c r="F1798" t="inlineStr">
        <is>
          <t>No</t>
        </is>
      </c>
      <c r="G1798" t="inlineStr">
        <is>
          <t>1</t>
        </is>
      </c>
      <c r="H1798" t="inlineStr">
        <is>
          <t>No</t>
        </is>
      </c>
      <c r="I1798" t="inlineStr">
        <is>
          <t>No</t>
        </is>
      </c>
      <c r="J1798" t="inlineStr">
        <is>
          <t>0</t>
        </is>
      </c>
      <c r="K1798" t="inlineStr">
        <is>
          <t>Callahan, Nelson J.</t>
        </is>
      </c>
      <c r="L1798" t="inlineStr">
        <is>
          <t>Cleveland, Ohio : Cleveland Landmarks Press, c1986.</t>
        </is>
      </c>
      <c r="M1798" t="inlineStr">
        <is>
          <t>1986</t>
        </is>
      </c>
      <c r="N1798" t="inlineStr">
        <is>
          <t>[Centennial ed.]</t>
        </is>
      </c>
      <c r="O1798" t="inlineStr">
        <is>
          <t>eng</t>
        </is>
      </c>
      <c r="P1798" t="inlineStr">
        <is>
          <t>ohu</t>
        </is>
      </c>
      <c r="R1798" t="inlineStr">
        <is>
          <t xml:space="preserve">LD </t>
        </is>
      </c>
      <c r="S1798" t="n">
        <v>1</v>
      </c>
      <c r="T1798" t="n">
        <v>1</v>
      </c>
      <c r="U1798" t="inlineStr">
        <is>
          <t>2005-12-07</t>
        </is>
      </c>
      <c r="V1798" t="inlineStr">
        <is>
          <t>2005-12-07</t>
        </is>
      </c>
      <c r="W1798" t="inlineStr">
        <is>
          <t>1992-09-14</t>
        </is>
      </c>
      <c r="X1798" t="inlineStr">
        <is>
          <t>1992-09-14</t>
        </is>
      </c>
      <c r="Y1798" t="n">
        <v>4</v>
      </c>
      <c r="Z1798" t="n">
        <v>4</v>
      </c>
      <c r="AA1798" t="n">
        <v>13</v>
      </c>
      <c r="AB1798" t="n">
        <v>1</v>
      </c>
      <c r="AC1798" t="n">
        <v>1</v>
      </c>
      <c r="AD1798" t="n">
        <v>1</v>
      </c>
      <c r="AE1798" t="n">
        <v>2</v>
      </c>
      <c r="AF1798" t="n">
        <v>0</v>
      </c>
      <c r="AG1798" t="n">
        <v>1</v>
      </c>
      <c r="AH1798" t="n">
        <v>0</v>
      </c>
      <c r="AI1798" t="n">
        <v>0</v>
      </c>
      <c r="AJ1798" t="n">
        <v>1</v>
      </c>
      <c r="AK1798" t="n">
        <v>2</v>
      </c>
      <c r="AL1798" t="n">
        <v>0</v>
      </c>
      <c r="AM1798" t="n">
        <v>0</v>
      </c>
      <c r="AN1798" t="n">
        <v>0</v>
      </c>
      <c r="AO1798" t="n">
        <v>0</v>
      </c>
      <c r="AP1798" t="inlineStr">
        <is>
          <t>No</t>
        </is>
      </c>
      <c r="AQ1798" t="inlineStr">
        <is>
          <t>No</t>
        </is>
      </c>
      <c r="AS1798">
        <f>HYPERLINK("https://creighton-primo.hosted.exlibrisgroup.com/primo-explore/search?tab=default_tab&amp;search_scope=EVERYTHING&amp;vid=01CRU&amp;lang=en_US&amp;offset=0&amp;query=any,contains,991000954299702656","Catalog Record")</f>
        <v/>
      </c>
      <c r="AT1798">
        <f>HYPERLINK("http://www.worldcat.org/oclc/14700773","WorldCat Record")</f>
        <v/>
      </c>
      <c r="AU1798" t="inlineStr">
        <is>
          <t>13487902:eng</t>
        </is>
      </c>
      <c r="AV1798" t="inlineStr">
        <is>
          <t>14700773</t>
        </is>
      </c>
      <c r="AW1798" t="inlineStr">
        <is>
          <t>991000954299702656</t>
        </is>
      </c>
      <c r="AX1798" t="inlineStr">
        <is>
          <t>991000954299702656</t>
        </is>
      </c>
      <c r="AY1798" t="inlineStr">
        <is>
          <t>2267520310002656</t>
        </is>
      </c>
      <c r="AZ1798" t="inlineStr">
        <is>
          <t>BOOK</t>
        </is>
      </c>
      <c r="BB1798" t="inlineStr">
        <is>
          <t>9780096760040</t>
        </is>
      </c>
      <c r="BC1798" t="inlineStr">
        <is>
          <t>32285001310878</t>
        </is>
      </c>
      <c r="BD1798" t="inlineStr">
        <is>
          <t>893878488</t>
        </is>
      </c>
    </row>
    <row r="1799">
      <c r="A1799" t="inlineStr">
        <is>
          <t>No</t>
        </is>
      </c>
      <c r="B1799" t="inlineStr">
        <is>
          <t>LD7501.N4943 B46 2000</t>
        </is>
      </c>
      <c r="C1799" t="inlineStr">
        <is>
          <t>0                      LD 7501000N  4943               B  46          2000</t>
        </is>
      </c>
      <c r="D1799" t="inlineStr">
        <is>
          <t>Central Park East and its graduates : "learning by heart" / David Bensman ; foreword by Deborah Meier.</t>
        </is>
      </c>
      <c r="F1799" t="inlineStr">
        <is>
          <t>No</t>
        </is>
      </c>
      <c r="G1799" t="inlineStr">
        <is>
          <t>1</t>
        </is>
      </c>
      <c r="H1799" t="inlineStr">
        <is>
          <t>No</t>
        </is>
      </c>
      <c r="I1799" t="inlineStr">
        <is>
          <t>No</t>
        </is>
      </c>
      <c r="J1799" t="inlineStr">
        <is>
          <t>0</t>
        </is>
      </c>
      <c r="K1799" t="inlineStr">
        <is>
          <t>Bensman, David, 1949-</t>
        </is>
      </c>
      <c r="L1799" t="inlineStr">
        <is>
          <t>New York : Teachers College Press, c2000.</t>
        </is>
      </c>
      <c r="M1799" t="inlineStr">
        <is>
          <t>2000</t>
        </is>
      </c>
      <c r="O1799" t="inlineStr">
        <is>
          <t>eng</t>
        </is>
      </c>
      <c r="P1799" t="inlineStr">
        <is>
          <t>nyu</t>
        </is>
      </c>
      <c r="Q1799" t="inlineStr">
        <is>
          <t>The series on school reform</t>
        </is>
      </c>
      <c r="R1799" t="inlineStr">
        <is>
          <t xml:space="preserve">LD </t>
        </is>
      </c>
      <c r="S1799" t="n">
        <v>1</v>
      </c>
      <c r="T1799" t="n">
        <v>1</v>
      </c>
      <c r="U1799" t="inlineStr">
        <is>
          <t>2002-05-06</t>
        </is>
      </c>
      <c r="V1799" t="inlineStr">
        <is>
          <t>2002-05-06</t>
        </is>
      </c>
      <c r="W1799" t="inlineStr">
        <is>
          <t>2002-04-25</t>
        </is>
      </c>
      <c r="X1799" t="inlineStr">
        <is>
          <t>2002-04-25</t>
        </is>
      </c>
      <c r="Y1799" t="n">
        <v>421</v>
      </c>
      <c r="Z1799" t="n">
        <v>406</v>
      </c>
      <c r="AA1799" t="n">
        <v>699</v>
      </c>
      <c r="AB1799" t="n">
        <v>2</v>
      </c>
      <c r="AC1799" t="n">
        <v>26</v>
      </c>
      <c r="AD1799" t="n">
        <v>23</v>
      </c>
      <c r="AE1799" t="n">
        <v>36</v>
      </c>
      <c r="AF1799" t="n">
        <v>13</v>
      </c>
      <c r="AG1799" t="n">
        <v>15</v>
      </c>
      <c r="AH1799" t="n">
        <v>5</v>
      </c>
      <c r="AI1799" t="n">
        <v>6</v>
      </c>
      <c r="AJ1799" t="n">
        <v>13</v>
      </c>
      <c r="AK1799" t="n">
        <v>13</v>
      </c>
      <c r="AL1799" t="n">
        <v>1</v>
      </c>
      <c r="AM1799" t="n">
        <v>11</v>
      </c>
      <c r="AN1799" t="n">
        <v>0</v>
      </c>
      <c r="AO1799" t="n">
        <v>0</v>
      </c>
      <c r="AP1799" t="inlineStr">
        <is>
          <t>No</t>
        </is>
      </c>
      <c r="AQ1799" t="inlineStr">
        <is>
          <t>No</t>
        </is>
      </c>
      <c r="AS1799">
        <f>HYPERLINK("https://creighton-primo.hosted.exlibrisgroup.com/primo-explore/search?tab=default_tab&amp;search_scope=EVERYTHING&amp;vid=01CRU&amp;lang=en_US&amp;offset=0&amp;query=any,contains,991003787169702656","Catalog Record")</f>
        <v/>
      </c>
      <c r="AT1799">
        <f>HYPERLINK("http://www.worldcat.org/oclc/44493325","WorldCat Record")</f>
        <v/>
      </c>
      <c r="AU1799" t="inlineStr">
        <is>
          <t>800301807:eng</t>
        </is>
      </c>
      <c r="AV1799" t="inlineStr">
        <is>
          <t>44493325</t>
        </is>
      </c>
      <c r="AW1799" t="inlineStr">
        <is>
          <t>991003787169702656</t>
        </is>
      </c>
      <c r="AX1799" t="inlineStr">
        <is>
          <t>991003787169702656</t>
        </is>
      </c>
      <c r="AY1799" t="inlineStr">
        <is>
          <t>2269412200002656</t>
        </is>
      </c>
      <c r="AZ1799" t="inlineStr">
        <is>
          <t>BOOK</t>
        </is>
      </c>
      <c r="BB1799" t="inlineStr">
        <is>
          <t>9780807739921</t>
        </is>
      </c>
      <c r="BC1799" t="inlineStr">
        <is>
          <t>32285004482716</t>
        </is>
      </c>
      <c r="BD1799" t="inlineStr">
        <is>
          <t>893705635</t>
        </is>
      </c>
    </row>
    <row r="1800">
      <c r="A1800" t="inlineStr">
        <is>
          <t>No</t>
        </is>
      </c>
      <c r="B1800" t="inlineStr">
        <is>
          <t>LD7501.N525 F74 1990</t>
        </is>
      </c>
      <c r="C1800" t="inlineStr">
        <is>
          <t>0                      LD 7501000N  525                F  74          1990</t>
        </is>
      </c>
      <c r="D1800" t="inlineStr">
        <is>
          <t>Small victories : the real world of a teacher, her students, and their high school / Samuel G. Freedman.</t>
        </is>
      </c>
      <c r="F1800" t="inlineStr">
        <is>
          <t>No</t>
        </is>
      </c>
      <c r="G1800" t="inlineStr">
        <is>
          <t>1</t>
        </is>
      </c>
      <c r="H1800" t="inlineStr">
        <is>
          <t>No</t>
        </is>
      </c>
      <c r="I1800" t="inlineStr">
        <is>
          <t>No</t>
        </is>
      </c>
      <c r="J1800" t="inlineStr">
        <is>
          <t>0</t>
        </is>
      </c>
      <c r="K1800" t="inlineStr">
        <is>
          <t>Freedman, Samuel G.</t>
        </is>
      </c>
      <c r="L1800" t="inlineStr">
        <is>
          <t>New York : Harper &amp; Row, c1990</t>
        </is>
      </c>
      <c r="M1800" t="inlineStr">
        <is>
          <t>1990</t>
        </is>
      </c>
      <c r="N1800" t="inlineStr">
        <is>
          <t>1st ed.</t>
        </is>
      </c>
      <c r="O1800" t="inlineStr">
        <is>
          <t>eng</t>
        </is>
      </c>
      <c r="P1800" t="inlineStr">
        <is>
          <t>nyu</t>
        </is>
      </c>
      <c r="R1800" t="inlineStr">
        <is>
          <t xml:space="preserve">LD </t>
        </is>
      </c>
      <c r="S1800" t="n">
        <v>8</v>
      </c>
      <c r="T1800" t="n">
        <v>8</v>
      </c>
      <c r="U1800" t="inlineStr">
        <is>
          <t>2006-03-15</t>
        </is>
      </c>
      <c r="V1800" t="inlineStr">
        <is>
          <t>2006-03-15</t>
        </is>
      </c>
      <c r="W1800" t="inlineStr">
        <is>
          <t>1990-07-19</t>
        </is>
      </c>
      <c r="X1800" t="inlineStr">
        <is>
          <t>1990-07-19</t>
        </is>
      </c>
      <c r="Y1800" t="n">
        <v>1539</v>
      </c>
      <c r="Z1800" t="n">
        <v>1479</v>
      </c>
      <c r="AA1800" t="n">
        <v>1629</v>
      </c>
      <c r="AB1800" t="n">
        <v>11</v>
      </c>
      <c r="AC1800" t="n">
        <v>12</v>
      </c>
      <c r="AD1800" t="n">
        <v>40</v>
      </c>
      <c r="AE1800" t="n">
        <v>45</v>
      </c>
      <c r="AF1800" t="n">
        <v>17</v>
      </c>
      <c r="AG1800" t="n">
        <v>20</v>
      </c>
      <c r="AH1800" t="n">
        <v>9</v>
      </c>
      <c r="AI1800" t="n">
        <v>9</v>
      </c>
      <c r="AJ1800" t="n">
        <v>19</v>
      </c>
      <c r="AK1800" t="n">
        <v>20</v>
      </c>
      <c r="AL1800" t="n">
        <v>7</v>
      </c>
      <c r="AM1800" t="n">
        <v>8</v>
      </c>
      <c r="AN1800" t="n">
        <v>0</v>
      </c>
      <c r="AO1800" t="n">
        <v>0</v>
      </c>
      <c r="AP1800" t="inlineStr">
        <is>
          <t>No</t>
        </is>
      </c>
      <c r="AQ1800" t="inlineStr">
        <is>
          <t>No</t>
        </is>
      </c>
      <c r="AS1800">
        <f>HYPERLINK("https://creighton-primo.hosted.exlibrisgroup.com/primo-explore/search?tab=default_tab&amp;search_scope=EVERYTHING&amp;vid=01CRU&amp;lang=en_US&amp;offset=0&amp;query=any,contains,991001545779702656","Catalog Record")</f>
        <v/>
      </c>
      <c r="AT1800">
        <f>HYPERLINK("http://www.worldcat.org/oclc/20167842","WorldCat Record")</f>
        <v/>
      </c>
      <c r="AU1800" t="inlineStr">
        <is>
          <t>21387694:eng</t>
        </is>
      </c>
      <c r="AV1800" t="inlineStr">
        <is>
          <t>20167842</t>
        </is>
      </c>
      <c r="AW1800" t="inlineStr">
        <is>
          <t>991001545779702656</t>
        </is>
      </c>
      <c r="AX1800" t="inlineStr">
        <is>
          <t>991001545779702656</t>
        </is>
      </c>
      <c r="AY1800" t="inlineStr">
        <is>
          <t>2270532440002656</t>
        </is>
      </c>
      <c r="AZ1800" t="inlineStr">
        <is>
          <t>BOOK</t>
        </is>
      </c>
      <c r="BB1800" t="inlineStr">
        <is>
          <t>9780060162542</t>
        </is>
      </c>
      <c r="BC1800" t="inlineStr">
        <is>
          <t>32285000209659</t>
        </is>
      </c>
      <c r="BD1800" t="inlineStr">
        <is>
          <t>893408203</t>
        </is>
      </c>
    </row>
    <row r="1801">
      <c r="A1801" t="inlineStr">
        <is>
          <t>No</t>
        </is>
      </c>
      <c r="B1801" t="inlineStr">
        <is>
          <t>LD7501.N743 B37</t>
        </is>
      </c>
      <c r="C1801" t="inlineStr">
        <is>
          <t>0                      LD 7501000N  743                B  37</t>
        </is>
      </c>
      <c r="D1801" t="inlineStr">
        <is>
          <t>Run school run / Roland S. Barth.</t>
        </is>
      </c>
      <c r="F1801" t="inlineStr">
        <is>
          <t>No</t>
        </is>
      </c>
      <c r="G1801" t="inlineStr">
        <is>
          <t>1</t>
        </is>
      </c>
      <c r="H1801" t="inlineStr">
        <is>
          <t>No</t>
        </is>
      </c>
      <c r="I1801" t="inlineStr">
        <is>
          <t>No</t>
        </is>
      </c>
      <c r="J1801" t="inlineStr">
        <is>
          <t>0</t>
        </is>
      </c>
      <c r="K1801" t="inlineStr">
        <is>
          <t>Barth, Roland S.</t>
        </is>
      </c>
      <c r="L1801" t="inlineStr">
        <is>
          <t>Cambridge, Mass. : Harvard University Press, 1980.</t>
        </is>
      </c>
      <c r="M1801" t="inlineStr">
        <is>
          <t>1980</t>
        </is>
      </c>
      <c r="O1801" t="inlineStr">
        <is>
          <t>eng</t>
        </is>
      </c>
      <c r="P1801" t="inlineStr">
        <is>
          <t>mau</t>
        </is>
      </c>
      <c r="R1801" t="inlineStr">
        <is>
          <t xml:space="preserve">LD </t>
        </is>
      </c>
      <c r="S1801" t="n">
        <v>2</v>
      </c>
      <c r="T1801" t="n">
        <v>2</v>
      </c>
      <c r="U1801" t="inlineStr">
        <is>
          <t>1993-10-07</t>
        </is>
      </c>
      <c r="V1801" t="inlineStr">
        <is>
          <t>1993-10-07</t>
        </is>
      </c>
      <c r="W1801" t="inlineStr">
        <is>
          <t>1992-09-14</t>
        </is>
      </c>
      <c r="X1801" t="inlineStr">
        <is>
          <t>1992-09-14</t>
        </is>
      </c>
      <c r="Y1801" t="n">
        <v>655</v>
      </c>
      <c r="Z1801" t="n">
        <v>574</v>
      </c>
      <c r="AA1801" t="n">
        <v>576</v>
      </c>
      <c r="AB1801" t="n">
        <v>2</v>
      </c>
      <c r="AC1801" t="n">
        <v>2</v>
      </c>
      <c r="AD1801" t="n">
        <v>17</v>
      </c>
      <c r="AE1801" t="n">
        <v>17</v>
      </c>
      <c r="AF1801" t="n">
        <v>6</v>
      </c>
      <c r="AG1801" t="n">
        <v>6</v>
      </c>
      <c r="AH1801" t="n">
        <v>5</v>
      </c>
      <c r="AI1801" t="n">
        <v>5</v>
      </c>
      <c r="AJ1801" t="n">
        <v>12</v>
      </c>
      <c r="AK1801" t="n">
        <v>12</v>
      </c>
      <c r="AL1801" t="n">
        <v>1</v>
      </c>
      <c r="AM1801" t="n">
        <v>1</v>
      </c>
      <c r="AN1801" t="n">
        <v>0</v>
      </c>
      <c r="AO1801" t="n">
        <v>0</v>
      </c>
      <c r="AP1801" t="inlineStr">
        <is>
          <t>No</t>
        </is>
      </c>
      <c r="AQ1801" t="inlineStr">
        <is>
          <t>Yes</t>
        </is>
      </c>
      <c r="AR1801">
        <f>HYPERLINK("http://catalog.hathitrust.org/Record/000688165","HathiTrust Record")</f>
        <v/>
      </c>
      <c r="AS1801">
        <f>HYPERLINK("https://creighton-primo.hosted.exlibrisgroup.com/primo-explore/search?tab=default_tab&amp;search_scope=EVERYTHING&amp;vid=01CRU&amp;lang=en_US&amp;offset=0&amp;query=any,contains,991004870339702656","Catalog Record")</f>
        <v/>
      </c>
      <c r="AT1801">
        <f>HYPERLINK("http://www.worldcat.org/oclc/5751190","WorldCat Record")</f>
        <v/>
      </c>
      <c r="AU1801" t="inlineStr">
        <is>
          <t>430450:eng</t>
        </is>
      </c>
      <c r="AV1801" t="inlineStr">
        <is>
          <t>5751190</t>
        </is>
      </c>
      <c r="AW1801" t="inlineStr">
        <is>
          <t>991004870339702656</t>
        </is>
      </c>
      <c r="AX1801" t="inlineStr">
        <is>
          <t>991004870339702656</t>
        </is>
      </c>
      <c r="AY1801" t="inlineStr">
        <is>
          <t>2270289780002656</t>
        </is>
      </c>
      <c r="AZ1801" t="inlineStr">
        <is>
          <t>BOOK</t>
        </is>
      </c>
      <c r="BB1801" t="inlineStr">
        <is>
          <t>9780674780361</t>
        </is>
      </c>
      <c r="BC1801" t="inlineStr">
        <is>
          <t>32285001310894</t>
        </is>
      </c>
      <c r="BD1801" t="inlineStr">
        <is>
          <t>893625184</t>
        </is>
      </c>
    </row>
    <row r="1802">
      <c r="A1802" t="inlineStr">
        <is>
          <t>No</t>
        </is>
      </c>
      <c r="B1802" t="inlineStr">
        <is>
          <t>LD7501.P5 W473</t>
        </is>
      </c>
      <c r="C1802" t="inlineStr">
        <is>
          <t>0                      LD 7501000P  5                  W  473</t>
        </is>
      </c>
      <c r="D1802" t="inlineStr">
        <is>
          <t>Partnership in urban education: an alternative school [by] Aase Eriksen and Joseph Gantz.</t>
        </is>
      </c>
      <c r="F1802" t="inlineStr">
        <is>
          <t>No</t>
        </is>
      </c>
      <c r="G1802" t="inlineStr">
        <is>
          <t>1</t>
        </is>
      </c>
      <c r="H1802" t="inlineStr">
        <is>
          <t>No</t>
        </is>
      </c>
      <c r="I1802" t="inlineStr">
        <is>
          <t>No</t>
        </is>
      </c>
      <c r="J1802" t="inlineStr">
        <is>
          <t>0</t>
        </is>
      </c>
      <c r="K1802" t="inlineStr">
        <is>
          <t>Eriksen, Aase.</t>
        </is>
      </c>
      <c r="L1802" t="inlineStr">
        <is>
          <t>[Midland, Mich.] Pendell Pub. Co. [1974]</t>
        </is>
      </c>
      <c r="M1802" t="inlineStr">
        <is>
          <t>1974</t>
        </is>
      </c>
      <c r="O1802" t="inlineStr">
        <is>
          <t>eng</t>
        </is>
      </c>
      <c r="P1802" t="inlineStr">
        <is>
          <t>miu</t>
        </is>
      </c>
      <c r="R1802" t="inlineStr">
        <is>
          <t xml:space="preserve">LD </t>
        </is>
      </c>
      <c r="S1802" t="n">
        <v>1</v>
      </c>
      <c r="T1802" t="n">
        <v>1</v>
      </c>
      <c r="U1802" t="inlineStr">
        <is>
          <t>2001-10-18</t>
        </is>
      </c>
      <c r="V1802" t="inlineStr">
        <is>
          <t>2001-10-18</t>
        </is>
      </c>
      <c r="W1802" t="inlineStr">
        <is>
          <t>1997-06-19</t>
        </is>
      </c>
      <c r="X1802" t="inlineStr">
        <is>
          <t>1997-06-19</t>
        </is>
      </c>
      <c r="Y1802" t="n">
        <v>188</v>
      </c>
      <c r="Z1802" t="n">
        <v>165</v>
      </c>
      <c r="AA1802" t="n">
        <v>166</v>
      </c>
      <c r="AB1802" t="n">
        <v>1</v>
      </c>
      <c r="AC1802" t="n">
        <v>1</v>
      </c>
      <c r="AD1802" t="n">
        <v>2</v>
      </c>
      <c r="AE1802" t="n">
        <v>2</v>
      </c>
      <c r="AF1802" t="n">
        <v>0</v>
      </c>
      <c r="AG1802" t="n">
        <v>0</v>
      </c>
      <c r="AH1802" t="n">
        <v>1</v>
      </c>
      <c r="AI1802" t="n">
        <v>1</v>
      </c>
      <c r="AJ1802" t="n">
        <v>2</v>
      </c>
      <c r="AK1802" t="n">
        <v>2</v>
      </c>
      <c r="AL1802" t="n">
        <v>0</v>
      </c>
      <c r="AM1802" t="n">
        <v>0</v>
      </c>
      <c r="AN1802" t="n">
        <v>0</v>
      </c>
      <c r="AO1802" t="n">
        <v>0</v>
      </c>
      <c r="AP1802" t="inlineStr">
        <is>
          <t>No</t>
        </is>
      </c>
      <c r="AQ1802" t="inlineStr">
        <is>
          <t>No</t>
        </is>
      </c>
      <c r="AS1802">
        <f>HYPERLINK("https://creighton-primo.hosted.exlibrisgroup.com/primo-explore/search?tab=default_tab&amp;search_scope=EVERYTHING&amp;vid=01CRU&amp;lang=en_US&amp;offset=0&amp;query=any,contains,991003455229702656","Catalog Record")</f>
        <v/>
      </c>
      <c r="AT1802">
        <f>HYPERLINK("http://www.worldcat.org/oclc/994795","WorldCat Record")</f>
        <v/>
      </c>
      <c r="AU1802" t="inlineStr">
        <is>
          <t>1983430:eng</t>
        </is>
      </c>
      <c r="AV1802" t="inlineStr">
        <is>
          <t>994795</t>
        </is>
      </c>
      <c r="AW1802" t="inlineStr">
        <is>
          <t>991003455229702656</t>
        </is>
      </c>
      <c r="AX1802" t="inlineStr">
        <is>
          <t>991003455229702656</t>
        </is>
      </c>
      <c r="AY1802" t="inlineStr">
        <is>
          <t>2257135790002656</t>
        </is>
      </c>
      <c r="AZ1802" t="inlineStr">
        <is>
          <t>BOOK</t>
        </is>
      </c>
      <c r="BB1802" t="inlineStr">
        <is>
          <t>9780878120543</t>
        </is>
      </c>
      <c r="BC1802" t="inlineStr">
        <is>
          <t>32285002822954</t>
        </is>
      </c>
      <c r="BD1802" t="inlineStr">
        <is>
          <t>893499306</t>
        </is>
      </c>
    </row>
    <row r="1803">
      <c r="A1803" t="inlineStr">
        <is>
          <t>No</t>
        </is>
      </c>
      <c r="B1803" t="inlineStr">
        <is>
          <t>LE15.S42 H47 1987</t>
        </is>
      </c>
      <c r="C1803" t="inlineStr">
        <is>
          <t>0                      LE 0015000S  42                 H  47          1987</t>
        </is>
      </c>
      <c r="D1803" t="inlineStr">
        <is>
          <t>La reinstalación de la Universidad de Santo Tomás de Aquino en 1815 / César A. Herrera.</t>
        </is>
      </c>
      <c r="F1803" t="inlineStr">
        <is>
          <t>No</t>
        </is>
      </c>
      <c r="G1803" t="inlineStr">
        <is>
          <t>1</t>
        </is>
      </c>
      <c r="H1803" t="inlineStr">
        <is>
          <t>No</t>
        </is>
      </c>
      <c r="I1803" t="inlineStr">
        <is>
          <t>No</t>
        </is>
      </c>
      <c r="J1803" t="inlineStr">
        <is>
          <t>0</t>
        </is>
      </c>
      <c r="K1803" t="inlineStr">
        <is>
          <t>Herrera, César A.</t>
        </is>
      </c>
      <c r="L1803" t="inlineStr">
        <is>
          <t>Santo Domingo, República Dominicana : Editora Universitaria, 1987.</t>
        </is>
      </c>
      <c r="M1803" t="inlineStr">
        <is>
          <t>1987</t>
        </is>
      </c>
      <c r="O1803" t="inlineStr">
        <is>
          <t>spa</t>
        </is>
      </c>
      <c r="P1803" t="inlineStr">
        <is>
          <t xml:space="preserve">dr </t>
        </is>
      </c>
      <c r="Q1803" t="inlineStr">
        <is>
          <t>Publicaciones de la Universidad Autónoma de Santo Domingo ; vol. 571. Colección Archivo histórico ; no. 3</t>
        </is>
      </c>
      <c r="R1803" t="inlineStr">
        <is>
          <t xml:space="preserve">LE </t>
        </is>
      </c>
      <c r="S1803" t="n">
        <v>1</v>
      </c>
      <c r="T1803" t="n">
        <v>1</v>
      </c>
      <c r="U1803" t="inlineStr">
        <is>
          <t>2002-05-08</t>
        </is>
      </c>
      <c r="V1803" t="inlineStr">
        <is>
          <t>2002-05-08</t>
        </is>
      </c>
      <c r="W1803" t="inlineStr">
        <is>
          <t>2002-04-29</t>
        </is>
      </c>
      <c r="X1803" t="inlineStr">
        <is>
          <t>2002-04-29</t>
        </is>
      </c>
      <c r="Y1803" t="n">
        <v>15</v>
      </c>
      <c r="Z1803" t="n">
        <v>12</v>
      </c>
      <c r="AA1803" t="n">
        <v>18</v>
      </c>
      <c r="AB1803" t="n">
        <v>1</v>
      </c>
      <c r="AC1803" t="n">
        <v>1</v>
      </c>
      <c r="AD1803" t="n">
        <v>0</v>
      </c>
      <c r="AE1803" t="n">
        <v>0</v>
      </c>
      <c r="AF1803" t="n">
        <v>0</v>
      </c>
      <c r="AG1803" t="n">
        <v>0</v>
      </c>
      <c r="AH1803" t="n">
        <v>0</v>
      </c>
      <c r="AI1803" t="n">
        <v>0</v>
      </c>
      <c r="AJ1803" t="n">
        <v>0</v>
      </c>
      <c r="AK1803" t="n">
        <v>0</v>
      </c>
      <c r="AL1803" t="n">
        <v>0</v>
      </c>
      <c r="AM1803" t="n">
        <v>0</v>
      </c>
      <c r="AN1803" t="n">
        <v>0</v>
      </c>
      <c r="AO1803" t="n">
        <v>0</v>
      </c>
      <c r="AP1803" t="inlineStr">
        <is>
          <t>No</t>
        </is>
      </c>
      <c r="AQ1803" t="inlineStr">
        <is>
          <t>No</t>
        </is>
      </c>
      <c r="AS1803">
        <f>HYPERLINK("https://creighton-primo.hosted.exlibrisgroup.com/primo-explore/search?tab=default_tab&amp;search_scope=EVERYTHING&amp;vid=01CRU&amp;lang=en_US&amp;offset=0&amp;query=any,contains,991003773309702656","Catalog Record")</f>
        <v/>
      </c>
      <c r="AT1803">
        <f>HYPERLINK("http://www.worldcat.org/oclc/18496135","WorldCat Record")</f>
        <v/>
      </c>
      <c r="AU1803" t="inlineStr">
        <is>
          <t>424252178:spa</t>
        </is>
      </c>
      <c r="AV1803" t="inlineStr">
        <is>
          <t>18496135</t>
        </is>
      </c>
      <c r="AW1803" t="inlineStr">
        <is>
          <t>991003773309702656</t>
        </is>
      </c>
      <c r="AX1803" t="inlineStr">
        <is>
          <t>991003773309702656</t>
        </is>
      </c>
      <c r="AY1803" t="inlineStr">
        <is>
          <t>2272361170002656</t>
        </is>
      </c>
      <c r="AZ1803" t="inlineStr">
        <is>
          <t>BOOK</t>
        </is>
      </c>
      <c r="BC1803" t="inlineStr">
        <is>
          <t>32285004483961</t>
        </is>
      </c>
      <c r="BD1803" t="inlineStr">
        <is>
          <t>893525208</t>
        </is>
      </c>
    </row>
    <row r="1804">
      <c r="A1804" t="inlineStr">
        <is>
          <t>No</t>
        </is>
      </c>
      <c r="B1804" t="inlineStr">
        <is>
          <t>LE17.D65 S34 2005</t>
        </is>
      </c>
      <c r="C1804" t="inlineStr">
        <is>
          <t>0                      LE 0017000D  65                 S  34          2005</t>
        </is>
      </c>
      <c r="D1804" t="inlineStr">
        <is>
          <t>Jesus land : a memoir / Julia Scheeres.</t>
        </is>
      </c>
      <c r="F1804" t="inlineStr">
        <is>
          <t>No</t>
        </is>
      </c>
      <c r="G1804" t="inlineStr">
        <is>
          <t>1</t>
        </is>
      </c>
      <c r="H1804" t="inlineStr">
        <is>
          <t>No</t>
        </is>
      </c>
      <c r="I1804" t="inlineStr">
        <is>
          <t>No</t>
        </is>
      </c>
      <c r="J1804" t="inlineStr">
        <is>
          <t>0</t>
        </is>
      </c>
      <c r="K1804" t="inlineStr">
        <is>
          <t>Scheeres, Julia.</t>
        </is>
      </c>
      <c r="L1804" t="inlineStr">
        <is>
          <t>New York : Counterpoint, c2005.</t>
        </is>
      </c>
      <c r="M1804" t="inlineStr">
        <is>
          <t>2005</t>
        </is>
      </c>
      <c r="O1804" t="inlineStr">
        <is>
          <t>eng</t>
        </is>
      </c>
      <c r="P1804" t="inlineStr">
        <is>
          <t>nyu</t>
        </is>
      </c>
      <c r="R1804" t="inlineStr">
        <is>
          <t xml:space="preserve">LE </t>
        </is>
      </c>
      <c r="S1804" t="n">
        <v>5</v>
      </c>
      <c r="T1804" t="n">
        <v>5</v>
      </c>
      <c r="U1804" t="inlineStr">
        <is>
          <t>2008-11-24</t>
        </is>
      </c>
      <c r="V1804" t="inlineStr">
        <is>
          <t>2008-11-24</t>
        </is>
      </c>
      <c r="W1804" t="inlineStr">
        <is>
          <t>2005-11-07</t>
        </is>
      </c>
      <c r="X1804" t="inlineStr">
        <is>
          <t>2005-11-07</t>
        </is>
      </c>
      <c r="Y1804" t="n">
        <v>956</v>
      </c>
      <c r="Z1804" t="n">
        <v>930</v>
      </c>
      <c r="AA1804" t="n">
        <v>1221</v>
      </c>
      <c r="AB1804" t="n">
        <v>5</v>
      </c>
      <c r="AC1804" t="n">
        <v>6</v>
      </c>
      <c r="AD1804" t="n">
        <v>12</v>
      </c>
      <c r="AE1804" t="n">
        <v>17</v>
      </c>
      <c r="AF1804" t="n">
        <v>5</v>
      </c>
      <c r="AG1804" t="n">
        <v>9</v>
      </c>
      <c r="AH1804" t="n">
        <v>4</v>
      </c>
      <c r="AI1804" t="n">
        <v>4</v>
      </c>
      <c r="AJ1804" t="n">
        <v>5</v>
      </c>
      <c r="AK1804" t="n">
        <v>5</v>
      </c>
      <c r="AL1804" t="n">
        <v>1</v>
      </c>
      <c r="AM1804" t="n">
        <v>2</v>
      </c>
      <c r="AN1804" t="n">
        <v>0</v>
      </c>
      <c r="AO1804" t="n">
        <v>0</v>
      </c>
      <c r="AP1804" t="inlineStr">
        <is>
          <t>No</t>
        </is>
      </c>
      <c r="AQ1804" t="inlineStr">
        <is>
          <t>Yes</t>
        </is>
      </c>
      <c r="AR1804">
        <f>HYPERLINK("http://catalog.hathitrust.org/Record/005080319","HathiTrust Record")</f>
        <v/>
      </c>
      <c r="AS1804">
        <f>HYPERLINK("https://creighton-primo.hosted.exlibrisgroup.com/primo-explore/search?tab=default_tab&amp;search_scope=EVERYTHING&amp;vid=01CRU&amp;lang=en_US&amp;offset=0&amp;query=any,contains,991004686729702656","Catalog Record")</f>
        <v/>
      </c>
      <c r="AT1804">
        <f>HYPERLINK("http://www.worldcat.org/oclc/61750350","WorldCat Record")</f>
        <v/>
      </c>
      <c r="AU1804" t="inlineStr">
        <is>
          <t>2564823143:eng</t>
        </is>
      </c>
      <c r="AV1804" t="inlineStr">
        <is>
          <t>61750350</t>
        </is>
      </c>
      <c r="AW1804" t="inlineStr">
        <is>
          <t>991004686729702656</t>
        </is>
      </c>
      <c r="AX1804" t="inlineStr">
        <is>
          <t>991004686729702656</t>
        </is>
      </c>
      <c r="AY1804" t="inlineStr">
        <is>
          <t>2268015720002656</t>
        </is>
      </c>
      <c r="AZ1804" t="inlineStr">
        <is>
          <t>BOOK</t>
        </is>
      </c>
      <c r="BB1804" t="inlineStr">
        <is>
          <t>9781582433387</t>
        </is>
      </c>
      <c r="BC1804" t="inlineStr">
        <is>
          <t>32285005144414</t>
        </is>
      </c>
      <c r="BD1804" t="inlineStr">
        <is>
          <t>893688024</t>
        </is>
      </c>
    </row>
    <row r="1805">
      <c r="A1805" t="inlineStr">
        <is>
          <t>No</t>
        </is>
      </c>
      <c r="B1805" t="inlineStr">
        <is>
          <t>LE5.M6625 N47 1992</t>
        </is>
      </c>
      <c r="C1805" t="inlineStr">
        <is>
          <t>0                      LE 0005000M  6625               N  47          1992</t>
        </is>
      </c>
      <c r="D1805" t="inlineStr">
        <is>
          <t>Reconstructing education : toward a pedagogy of critical humanism / Greta Hofmann Nemiroff.</t>
        </is>
      </c>
      <c r="F1805" t="inlineStr">
        <is>
          <t>No</t>
        </is>
      </c>
      <c r="G1805" t="inlineStr">
        <is>
          <t>1</t>
        </is>
      </c>
      <c r="H1805" t="inlineStr">
        <is>
          <t>No</t>
        </is>
      </c>
      <c r="I1805" t="inlineStr">
        <is>
          <t>No</t>
        </is>
      </c>
      <c r="J1805" t="inlineStr">
        <is>
          <t>0</t>
        </is>
      </c>
      <c r="K1805" t="inlineStr">
        <is>
          <t>Nemiroff, Greta.</t>
        </is>
      </c>
      <c r="L1805" t="inlineStr">
        <is>
          <t>New York : Bergin &amp; Garvey, 1992.</t>
        </is>
      </c>
      <c r="M1805" t="inlineStr">
        <is>
          <t>1992</t>
        </is>
      </c>
      <c r="O1805" t="inlineStr">
        <is>
          <t>eng</t>
        </is>
      </c>
      <c r="P1805" t="inlineStr">
        <is>
          <t>nyu</t>
        </is>
      </c>
      <c r="R1805" t="inlineStr">
        <is>
          <t xml:space="preserve">LE </t>
        </is>
      </c>
      <c r="S1805" t="n">
        <v>6</v>
      </c>
      <c r="T1805" t="n">
        <v>6</v>
      </c>
      <c r="U1805" t="inlineStr">
        <is>
          <t>2010-04-11</t>
        </is>
      </c>
      <c r="V1805" t="inlineStr">
        <is>
          <t>2010-04-11</t>
        </is>
      </c>
      <c r="W1805" t="inlineStr">
        <is>
          <t>1992-12-10</t>
        </is>
      </c>
      <c r="X1805" t="inlineStr">
        <is>
          <t>1992-12-10</t>
        </is>
      </c>
      <c r="Y1805" t="n">
        <v>276</v>
      </c>
      <c r="Z1805" t="n">
        <v>220</v>
      </c>
      <c r="AA1805" t="n">
        <v>550</v>
      </c>
      <c r="AB1805" t="n">
        <v>2</v>
      </c>
      <c r="AC1805" t="n">
        <v>4</v>
      </c>
      <c r="AD1805" t="n">
        <v>12</v>
      </c>
      <c r="AE1805" t="n">
        <v>19</v>
      </c>
      <c r="AF1805" t="n">
        <v>2</v>
      </c>
      <c r="AG1805" t="n">
        <v>6</v>
      </c>
      <c r="AH1805" t="n">
        <v>3</v>
      </c>
      <c r="AI1805" t="n">
        <v>4</v>
      </c>
      <c r="AJ1805" t="n">
        <v>7</v>
      </c>
      <c r="AK1805" t="n">
        <v>9</v>
      </c>
      <c r="AL1805" t="n">
        <v>1</v>
      </c>
      <c r="AM1805" t="n">
        <v>3</v>
      </c>
      <c r="AN1805" t="n">
        <v>0</v>
      </c>
      <c r="AO1805" t="n">
        <v>0</v>
      </c>
      <c r="AP1805" t="inlineStr">
        <is>
          <t>No</t>
        </is>
      </c>
      <c r="AQ1805" t="inlineStr">
        <is>
          <t>Yes</t>
        </is>
      </c>
      <c r="AR1805">
        <f>HYPERLINK("http://catalog.hathitrust.org/Record/002581372","HathiTrust Record")</f>
        <v/>
      </c>
      <c r="AS1805">
        <f>HYPERLINK("https://creighton-primo.hosted.exlibrisgroup.com/primo-explore/search?tab=default_tab&amp;search_scope=EVERYTHING&amp;vid=01CRU&amp;lang=en_US&amp;offset=0&amp;query=any,contains,991001937239702656","Catalog Record")</f>
        <v/>
      </c>
      <c r="AT1805">
        <f>HYPERLINK("http://www.worldcat.org/oclc/24468272","WorldCat Record")</f>
        <v/>
      </c>
      <c r="AU1805" t="inlineStr">
        <is>
          <t>2890732:eng</t>
        </is>
      </c>
      <c r="AV1805" t="inlineStr">
        <is>
          <t>24468272</t>
        </is>
      </c>
      <c r="AW1805" t="inlineStr">
        <is>
          <t>991001937239702656</t>
        </is>
      </c>
      <c r="AX1805" t="inlineStr">
        <is>
          <t>991001937239702656</t>
        </is>
      </c>
      <c r="AY1805" t="inlineStr">
        <is>
          <t>2271152440002656</t>
        </is>
      </c>
      <c r="AZ1805" t="inlineStr">
        <is>
          <t>BOOK</t>
        </is>
      </c>
      <c r="BB1805" t="inlineStr">
        <is>
          <t>9780897892667</t>
        </is>
      </c>
      <c r="BC1805" t="inlineStr">
        <is>
          <t>32285001402568</t>
        </is>
      </c>
      <c r="BD1805" t="inlineStr">
        <is>
          <t>893439580</t>
        </is>
      </c>
    </row>
    <row r="1806">
      <c r="A1806" t="inlineStr">
        <is>
          <t>No</t>
        </is>
      </c>
      <c r="B1806" t="inlineStr">
        <is>
          <t>LF4445.5 .V53 1994</t>
        </is>
      </c>
      <c r="C1806" t="inlineStr">
        <is>
          <t>0                      LF 4445500V  53          1994</t>
        </is>
      </c>
      <c r="D1806" t="inlineStr">
        <is>
          <t>Vilniaus Universiteto istorija : 1579-1994.</t>
        </is>
      </c>
      <c r="F1806" t="inlineStr">
        <is>
          <t>No</t>
        </is>
      </c>
      <c r="G1806" t="inlineStr">
        <is>
          <t>1</t>
        </is>
      </c>
      <c r="H1806" t="inlineStr">
        <is>
          <t>No</t>
        </is>
      </c>
      <c r="I1806" t="inlineStr">
        <is>
          <t>No</t>
        </is>
      </c>
      <c r="J1806" t="inlineStr">
        <is>
          <t>0</t>
        </is>
      </c>
      <c r="L1806" t="inlineStr">
        <is>
          <t>Vilnius : Valstybinis leidybos centras, 1994.</t>
        </is>
      </c>
      <c r="M1806" t="inlineStr">
        <is>
          <t>1994</t>
        </is>
      </c>
      <c r="O1806" t="inlineStr">
        <is>
          <t>lit</t>
        </is>
      </c>
      <c r="P1806" t="inlineStr">
        <is>
          <t xml:space="preserve">li </t>
        </is>
      </c>
      <c r="R1806" t="inlineStr">
        <is>
          <t xml:space="preserve">LF </t>
        </is>
      </c>
      <c r="S1806" t="n">
        <v>1</v>
      </c>
      <c r="T1806" t="n">
        <v>1</v>
      </c>
      <c r="U1806" t="inlineStr">
        <is>
          <t>2000-09-19</t>
        </is>
      </c>
      <c r="V1806" t="inlineStr">
        <is>
          <t>2000-09-19</t>
        </is>
      </c>
      <c r="W1806" t="inlineStr">
        <is>
          <t>2000-09-19</t>
        </is>
      </c>
      <c r="X1806" t="inlineStr">
        <is>
          <t>2000-09-19</t>
        </is>
      </c>
      <c r="Y1806" t="n">
        <v>17</v>
      </c>
      <c r="Z1806" t="n">
        <v>10</v>
      </c>
      <c r="AA1806" t="n">
        <v>12</v>
      </c>
      <c r="AB1806" t="n">
        <v>1</v>
      </c>
      <c r="AC1806" t="n">
        <v>1</v>
      </c>
      <c r="AD1806" t="n">
        <v>0</v>
      </c>
      <c r="AE1806" t="n">
        <v>0</v>
      </c>
      <c r="AF1806" t="n">
        <v>0</v>
      </c>
      <c r="AG1806" t="n">
        <v>0</v>
      </c>
      <c r="AH1806" t="n">
        <v>0</v>
      </c>
      <c r="AI1806" t="n">
        <v>0</v>
      </c>
      <c r="AJ1806" t="n">
        <v>0</v>
      </c>
      <c r="AK1806" t="n">
        <v>0</v>
      </c>
      <c r="AL1806" t="n">
        <v>0</v>
      </c>
      <c r="AM1806" t="n">
        <v>0</v>
      </c>
      <c r="AN1806" t="n">
        <v>0</v>
      </c>
      <c r="AO1806" t="n">
        <v>0</v>
      </c>
      <c r="AP1806" t="inlineStr">
        <is>
          <t>No</t>
        </is>
      </c>
      <c r="AQ1806" t="inlineStr">
        <is>
          <t>Yes</t>
        </is>
      </c>
      <c r="AR1806">
        <f>HYPERLINK("http://catalog.hathitrust.org/Record/003994300","HathiTrust Record")</f>
        <v/>
      </c>
      <c r="AS1806">
        <f>HYPERLINK("https://creighton-primo.hosted.exlibrisgroup.com/primo-explore/search?tab=default_tab&amp;search_scope=EVERYTHING&amp;vid=01CRU&amp;lang=en_US&amp;offset=0&amp;query=any,contains,991003294109702656","Catalog Record")</f>
        <v/>
      </c>
      <c r="AT1806">
        <f>HYPERLINK("http://www.worldcat.org/oclc/35014973","WorldCat Record")</f>
        <v/>
      </c>
      <c r="AU1806" t="inlineStr">
        <is>
          <t>39853757:lit</t>
        </is>
      </c>
      <c r="AV1806" t="inlineStr">
        <is>
          <t>35014973</t>
        </is>
      </c>
      <c r="AW1806" t="inlineStr">
        <is>
          <t>991003294109702656</t>
        </is>
      </c>
      <c r="AX1806" t="inlineStr">
        <is>
          <t>991003294109702656</t>
        </is>
      </c>
      <c r="AY1806" t="inlineStr">
        <is>
          <t>2262626140002656</t>
        </is>
      </c>
      <c r="AZ1806" t="inlineStr">
        <is>
          <t>BOOK</t>
        </is>
      </c>
      <c r="BB1806" t="inlineStr">
        <is>
          <t>9789986090472</t>
        </is>
      </c>
      <c r="BC1806" t="inlineStr">
        <is>
          <t>32285003773131</t>
        </is>
      </c>
      <c r="BD1806" t="inlineStr">
        <is>
          <t>893805634</t>
        </is>
      </c>
    </row>
    <row r="1807">
      <c r="A1807" t="inlineStr">
        <is>
          <t>No</t>
        </is>
      </c>
      <c r="B1807" t="inlineStr">
        <is>
          <t>LF509 .B3</t>
        </is>
      </c>
      <c r="C1807" t="inlineStr">
        <is>
          <t>0                      LF 0509000B  3</t>
        </is>
      </c>
      <c r="D1807" t="inlineStr">
        <is>
          <t>Oxford now and then [by] Dacre Balsdon.</t>
        </is>
      </c>
      <c r="F1807" t="inlineStr">
        <is>
          <t>No</t>
        </is>
      </c>
      <c r="G1807" t="inlineStr">
        <is>
          <t>1</t>
        </is>
      </c>
      <c r="H1807" t="inlineStr">
        <is>
          <t>No</t>
        </is>
      </c>
      <c r="I1807" t="inlineStr">
        <is>
          <t>No</t>
        </is>
      </c>
      <c r="J1807" t="inlineStr">
        <is>
          <t>0</t>
        </is>
      </c>
      <c r="K1807" t="inlineStr">
        <is>
          <t>Balsdon, J. P. V. D. (John Percy Vyvian Dacre), 1901-1977.</t>
        </is>
      </c>
      <c r="L1807" t="inlineStr">
        <is>
          <t>London, Duckworth, 1970.</t>
        </is>
      </c>
      <c r="M1807" t="inlineStr">
        <is>
          <t>1970</t>
        </is>
      </c>
      <c r="O1807" t="inlineStr">
        <is>
          <t>eng</t>
        </is>
      </c>
      <c r="P1807" t="inlineStr">
        <is>
          <t>enk</t>
        </is>
      </c>
      <c r="R1807" t="inlineStr">
        <is>
          <t xml:space="preserve">LF </t>
        </is>
      </c>
      <c r="S1807" t="n">
        <v>1</v>
      </c>
      <c r="T1807" t="n">
        <v>1</v>
      </c>
      <c r="U1807" t="inlineStr">
        <is>
          <t>2005-01-31</t>
        </is>
      </c>
      <c r="V1807" t="inlineStr">
        <is>
          <t>2005-01-31</t>
        </is>
      </c>
      <c r="W1807" t="inlineStr">
        <is>
          <t>1997-06-19</t>
        </is>
      </c>
      <c r="X1807" t="inlineStr">
        <is>
          <t>1997-06-19</t>
        </is>
      </c>
      <c r="Y1807" t="n">
        <v>177</v>
      </c>
      <c r="Z1807" t="n">
        <v>118</v>
      </c>
      <c r="AA1807" t="n">
        <v>193</v>
      </c>
      <c r="AB1807" t="n">
        <v>2</v>
      </c>
      <c r="AC1807" t="n">
        <v>2</v>
      </c>
      <c r="AD1807" t="n">
        <v>5</v>
      </c>
      <c r="AE1807" t="n">
        <v>8</v>
      </c>
      <c r="AF1807" t="n">
        <v>1</v>
      </c>
      <c r="AG1807" t="n">
        <v>2</v>
      </c>
      <c r="AH1807" t="n">
        <v>1</v>
      </c>
      <c r="AI1807" t="n">
        <v>2</v>
      </c>
      <c r="AJ1807" t="n">
        <v>3</v>
      </c>
      <c r="AK1807" t="n">
        <v>5</v>
      </c>
      <c r="AL1807" t="n">
        <v>1</v>
      </c>
      <c r="AM1807" t="n">
        <v>1</v>
      </c>
      <c r="AN1807" t="n">
        <v>0</v>
      </c>
      <c r="AO1807" t="n">
        <v>0</v>
      </c>
      <c r="AP1807" t="inlineStr">
        <is>
          <t>No</t>
        </is>
      </c>
      <c r="AQ1807" t="inlineStr">
        <is>
          <t>No</t>
        </is>
      </c>
      <c r="AS1807">
        <f>HYPERLINK("https://creighton-primo.hosted.exlibrisgroup.com/primo-explore/search?tab=default_tab&amp;search_scope=EVERYTHING&amp;vid=01CRU&amp;lang=en_US&amp;offset=0&amp;query=any,contains,991003112739702656","Catalog Record")</f>
        <v/>
      </c>
      <c r="AT1807">
        <f>HYPERLINK("http://www.worldcat.org/oclc/657887","WorldCat Record")</f>
        <v/>
      </c>
      <c r="AU1807" t="inlineStr">
        <is>
          <t>309251189:eng</t>
        </is>
      </c>
      <c r="AV1807" t="inlineStr">
        <is>
          <t>657887</t>
        </is>
      </c>
      <c r="AW1807" t="inlineStr">
        <is>
          <t>991003112739702656</t>
        </is>
      </c>
      <c r="AX1807" t="inlineStr">
        <is>
          <t>991003112739702656</t>
        </is>
      </c>
      <c r="AY1807" t="inlineStr">
        <is>
          <t>2259922360002656</t>
        </is>
      </c>
      <c r="AZ1807" t="inlineStr">
        <is>
          <t>BOOK</t>
        </is>
      </c>
      <c r="BC1807" t="inlineStr">
        <is>
          <t>32285002823119</t>
        </is>
      </c>
      <c r="BD1807" t="inlineStr">
        <is>
          <t>893880832</t>
        </is>
      </c>
    </row>
    <row r="1808">
      <c r="A1808" t="inlineStr">
        <is>
          <t>No</t>
        </is>
      </c>
      <c r="B1808" t="inlineStr">
        <is>
          <t>LF509 .B75 1988</t>
        </is>
      </c>
      <c r="C1808" t="inlineStr">
        <is>
          <t>0                      LF 0509000B  75          1988</t>
        </is>
      </c>
      <c r="D1808" t="inlineStr">
        <is>
          <t>Oxford and Cambridge / Christopher Brooke and Roger Highfield ; photographs by Wim Swaan.</t>
        </is>
      </c>
      <c r="F1808" t="inlineStr">
        <is>
          <t>No</t>
        </is>
      </c>
      <c r="G1808" t="inlineStr">
        <is>
          <t>1</t>
        </is>
      </c>
      <c r="H1808" t="inlineStr">
        <is>
          <t>No</t>
        </is>
      </c>
      <c r="I1808" t="inlineStr">
        <is>
          <t>No</t>
        </is>
      </c>
      <c r="J1808" t="inlineStr">
        <is>
          <t>0</t>
        </is>
      </c>
      <c r="K1808" t="inlineStr">
        <is>
          <t>Brooke, Christopher, 1927-2015.</t>
        </is>
      </c>
      <c r="L1808" t="inlineStr">
        <is>
          <t>Cambridge [England] ; New York : Cambridge University Press, 1988.</t>
        </is>
      </c>
      <c r="M1808" t="inlineStr">
        <is>
          <t>1988</t>
        </is>
      </c>
      <c r="O1808" t="inlineStr">
        <is>
          <t>eng</t>
        </is>
      </c>
      <c r="P1808" t="inlineStr">
        <is>
          <t>enk</t>
        </is>
      </c>
      <c r="R1808" t="inlineStr">
        <is>
          <t xml:space="preserve">LF </t>
        </is>
      </c>
      <c r="S1808" t="n">
        <v>1</v>
      </c>
      <c r="T1808" t="n">
        <v>1</v>
      </c>
      <c r="U1808" t="inlineStr">
        <is>
          <t>2005-01-31</t>
        </is>
      </c>
      <c r="V1808" t="inlineStr">
        <is>
          <t>2005-01-31</t>
        </is>
      </c>
      <c r="W1808" t="inlineStr">
        <is>
          <t>1990-08-13</t>
        </is>
      </c>
      <c r="X1808" t="inlineStr">
        <is>
          <t>1990-08-13</t>
        </is>
      </c>
      <c r="Y1808" t="n">
        <v>715</v>
      </c>
      <c r="Z1808" t="n">
        <v>564</v>
      </c>
      <c r="AA1808" t="n">
        <v>573</v>
      </c>
      <c r="AB1808" t="n">
        <v>2</v>
      </c>
      <c r="AC1808" t="n">
        <v>2</v>
      </c>
      <c r="AD1808" t="n">
        <v>23</v>
      </c>
      <c r="AE1808" t="n">
        <v>23</v>
      </c>
      <c r="AF1808" t="n">
        <v>9</v>
      </c>
      <c r="AG1808" t="n">
        <v>9</v>
      </c>
      <c r="AH1808" t="n">
        <v>6</v>
      </c>
      <c r="AI1808" t="n">
        <v>6</v>
      </c>
      <c r="AJ1808" t="n">
        <v>12</v>
      </c>
      <c r="AK1808" t="n">
        <v>12</v>
      </c>
      <c r="AL1808" t="n">
        <v>1</v>
      </c>
      <c r="AM1808" t="n">
        <v>1</v>
      </c>
      <c r="AN1808" t="n">
        <v>0</v>
      </c>
      <c r="AO1808" t="n">
        <v>0</v>
      </c>
      <c r="AP1808" t="inlineStr">
        <is>
          <t>No</t>
        </is>
      </c>
      <c r="AQ1808" t="inlineStr">
        <is>
          <t>No</t>
        </is>
      </c>
      <c r="AS1808">
        <f>HYPERLINK("https://creighton-primo.hosted.exlibrisgroup.com/primo-explore/search?tab=default_tab&amp;search_scope=EVERYTHING&amp;vid=01CRU&amp;lang=en_US&amp;offset=0&amp;query=any,contains,991001033459702656","Catalog Record")</f>
        <v/>
      </c>
      <c r="AT1808">
        <f>HYPERLINK("http://www.worldcat.org/oclc/15521323","WorldCat Record")</f>
        <v/>
      </c>
      <c r="AU1808" t="inlineStr">
        <is>
          <t>10214168:eng</t>
        </is>
      </c>
      <c r="AV1808" t="inlineStr">
        <is>
          <t>15521323</t>
        </is>
      </c>
      <c r="AW1808" t="inlineStr">
        <is>
          <t>991001033459702656</t>
        </is>
      </c>
      <c r="AX1808" t="inlineStr">
        <is>
          <t>991001033459702656</t>
        </is>
      </c>
      <c r="AY1808" t="inlineStr">
        <is>
          <t>2270731880002656</t>
        </is>
      </c>
      <c r="AZ1808" t="inlineStr">
        <is>
          <t>BOOK</t>
        </is>
      </c>
      <c r="BB1808" t="inlineStr">
        <is>
          <t>9780521301398</t>
        </is>
      </c>
      <c r="BC1808" t="inlineStr">
        <is>
          <t>32285000273143</t>
        </is>
      </c>
      <c r="BD1808" t="inlineStr">
        <is>
          <t>893626546</t>
        </is>
      </c>
    </row>
    <row r="1809">
      <c r="A1809" t="inlineStr">
        <is>
          <t>No</t>
        </is>
      </c>
      <c r="B1809" t="inlineStr">
        <is>
          <t>LF509 .O93</t>
        </is>
      </c>
      <c r="C1809" t="inlineStr">
        <is>
          <t>0                      LF 0509000O  93</t>
        </is>
      </c>
      <c r="D1809" t="inlineStr">
        <is>
          <t>The Oxford book of Oxford / chosen and edited by Jan Morris. --</t>
        </is>
      </c>
      <c r="F1809" t="inlineStr">
        <is>
          <t>No</t>
        </is>
      </c>
      <c r="G1809" t="inlineStr">
        <is>
          <t>1</t>
        </is>
      </c>
      <c r="H1809" t="inlineStr">
        <is>
          <t>No</t>
        </is>
      </c>
      <c r="I1809" t="inlineStr">
        <is>
          <t>No</t>
        </is>
      </c>
      <c r="J1809" t="inlineStr">
        <is>
          <t>0</t>
        </is>
      </c>
      <c r="L1809" t="inlineStr">
        <is>
          <t>Oxford ; New York : Oxford University Press, 1978.</t>
        </is>
      </c>
      <c r="M1809" t="inlineStr">
        <is>
          <t>1978</t>
        </is>
      </c>
      <c r="O1809" t="inlineStr">
        <is>
          <t>eng</t>
        </is>
      </c>
      <c r="P1809" t="inlineStr">
        <is>
          <t>enk</t>
        </is>
      </c>
      <c r="R1809" t="inlineStr">
        <is>
          <t xml:space="preserve">LF </t>
        </is>
      </c>
      <c r="S1809" t="n">
        <v>2</v>
      </c>
      <c r="T1809" t="n">
        <v>2</v>
      </c>
      <c r="U1809" t="inlineStr">
        <is>
          <t>2008-10-01</t>
        </is>
      </c>
      <c r="V1809" t="inlineStr">
        <is>
          <t>2008-10-01</t>
        </is>
      </c>
      <c r="W1809" t="inlineStr">
        <is>
          <t>1992-09-14</t>
        </is>
      </c>
      <c r="X1809" t="inlineStr">
        <is>
          <t>1992-09-14</t>
        </is>
      </c>
      <c r="Y1809" t="n">
        <v>875</v>
      </c>
      <c r="Z1809" t="n">
        <v>692</v>
      </c>
      <c r="AA1809" t="n">
        <v>733</v>
      </c>
      <c r="AB1809" t="n">
        <v>2</v>
      </c>
      <c r="AC1809" t="n">
        <v>2</v>
      </c>
      <c r="AD1809" t="n">
        <v>27</v>
      </c>
      <c r="AE1809" t="n">
        <v>27</v>
      </c>
      <c r="AF1809" t="n">
        <v>8</v>
      </c>
      <c r="AG1809" t="n">
        <v>8</v>
      </c>
      <c r="AH1809" t="n">
        <v>9</v>
      </c>
      <c r="AI1809" t="n">
        <v>9</v>
      </c>
      <c r="AJ1809" t="n">
        <v>16</v>
      </c>
      <c r="AK1809" t="n">
        <v>16</v>
      </c>
      <c r="AL1809" t="n">
        <v>1</v>
      </c>
      <c r="AM1809" t="n">
        <v>1</v>
      </c>
      <c r="AN1809" t="n">
        <v>0</v>
      </c>
      <c r="AO1809" t="n">
        <v>0</v>
      </c>
      <c r="AP1809" t="inlineStr">
        <is>
          <t>No</t>
        </is>
      </c>
      <c r="AQ1809" t="inlineStr">
        <is>
          <t>Yes</t>
        </is>
      </c>
      <c r="AR1809">
        <f>HYPERLINK("http://catalog.hathitrust.org/Record/000091407","HathiTrust Record")</f>
        <v/>
      </c>
      <c r="AS1809">
        <f>HYPERLINK("https://creighton-primo.hosted.exlibrisgroup.com/primo-explore/search?tab=default_tab&amp;search_scope=EVERYTHING&amp;vid=01CRU&amp;lang=en_US&amp;offset=0&amp;query=any,contains,991004473719702656","Catalog Record")</f>
        <v/>
      </c>
      <c r="AT1809">
        <f>HYPERLINK("http://www.worldcat.org/oclc/3608336","WorldCat Record")</f>
        <v/>
      </c>
      <c r="AU1809" t="inlineStr">
        <is>
          <t>501735677:eng</t>
        </is>
      </c>
      <c r="AV1809" t="inlineStr">
        <is>
          <t>3608336</t>
        </is>
      </c>
      <c r="AW1809" t="inlineStr">
        <is>
          <t>991004473719702656</t>
        </is>
      </c>
      <c r="AX1809" t="inlineStr">
        <is>
          <t>991004473719702656</t>
        </is>
      </c>
      <c r="AY1809" t="inlineStr">
        <is>
          <t>2271655020002656</t>
        </is>
      </c>
      <c r="AZ1809" t="inlineStr">
        <is>
          <t>BOOK</t>
        </is>
      </c>
      <c r="BB1809" t="inlineStr">
        <is>
          <t>9780192141040</t>
        </is>
      </c>
      <c r="BC1809" t="inlineStr">
        <is>
          <t>32285001311033</t>
        </is>
      </c>
      <c r="BD1809" t="inlineStr">
        <is>
          <t>893687769</t>
        </is>
      </c>
    </row>
    <row r="1810">
      <c r="A1810" t="inlineStr">
        <is>
          <t>No</t>
        </is>
      </c>
      <c r="B1810" t="inlineStr">
        <is>
          <t>LF510 .I45 1993</t>
        </is>
      </c>
      <c r="C1810" t="inlineStr">
        <is>
          <t>0                      LF 0510000I  45          1993</t>
        </is>
      </c>
      <c r="D1810" t="inlineStr">
        <is>
          <t>The Illustrated history of Oxford University / edited by John Prest.</t>
        </is>
      </c>
      <c r="F1810" t="inlineStr">
        <is>
          <t>No</t>
        </is>
      </c>
      <c r="G1810" t="inlineStr">
        <is>
          <t>1</t>
        </is>
      </c>
      <c r="H1810" t="inlineStr">
        <is>
          <t>No</t>
        </is>
      </c>
      <c r="I1810" t="inlineStr">
        <is>
          <t>No</t>
        </is>
      </c>
      <c r="J1810" t="inlineStr">
        <is>
          <t>0</t>
        </is>
      </c>
      <c r="L1810" t="inlineStr">
        <is>
          <t>Oxford ; New York : Oxford University Press, 1993.</t>
        </is>
      </c>
      <c r="M1810" t="inlineStr">
        <is>
          <t>1993</t>
        </is>
      </c>
      <c r="O1810" t="inlineStr">
        <is>
          <t>eng</t>
        </is>
      </c>
      <c r="P1810" t="inlineStr">
        <is>
          <t>enk</t>
        </is>
      </c>
      <c r="R1810" t="inlineStr">
        <is>
          <t xml:space="preserve">LF </t>
        </is>
      </c>
      <c r="S1810" t="n">
        <v>10</v>
      </c>
      <c r="T1810" t="n">
        <v>10</v>
      </c>
      <c r="U1810" t="inlineStr">
        <is>
          <t>2005-01-31</t>
        </is>
      </c>
      <c r="V1810" t="inlineStr">
        <is>
          <t>2005-01-31</t>
        </is>
      </c>
      <c r="W1810" t="inlineStr">
        <is>
          <t>1993-09-28</t>
        </is>
      </c>
      <c r="X1810" t="inlineStr">
        <is>
          <t>1993-09-28</t>
        </is>
      </c>
      <c r="Y1810" t="n">
        <v>310</v>
      </c>
      <c r="Z1810" t="n">
        <v>186</v>
      </c>
      <c r="AA1810" t="n">
        <v>186</v>
      </c>
      <c r="AB1810" t="n">
        <v>3</v>
      </c>
      <c r="AC1810" t="n">
        <v>3</v>
      </c>
      <c r="AD1810" t="n">
        <v>10</v>
      </c>
      <c r="AE1810" t="n">
        <v>10</v>
      </c>
      <c r="AF1810" t="n">
        <v>4</v>
      </c>
      <c r="AG1810" t="n">
        <v>4</v>
      </c>
      <c r="AH1810" t="n">
        <v>3</v>
      </c>
      <c r="AI1810" t="n">
        <v>3</v>
      </c>
      <c r="AJ1810" t="n">
        <v>4</v>
      </c>
      <c r="AK1810" t="n">
        <v>4</v>
      </c>
      <c r="AL1810" t="n">
        <v>2</v>
      </c>
      <c r="AM1810" t="n">
        <v>2</v>
      </c>
      <c r="AN1810" t="n">
        <v>0</v>
      </c>
      <c r="AO1810" t="n">
        <v>0</v>
      </c>
      <c r="AP1810" t="inlineStr">
        <is>
          <t>No</t>
        </is>
      </c>
      <c r="AQ1810" t="inlineStr">
        <is>
          <t>No</t>
        </is>
      </c>
      <c r="AS1810">
        <f>HYPERLINK("https://creighton-primo.hosted.exlibrisgroup.com/primo-explore/search?tab=default_tab&amp;search_scope=EVERYTHING&amp;vid=01CRU&amp;lang=en_US&amp;offset=0&amp;query=any,contains,991002092659702656","Catalog Record")</f>
        <v/>
      </c>
      <c r="AT1810">
        <f>HYPERLINK("http://www.worldcat.org/oclc/26852769","WorldCat Record")</f>
        <v/>
      </c>
      <c r="AU1810" t="inlineStr">
        <is>
          <t>29200574:eng</t>
        </is>
      </c>
      <c r="AV1810" t="inlineStr">
        <is>
          <t>26852769</t>
        </is>
      </c>
      <c r="AW1810" t="inlineStr">
        <is>
          <t>991002092659702656</t>
        </is>
      </c>
      <c r="AX1810" t="inlineStr">
        <is>
          <t>991002092659702656</t>
        </is>
      </c>
      <c r="AY1810" t="inlineStr">
        <is>
          <t>2264949370002656</t>
        </is>
      </c>
      <c r="AZ1810" t="inlineStr">
        <is>
          <t>BOOK</t>
        </is>
      </c>
      <c r="BB1810" t="inlineStr">
        <is>
          <t>9780198201588</t>
        </is>
      </c>
      <c r="BC1810" t="inlineStr">
        <is>
          <t>32285001768109</t>
        </is>
      </c>
      <c r="BD1810" t="inlineStr">
        <is>
          <t>893244756</t>
        </is>
      </c>
    </row>
    <row r="1811">
      <c r="A1811" t="inlineStr">
        <is>
          <t>No</t>
        </is>
      </c>
      <c r="B1811" t="inlineStr">
        <is>
          <t>LF510 .O9</t>
        </is>
      </c>
      <c r="C1811" t="inlineStr">
        <is>
          <t>0                      LF 0510000O  9</t>
        </is>
      </c>
      <c r="D1811" t="inlineStr">
        <is>
          <t>Oxford and Cambridge, with an introduction by J. W. Clark.</t>
        </is>
      </c>
      <c r="F1811" t="inlineStr">
        <is>
          <t>No</t>
        </is>
      </c>
      <c r="G1811" t="inlineStr">
        <is>
          <t>1</t>
        </is>
      </c>
      <c r="H1811" t="inlineStr">
        <is>
          <t>No</t>
        </is>
      </c>
      <c r="I1811" t="inlineStr">
        <is>
          <t>No</t>
        </is>
      </c>
      <c r="J1811" t="inlineStr">
        <is>
          <t>0</t>
        </is>
      </c>
      <c r="K1811" t="inlineStr">
        <is>
          <t>Fletcher, Hanslip, 1874-1955.</t>
        </is>
      </c>
      <c r="L1811" t="inlineStr">
        <is>
          <t>London, Pitman, 1910.</t>
        </is>
      </c>
      <c r="M1811" t="inlineStr">
        <is>
          <t>1910</t>
        </is>
      </c>
      <c r="O1811" t="inlineStr">
        <is>
          <t>eng</t>
        </is>
      </c>
      <c r="P1811" t="inlineStr">
        <is>
          <t xml:space="preserve">xx </t>
        </is>
      </c>
      <c r="R1811" t="inlineStr">
        <is>
          <t xml:space="preserve">LF </t>
        </is>
      </c>
      <c r="S1811" t="n">
        <v>1</v>
      </c>
      <c r="T1811" t="n">
        <v>1</v>
      </c>
      <c r="U1811" t="inlineStr">
        <is>
          <t>2005-01-31</t>
        </is>
      </c>
      <c r="V1811" t="inlineStr">
        <is>
          <t>2005-01-31</t>
        </is>
      </c>
      <c r="W1811" t="inlineStr">
        <is>
          <t>1997-06-19</t>
        </is>
      </c>
      <c r="X1811" t="inlineStr">
        <is>
          <t>1997-06-19</t>
        </is>
      </c>
      <c r="Y1811" t="n">
        <v>40</v>
      </c>
      <c r="Z1811" t="n">
        <v>36</v>
      </c>
      <c r="AA1811" t="n">
        <v>64</v>
      </c>
      <c r="AB1811" t="n">
        <v>2</v>
      </c>
      <c r="AC1811" t="n">
        <v>2</v>
      </c>
      <c r="AD1811" t="n">
        <v>2</v>
      </c>
      <c r="AE1811" t="n">
        <v>3</v>
      </c>
      <c r="AF1811" t="n">
        <v>0</v>
      </c>
      <c r="AG1811" t="n">
        <v>0</v>
      </c>
      <c r="AH1811" t="n">
        <v>1</v>
      </c>
      <c r="AI1811" t="n">
        <v>1</v>
      </c>
      <c r="AJ1811" t="n">
        <v>1</v>
      </c>
      <c r="AK1811" t="n">
        <v>2</v>
      </c>
      <c r="AL1811" t="n">
        <v>1</v>
      </c>
      <c r="AM1811" t="n">
        <v>1</v>
      </c>
      <c r="AN1811" t="n">
        <v>0</v>
      </c>
      <c r="AO1811" t="n">
        <v>0</v>
      </c>
      <c r="AP1811" t="inlineStr">
        <is>
          <t>No</t>
        </is>
      </c>
      <c r="AQ1811" t="inlineStr">
        <is>
          <t>No</t>
        </is>
      </c>
      <c r="AS1811">
        <f>HYPERLINK("https://creighton-primo.hosted.exlibrisgroup.com/primo-explore/search?tab=default_tab&amp;search_scope=EVERYTHING&amp;vid=01CRU&amp;lang=en_US&amp;offset=0&amp;query=any,contains,991004743919702656","Catalog Record")</f>
        <v/>
      </c>
      <c r="AT1811">
        <f>HYPERLINK("http://www.worldcat.org/oclc/5215887","WorldCat Record")</f>
        <v/>
      </c>
      <c r="AU1811" t="inlineStr">
        <is>
          <t>15125230:eng</t>
        </is>
      </c>
      <c r="AV1811" t="inlineStr">
        <is>
          <t>5215887</t>
        </is>
      </c>
      <c r="AW1811" t="inlineStr">
        <is>
          <t>991004743919702656</t>
        </is>
      </c>
      <c r="AX1811" t="inlineStr">
        <is>
          <t>991004743919702656</t>
        </is>
      </c>
      <c r="AY1811" t="inlineStr">
        <is>
          <t>2263245550002656</t>
        </is>
      </c>
      <c r="AZ1811" t="inlineStr">
        <is>
          <t>BOOK</t>
        </is>
      </c>
      <c r="BC1811" t="inlineStr">
        <is>
          <t>32285002823184</t>
        </is>
      </c>
      <c r="BD1811" t="inlineStr">
        <is>
          <t>893782602</t>
        </is>
      </c>
    </row>
    <row r="1812">
      <c r="A1812" t="inlineStr">
        <is>
          <t>No</t>
        </is>
      </c>
      <c r="B1812" t="inlineStr">
        <is>
          <t>LF519 .E53 1983</t>
        </is>
      </c>
      <c r="C1812" t="inlineStr">
        <is>
          <t>0                      LF 0519000E  53          1983</t>
        </is>
      </c>
      <c r="D1812" t="inlineStr">
        <is>
          <t>From clergyman to don : the rise of the academic profession in nineteenth-century Oxford / A.J. Engel.</t>
        </is>
      </c>
      <c r="F1812" t="inlineStr">
        <is>
          <t>No</t>
        </is>
      </c>
      <c r="G1812" t="inlineStr">
        <is>
          <t>1</t>
        </is>
      </c>
      <c r="H1812" t="inlineStr">
        <is>
          <t>No</t>
        </is>
      </c>
      <c r="I1812" t="inlineStr">
        <is>
          <t>No</t>
        </is>
      </c>
      <c r="J1812" t="inlineStr">
        <is>
          <t>0</t>
        </is>
      </c>
      <c r="K1812" t="inlineStr">
        <is>
          <t>Engel, A. J.</t>
        </is>
      </c>
      <c r="L1812" t="inlineStr">
        <is>
          <t>New York : Oxford University Press, 1983.</t>
        </is>
      </c>
      <c r="M1812" t="inlineStr">
        <is>
          <t>1983</t>
        </is>
      </c>
      <c r="O1812" t="inlineStr">
        <is>
          <t>eng</t>
        </is>
      </c>
      <c r="P1812" t="inlineStr">
        <is>
          <t>nyu</t>
        </is>
      </c>
      <c r="R1812" t="inlineStr">
        <is>
          <t xml:space="preserve">LF </t>
        </is>
      </c>
      <c r="S1812" t="n">
        <v>0</v>
      </c>
      <c r="T1812" t="n">
        <v>0</v>
      </c>
      <c r="U1812" t="inlineStr">
        <is>
          <t>2005-03-31</t>
        </is>
      </c>
      <c r="V1812" t="inlineStr">
        <is>
          <t>2005-03-31</t>
        </is>
      </c>
      <c r="W1812" t="inlineStr">
        <is>
          <t>1990-02-06</t>
        </is>
      </c>
      <c r="X1812" t="inlineStr">
        <is>
          <t>1990-02-06</t>
        </is>
      </c>
      <c r="Y1812" t="n">
        <v>320</v>
      </c>
      <c r="Z1812" t="n">
        <v>255</v>
      </c>
      <c r="AA1812" t="n">
        <v>323</v>
      </c>
      <c r="AB1812" t="n">
        <v>1</v>
      </c>
      <c r="AC1812" t="n">
        <v>1</v>
      </c>
      <c r="AD1812" t="n">
        <v>11</v>
      </c>
      <c r="AE1812" t="n">
        <v>13</v>
      </c>
      <c r="AF1812" t="n">
        <v>1</v>
      </c>
      <c r="AG1812" t="n">
        <v>2</v>
      </c>
      <c r="AH1812" t="n">
        <v>4</v>
      </c>
      <c r="AI1812" t="n">
        <v>5</v>
      </c>
      <c r="AJ1812" t="n">
        <v>8</v>
      </c>
      <c r="AK1812" t="n">
        <v>10</v>
      </c>
      <c r="AL1812" t="n">
        <v>0</v>
      </c>
      <c r="AM1812" t="n">
        <v>0</v>
      </c>
      <c r="AN1812" t="n">
        <v>0</v>
      </c>
      <c r="AO1812" t="n">
        <v>0</v>
      </c>
      <c r="AP1812" t="inlineStr">
        <is>
          <t>No</t>
        </is>
      </c>
      <c r="AQ1812" t="inlineStr">
        <is>
          <t>No</t>
        </is>
      </c>
      <c r="AS1812">
        <f>HYPERLINK("https://creighton-primo.hosted.exlibrisgroup.com/primo-explore/search?tab=default_tab&amp;search_scope=EVERYTHING&amp;vid=01CRU&amp;lang=en_US&amp;offset=0&amp;query=any,contains,991000016949702656","Catalog Record")</f>
        <v/>
      </c>
      <c r="AT1812">
        <f>HYPERLINK("http://www.worldcat.org/oclc/8553275","WorldCat Record")</f>
        <v/>
      </c>
      <c r="AU1812" t="inlineStr">
        <is>
          <t>3481294:eng</t>
        </is>
      </c>
      <c r="AV1812" t="inlineStr">
        <is>
          <t>8553275</t>
        </is>
      </c>
      <c r="AW1812" t="inlineStr">
        <is>
          <t>991000016949702656</t>
        </is>
      </c>
      <c r="AX1812" t="inlineStr">
        <is>
          <t>991000016949702656</t>
        </is>
      </c>
      <c r="AY1812" t="inlineStr">
        <is>
          <t>2258781230002656</t>
        </is>
      </c>
      <c r="AZ1812" t="inlineStr">
        <is>
          <t>BOOK</t>
        </is>
      </c>
      <c r="BB1812" t="inlineStr">
        <is>
          <t>9780198226062</t>
        </is>
      </c>
      <c r="BC1812" t="inlineStr">
        <is>
          <t>32285000033224</t>
        </is>
      </c>
      <c r="BD1812" t="inlineStr">
        <is>
          <t>893236996</t>
        </is>
      </c>
    </row>
    <row r="1813">
      <c r="A1813" t="inlineStr">
        <is>
          <t>No</t>
        </is>
      </c>
      <c r="B1813" t="inlineStr">
        <is>
          <t>LF523 .M92 1979</t>
        </is>
      </c>
      <c r="C1813" t="inlineStr">
        <is>
          <t>0                      LF 0523000M  92          1979</t>
        </is>
      </c>
      <c r="D1813" t="inlineStr">
        <is>
          <t>My Oxford, my Cambridge : memories of university life by twenty-four distinguished graduates / edited and introduced by Ann Thwaite and Ronald Hayman.</t>
        </is>
      </c>
      <c r="F1813" t="inlineStr">
        <is>
          <t>No</t>
        </is>
      </c>
      <c r="G1813" t="inlineStr">
        <is>
          <t>1</t>
        </is>
      </c>
      <c r="H1813" t="inlineStr">
        <is>
          <t>No</t>
        </is>
      </c>
      <c r="I1813" t="inlineStr">
        <is>
          <t>No</t>
        </is>
      </c>
      <c r="J1813" t="inlineStr">
        <is>
          <t>0</t>
        </is>
      </c>
      <c r="L1813" t="inlineStr">
        <is>
          <t>New York : Taplinger Pub. Co., 1979, c1977.</t>
        </is>
      </c>
      <c r="M1813" t="inlineStr">
        <is>
          <t>1979</t>
        </is>
      </c>
      <c r="O1813" t="inlineStr">
        <is>
          <t>eng</t>
        </is>
      </c>
      <c r="P1813" t="inlineStr">
        <is>
          <t>nyu</t>
        </is>
      </c>
      <c r="R1813" t="inlineStr">
        <is>
          <t xml:space="preserve">LF </t>
        </is>
      </c>
      <c r="S1813" t="n">
        <v>2</v>
      </c>
      <c r="T1813" t="n">
        <v>2</v>
      </c>
      <c r="U1813" t="inlineStr">
        <is>
          <t>1999-03-17</t>
        </is>
      </c>
      <c r="V1813" t="inlineStr">
        <is>
          <t>1999-03-17</t>
        </is>
      </c>
      <c r="W1813" t="inlineStr">
        <is>
          <t>1992-09-14</t>
        </is>
      </c>
      <c r="X1813" t="inlineStr">
        <is>
          <t>1992-09-14</t>
        </is>
      </c>
      <c r="Y1813" t="n">
        <v>183</v>
      </c>
      <c r="Z1813" t="n">
        <v>174</v>
      </c>
      <c r="AA1813" t="n">
        <v>179</v>
      </c>
      <c r="AB1813" t="n">
        <v>1</v>
      </c>
      <c r="AC1813" t="n">
        <v>1</v>
      </c>
      <c r="AD1813" t="n">
        <v>4</v>
      </c>
      <c r="AE1813" t="n">
        <v>4</v>
      </c>
      <c r="AF1813" t="n">
        <v>1</v>
      </c>
      <c r="AG1813" t="n">
        <v>1</v>
      </c>
      <c r="AH1813" t="n">
        <v>2</v>
      </c>
      <c r="AI1813" t="n">
        <v>2</v>
      </c>
      <c r="AJ1813" t="n">
        <v>1</v>
      </c>
      <c r="AK1813" t="n">
        <v>1</v>
      </c>
      <c r="AL1813" t="n">
        <v>0</v>
      </c>
      <c r="AM1813" t="n">
        <v>0</v>
      </c>
      <c r="AN1813" t="n">
        <v>0</v>
      </c>
      <c r="AO1813" t="n">
        <v>0</v>
      </c>
      <c r="AP1813" t="inlineStr">
        <is>
          <t>No</t>
        </is>
      </c>
      <c r="AQ1813" t="inlineStr">
        <is>
          <t>No</t>
        </is>
      </c>
      <c r="AS1813">
        <f>HYPERLINK("https://creighton-primo.hosted.exlibrisgroup.com/primo-explore/search?tab=default_tab&amp;search_scope=EVERYTHING&amp;vid=01CRU&amp;lang=en_US&amp;offset=0&amp;query=any,contains,991004761679702656","Catalog Record")</f>
        <v/>
      </c>
      <c r="AT1813">
        <f>HYPERLINK("http://www.worldcat.org/oclc/5007224","WorldCat Record")</f>
        <v/>
      </c>
      <c r="AU1813" t="inlineStr">
        <is>
          <t>425339531:eng</t>
        </is>
      </c>
      <c r="AV1813" t="inlineStr">
        <is>
          <t>5007224</t>
        </is>
      </c>
      <c r="AW1813" t="inlineStr">
        <is>
          <t>991004761679702656</t>
        </is>
      </c>
      <c r="AX1813" t="inlineStr">
        <is>
          <t>991004761679702656</t>
        </is>
      </c>
      <c r="AY1813" t="inlineStr">
        <is>
          <t>2271730300002656</t>
        </is>
      </c>
      <c r="AZ1813" t="inlineStr">
        <is>
          <t>BOOK</t>
        </is>
      </c>
      <c r="BB1813" t="inlineStr">
        <is>
          <t>9780800854683</t>
        </is>
      </c>
      <c r="BC1813" t="inlineStr">
        <is>
          <t>32285001311058</t>
        </is>
      </c>
      <c r="BD1813" t="inlineStr">
        <is>
          <t>893350356</t>
        </is>
      </c>
    </row>
    <row r="1814">
      <c r="A1814" t="inlineStr">
        <is>
          <t>No</t>
        </is>
      </c>
      <c r="B1814" t="inlineStr">
        <is>
          <t>LF528 .C72 1954</t>
        </is>
      </c>
      <c r="C1814" t="inlineStr">
        <is>
          <t>0                      LF 0528000C  72          1954</t>
        </is>
      </c>
      <c r="D1814" t="inlineStr">
        <is>
          <t>Ackermann's Oxford / with notes by H. M. Colvin.</t>
        </is>
      </c>
      <c r="F1814" t="inlineStr">
        <is>
          <t>No</t>
        </is>
      </c>
      <c r="G1814" t="inlineStr">
        <is>
          <t>1</t>
        </is>
      </c>
      <c r="H1814" t="inlineStr">
        <is>
          <t>No</t>
        </is>
      </c>
      <c r="I1814" t="inlineStr">
        <is>
          <t>No</t>
        </is>
      </c>
      <c r="J1814" t="inlineStr">
        <is>
          <t>0</t>
        </is>
      </c>
      <c r="K1814" t="inlineStr">
        <is>
          <t>Colvin, Howard, 1919-2007.</t>
        </is>
      </c>
      <c r="L1814" t="inlineStr">
        <is>
          <t>London : Penguin Books, 1954.</t>
        </is>
      </c>
      <c r="M1814" t="inlineStr">
        <is>
          <t>1954</t>
        </is>
      </c>
      <c r="O1814" t="inlineStr">
        <is>
          <t>eng</t>
        </is>
      </c>
      <c r="P1814" t="inlineStr">
        <is>
          <t>enk</t>
        </is>
      </c>
      <c r="Q1814" t="inlineStr">
        <is>
          <t>King Penguin books ; 69</t>
        </is>
      </c>
      <c r="R1814" t="inlineStr">
        <is>
          <t xml:space="preserve">LF </t>
        </is>
      </c>
      <c r="S1814" t="n">
        <v>1</v>
      </c>
      <c r="T1814" t="n">
        <v>1</v>
      </c>
      <c r="U1814" t="inlineStr">
        <is>
          <t>2005-01-31</t>
        </is>
      </c>
      <c r="V1814" t="inlineStr">
        <is>
          <t>2005-01-31</t>
        </is>
      </c>
      <c r="W1814" t="inlineStr">
        <is>
          <t>1990-10-01</t>
        </is>
      </c>
      <c r="X1814" t="inlineStr">
        <is>
          <t>1990-10-01</t>
        </is>
      </c>
      <c r="Y1814" t="n">
        <v>150</v>
      </c>
      <c r="Z1814" t="n">
        <v>102</v>
      </c>
      <c r="AA1814" t="n">
        <v>102</v>
      </c>
      <c r="AB1814" t="n">
        <v>1</v>
      </c>
      <c r="AC1814" t="n">
        <v>1</v>
      </c>
      <c r="AD1814" t="n">
        <v>3</v>
      </c>
      <c r="AE1814" t="n">
        <v>3</v>
      </c>
      <c r="AF1814" t="n">
        <v>1</v>
      </c>
      <c r="AG1814" t="n">
        <v>1</v>
      </c>
      <c r="AH1814" t="n">
        <v>0</v>
      </c>
      <c r="AI1814" t="n">
        <v>0</v>
      </c>
      <c r="AJ1814" t="n">
        <v>2</v>
      </c>
      <c r="AK1814" t="n">
        <v>2</v>
      </c>
      <c r="AL1814" t="n">
        <v>0</v>
      </c>
      <c r="AM1814" t="n">
        <v>0</v>
      </c>
      <c r="AN1814" t="n">
        <v>0</v>
      </c>
      <c r="AO1814" t="n">
        <v>0</v>
      </c>
      <c r="AP1814" t="inlineStr">
        <is>
          <t>No</t>
        </is>
      </c>
      <c r="AQ1814" t="inlineStr">
        <is>
          <t>No</t>
        </is>
      </c>
      <c r="AS1814">
        <f>HYPERLINK("https://creighton-primo.hosted.exlibrisgroup.com/primo-explore/search?tab=default_tab&amp;search_scope=EVERYTHING&amp;vid=01CRU&amp;lang=en_US&amp;offset=0&amp;query=any,contains,991004511159702656","Catalog Record")</f>
        <v/>
      </c>
      <c r="AT1814">
        <f>HYPERLINK("http://www.worldcat.org/oclc/3765921","WorldCat Record")</f>
        <v/>
      </c>
      <c r="AU1814" t="inlineStr">
        <is>
          <t>10567288959:eng</t>
        </is>
      </c>
      <c r="AV1814" t="inlineStr">
        <is>
          <t>3765921</t>
        </is>
      </c>
      <c r="AW1814" t="inlineStr">
        <is>
          <t>991004511159702656</t>
        </is>
      </c>
      <c r="AX1814" t="inlineStr">
        <is>
          <t>991004511159702656</t>
        </is>
      </c>
      <c r="AY1814" t="inlineStr">
        <is>
          <t>2259673370002656</t>
        </is>
      </c>
      <c r="AZ1814" t="inlineStr">
        <is>
          <t>BOOK</t>
        </is>
      </c>
      <c r="BC1814" t="inlineStr">
        <is>
          <t>32285000295682</t>
        </is>
      </c>
      <c r="BD1814" t="inlineStr">
        <is>
          <t>893869799</t>
        </is>
      </c>
    </row>
    <row r="1815">
      <c r="A1815" t="inlineStr">
        <is>
          <t>No</t>
        </is>
      </c>
      <c r="B1815" t="inlineStr">
        <is>
          <t>LG511.C48 R45 1990</t>
        </is>
      </c>
      <c r="C1815" t="inlineStr">
        <is>
          <t>0                      LG 0511000C  48                 R  45          1990</t>
        </is>
      </c>
      <c r="D1815" t="inlineStr">
        <is>
          <t>Cairo University and the making of modern Egypt / Donald Malcolm Reid.</t>
        </is>
      </c>
      <c r="F1815" t="inlineStr">
        <is>
          <t>No</t>
        </is>
      </c>
      <c r="G1815" t="inlineStr">
        <is>
          <t>1</t>
        </is>
      </c>
      <c r="H1815" t="inlineStr">
        <is>
          <t>No</t>
        </is>
      </c>
      <c r="I1815" t="inlineStr">
        <is>
          <t>No</t>
        </is>
      </c>
      <c r="J1815" t="inlineStr">
        <is>
          <t>0</t>
        </is>
      </c>
      <c r="K1815" t="inlineStr">
        <is>
          <t>Reid, Donald M. (Donald Malcolm), 1940-</t>
        </is>
      </c>
      <c r="L1815" t="inlineStr">
        <is>
          <t>Cambridge [England] ; New York : Cambridge University Press, 1990.</t>
        </is>
      </c>
      <c r="M1815" t="inlineStr">
        <is>
          <t>1990</t>
        </is>
      </c>
      <c r="O1815" t="inlineStr">
        <is>
          <t>eng</t>
        </is>
      </c>
      <c r="P1815" t="inlineStr">
        <is>
          <t>enk</t>
        </is>
      </c>
      <c r="Q1815" t="inlineStr">
        <is>
          <t>Cambridge Middle East library ; 23</t>
        </is>
      </c>
      <c r="R1815" t="inlineStr">
        <is>
          <t xml:space="preserve">LG </t>
        </is>
      </c>
      <c r="S1815" t="n">
        <v>2</v>
      </c>
      <c r="T1815" t="n">
        <v>2</v>
      </c>
      <c r="U1815" t="inlineStr">
        <is>
          <t>1996-05-15</t>
        </is>
      </c>
      <c r="V1815" t="inlineStr">
        <is>
          <t>1996-05-15</t>
        </is>
      </c>
      <c r="W1815" t="inlineStr">
        <is>
          <t>1995-05-01</t>
        </is>
      </c>
      <c r="X1815" t="inlineStr">
        <is>
          <t>1995-05-01</t>
        </is>
      </c>
      <c r="Y1815" t="n">
        <v>256</v>
      </c>
      <c r="Z1815" t="n">
        <v>156</v>
      </c>
      <c r="AA1815" t="n">
        <v>172</v>
      </c>
      <c r="AB1815" t="n">
        <v>1</v>
      </c>
      <c r="AC1815" t="n">
        <v>1</v>
      </c>
      <c r="AD1815" t="n">
        <v>9</v>
      </c>
      <c r="AE1815" t="n">
        <v>9</v>
      </c>
      <c r="AF1815" t="n">
        <v>2</v>
      </c>
      <c r="AG1815" t="n">
        <v>2</v>
      </c>
      <c r="AH1815" t="n">
        <v>4</v>
      </c>
      <c r="AI1815" t="n">
        <v>4</v>
      </c>
      <c r="AJ1815" t="n">
        <v>6</v>
      </c>
      <c r="AK1815" t="n">
        <v>6</v>
      </c>
      <c r="AL1815" t="n">
        <v>0</v>
      </c>
      <c r="AM1815" t="n">
        <v>0</v>
      </c>
      <c r="AN1815" t="n">
        <v>0</v>
      </c>
      <c r="AO1815" t="n">
        <v>0</v>
      </c>
      <c r="AP1815" t="inlineStr">
        <is>
          <t>No</t>
        </is>
      </c>
      <c r="AQ1815" t="inlineStr">
        <is>
          <t>No</t>
        </is>
      </c>
      <c r="AS1815">
        <f>HYPERLINK("https://creighton-primo.hosted.exlibrisgroup.com/primo-explore/search?tab=default_tab&amp;search_scope=EVERYTHING&amp;vid=01CRU&amp;lang=en_US&amp;offset=0&amp;query=any,contains,991001468569702656","Catalog Record")</f>
        <v/>
      </c>
      <c r="AT1815">
        <f>HYPERLINK("http://www.worldcat.org/oclc/19517677","WorldCat Record")</f>
        <v/>
      </c>
      <c r="AU1815" t="inlineStr">
        <is>
          <t>910534:eng</t>
        </is>
      </c>
      <c r="AV1815" t="inlineStr">
        <is>
          <t>19517677</t>
        </is>
      </c>
      <c r="AW1815" t="inlineStr">
        <is>
          <t>991001468569702656</t>
        </is>
      </c>
      <c r="AX1815" t="inlineStr">
        <is>
          <t>991001468569702656</t>
        </is>
      </c>
      <c r="AY1815" t="inlineStr">
        <is>
          <t>2262123040002656</t>
        </is>
      </c>
      <c r="AZ1815" t="inlineStr">
        <is>
          <t>BOOK</t>
        </is>
      </c>
      <c r="BB1815" t="inlineStr">
        <is>
          <t>9780521366410</t>
        </is>
      </c>
      <c r="BC1815" t="inlineStr">
        <is>
          <t>32285002037140</t>
        </is>
      </c>
      <c r="BD1815" t="inlineStr">
        <is>
          <t>893709304</t>
        </is>
      </c>
    </row>
    <row r="1816">
      <c r="A1816" t="inlineStr">
        <is>
          <t>No</t>
        </is>
      </c>
      <c r="B1816" t="inlineStr">
        <is>
          <t>LJ31 .B26 1963</t>
        </is>
      </c>
      <c r="C1816" t="inlineStr">
        <is>
          <t>0                      LJ 0031000B  26          1963</t>
        </is>
      </c>
      <c r="D1816" t="inlineStr">
        <is>
          <t>Baird's manual of American college fraternities / John Robson, editor.</t>
        </is>
      </c>
      <c r="F1816" t="inlineStr">
        <is>
          <t>No</t>
        </is>
      </c>
      <c r="G1816" t="inlineStr">
        <is>
          <t>1</t>
        </is>
      </c>
      <c r="H1816" t="inlineStr">
        <is>
          <t>No</t>
        </is>
      </c>
      <c r="I1816" t="inlineStr">
        <is>
          <t>No</t>
        </is>
      </c>
      <c r="J1816" t="inlineStr">
        <is>
          <t>0</t>
        </is>
      </c>
      <c r="K1816" t="inlineStr">
        <is>
          <t>Baird, Wm. Raimond (William Raimond), 1858-1917.</t>
        </is>
      </c>
      <c r="L1816" t="inlineStr">
        <is>
          <t>Menasha, Wis. : Banta, 1963.</t>
        </is>
      </c>
      <c r="M1816" t="inlineStr">
        <is>
          <t>1963</t>
        </is>
      </c>
      <c r="N1816" t="inlineStr">
        <is>
          <t>17th ed.</t>
        </is>
      </c>
      <c r="O1816" t="inlineStr">
        <is>
          <t>eng</t>
        </is>
      </c>
      <c r="P1816" t="inlineStr">
        <is>
          <t>wiu</t>
        </is>
      </c>
      <c r="R1816" t="inlineStr">
        <is>
          <t xml:space="preserve">LJ </t>
        </is>
      </c>
      <c r="S1816" t="n">
        <v>33</v>
      </c>
      <c r="T1816" t="n">
        <v>33</v>
      </c>
      <c r="U1816" t="inlineStr">
        <is>
          <t>2009-10-04</t>
        </is>
      </c>
      <c r="V1816" t="inlineStr">
        <is>
          <t>2009-10-04</t>
        </is>
      </c>
      <c r="W1816" t="inlineStr">
        <is>
          <t>1990-02-22</t>
        </is>
      </c>
      <c r="X1816" t="inlineStr">
        <is>
          <t>1990-02-22</t>
        </is>
      </c>
      <c r="Y1816" t="n">
        <v>78</v>
      </c>
      <c r="Z1816" t="n">
        <v>73</v>
      </c>
      <c r="AA1816" t="n">
        <v>460</v>
      </c>
      <c r="AB1816" t="n">
        <v>2</v>
      </c>
      <c r="AC1816" t="n">
        <v>4</v>
      </c>
      <c r="AD1816" t="n">
        <v>1</v>
      </c>
      <c r="AE1816" t="n">
        <v>13</v>
      </c>
      <c r="AF1816" t="n">
        <v>0</v>
      </c>
      <c r="AG1816" t="n">
        <v>8</v>
      </c>
      <c r="AH1816" t="n">
        <v>0</v>
      </c>
      <c r="AI1816" t="n">
        <v>0</v>
      </c>
      <c r="AJ1816" t="n">
        <v>0</v>
      </c>
      <c r="AK1816" t="n">
        <v>4</v>
      </c>
      <c r="AL1816" t="n">
        <v>1</v>
      </c>
      <c r="AM1816" t="n">
        <v>3</v>
      </c>
      <c r="AN1816" t="n">
        <v>0</v>
      </c>
      <c r="AO1816" t="n">
        <v>0</v>
      </c>
      <c r="AP1816" t="inlineStr">
        <is>
          <t>No</t>
        </is>
      </c>
      <c r="AQ1816" t="inlineStr">
        <is>
          <t>No</t>
        </is>
      </c>
      <c r="AS1816">
        <f>HYPERLINK("https://creighton-primo.hosted.exlibrisgroup.com/primo-explore/search?tab=default_tab&amp;search_scope=EVERYTHING&amp;vid=01CRU&amp;lang=en_US&amp;offset=0&amp;query=any,contains,991003899789702656","Catalog Record")</f>
        <v/>
      </c>
      <c r="AT1816">
        <f>HYPERLINK("http://www.worldcat.org/oclc/1819883","WorldCat Record")</f>
        <v/>
      </c>
      <c r="AU1816" t="inlineStr">
        <is>
          <t>1757803:eng</t>
        </is>
      </c>
      <c r="AV1816" t="inlineStr">
        <is>
          <t>1819883</t>
        </is>
      </c>
      <c r="AW1816" t="inlineStr">
        <is>
          <t>991003899789702656</t>
        </is>
      </c>
      <c r="AX1816" t="inlineStr">
        <is>
          <t>991003899789702656</t>
        </is>
      </c>
      <c r="AY1816" t="inlineStr">
        <is>
          <t>2272481550002656</t>
        </is>
      </c>
      <c r="AZ1816" t="inlineStr">
        <is>
          <t>BOOK</t>
        </is>
      </c>
      <c r="BC1816" t="inlineStr">
        <is>
          <t>32285000049261</t>
        </is>
      </c>
      <c r="BD1816" t="inlineStr">
        <is>
          <t>893343218</t>
        </is>
      </c>
    </row>
    <row r="1817">
      <c r="A1817" t="inlineStr">
        <is>
          <t>No</t>
        </is>
      </c>
      <c r="B1817" t="inlineStr">
        <is>
          <t>LJ75.D17 H57 1988</t>
        </is>
      </c>
      <c r="C1817" t="inlineStr">
        <is>
          <t>0                      LJ 0075000D  17                 H  57          1988</t>
        </is>
      </c>
      <c r="D1817" t="inlineStr">
        <is>
          <t>History of Delta Delta Delta, 1888-1988 / editor, Margaret Paddock Haller ; contributing editors, Mary Kay Paup Baker ... [et al.] ; assistant to the editor, Melissa Hundt Hamman.</t>
        </is>
      </c>
      <c r="F1817" t="inlineStr">
        <is>
          <t>No</t>
        </is>
      </c>
      <c r="G1817" t="inlineStr">
        <is>
          <t>1</t>
        </is>
      </c>
      <c r="H1817" t="inlineStr">
        <is>
          <t>No</t>
        </is>
      </c>
      <c r="I1817" t="inlineStr">
        <is>
          <t>No</t>
        </is>
      </c>
      <c r="J1817" t="inlineStr">
        <is>
          <t>0</t>
        </is>
      </c>
      <c r="L1817" t="inlineStr">
        <is>
          <t>[Arlington, Tex.] : Delta Delta Delta, c1988.</t>
        </is>
      </c>
      <c r="M1817" t="inlineStr">
        <is>
          <t>1988</t>
        </is>
      </c>
      <c r="N1817" t="inlineStr">
        <is>
          <t>Centennial ed.</t>
        </is>
      </c>
      <c r="O1817" t="inlineStr">
        <is>
          <t>eng</t>
        </is>
      </c>
      <c r="P1817" t="inlineStr">
        <is>
          <t>txu</t>
        </is>
      </c>
      <c r="R1817" t="inlineStr">
        <is>
          <t xml:space="preserve">LJ </t>
        </is>
      </c>
      <c r="S1817" t="n">
        <v>1</v>
      </c>
      <c r="T1817" t="n">
        <v>1</v>
      </c>
      <c r="U1817" t="inlineStr">
        <is>
          <t>2010-04-19</t>
        </is>
      </c>
      <c r="V1817" t="inlineStr">
        <is>
          <t>2010-04-19</t>
        </is>
      </c>
      <c r="W1817" t="inlineStr">
        <is>
          <t>2010-04-19</t>
        </is>
      </c>
      <c r="X1817" t="inlineStr">
        <is>
          <t>2010-04-19</t>
        </is>
      </c>
      <c r="Y1817" t="n">
        <v>53</v>
      </c>
      <c r="Z1817" t="n">
        <v>52</v>
      </c>
      <c r="AA1817" t="n">
        <v>54</v>
      </c>
      <c r="AB1817" t="n">
        <v>1</v>
      </c>
      <c r="AC1817" t="n">
        <v>1</v>
      </c>
      <c r="AD1817" t="n">
        <v>1</v>
      </c>
      <c r="AE1817" t="n">
        <v>1</v>
      </c>
      <c r="AF1817" t="n">
        <v>0</v>
      </c>
      <c r="AG1817" t="n">
        <v>0</v>
      </c>
      <c r="AH1817" t="n">
        <v>1</v>
      </c>
      <c r="AI1817" t="n">
        <v>1</v>
      </c>
      <c r="AJ1817" t="n">
        <v>0</v>
      </c>
      <c r="AK1817" t="n">
        <v>0</v>
      </c>
      <c r="AL1817" t="n">
        <v>0</v>
      </c>
      <c r="AM1817" t="n">
        <v>0</v>
      </c>
      <c r="AN1817" t="n">
        <v>0</v>
      </c>
      <c r="AO1817" t="n">
        <v>0</v>
      </c>
      <c r="AP1817" t="inlineStr">
        <is>
          <t>No</t>
        </is>
      </c>
      <c r="AQ1817" t="inlineStr">
        <is>
          <t>No</t>
        </is>
      </c>
      <c r="AS1817">
        <f>HYPERLINK("https://creighton-primo.hosted.exlibrisgroup.com/primo-explore/search?tab=default_tab&amp;search_scope=EVERYTHING&amp;vid=01CRU&amp;lang=en_US&amp;offset=0&amp;query=any,contains,991005386919702656","Catalog Record")</f>
        <v/>
      </c>
      <c r="AT1817">
        <f>HYPERLINK("http://www.worldcat.org/oclc/21292870","WorldCat Record")</f>
        <v/>
      </c>
      <c r="AU1817" t="inlineStr">
        <is>
          <t>23686449:eng</t>
        </is>
      </c>
      <c r="AV1817" t="inlineStr">
        <is>
          <t>21292870</t>
        </is>
      </c>
      <c r="AW1817" t="inlineStr">
        <is>
          <t>991005386919702656</t>
        </is>
      </c>
      <c r="AX1817" t="inlineStr">
        <is>
          <t>991005386919702656</t>
        </is>
      </c>
      <c r="AY1817" t="inlineStr">
        <is>
          <t>2264341520002656</t>
        </is>
      </c>
      <c r="AZ1817" t="inlineStr">
        <is>
          <t>BOOK</t>
        </is>
      </c>
      <c r="BC1817" t="inlineStr">
        <is>
          <t>32285005565089</t>
        </is>
      </c>
      <c r="BD1817" t="inlineStr">
        <is>
          <t>893326681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