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2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PB1013 .C45 1992b</t>
        </is>
      </c>
      <c r="C2" t="inlineStr">
        <is>
          <t>0                      PB 1013000C  45          1992b</t>
        </is>
      </c>
      <c r="D2" t="inlineStr">
        <is>
          <t>The Celtic connection / edited by Glanville Price.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L2" t="inlineStr">
        <is>
          <t>Gerrards Cross : Colin Smythe, 1992.</t>
        </is>
      </c>
      <c r="M2" t="inlineStr">
        <is>
          <t>1992</t>
        </is>
      </c>
      <c r="O2" t="inlineStr">
        <is>
          <t>eng</t>
        </is>
      </c>
      <c r="P2" t="inlineStr">
        <is>
          <t>enk</t>
        </is>
      </c>
      <c r="Q2" t="inlineStr">
        <is>
          <t>Princess Grace Irish Library series, 0269-2619 ; 6</t>
        </is>
      </c>
      <c r="R2" t="inlineStr">
        <is>
          <t xml:space="preserve">PB </t>
        </is>
      </c>
      <c r="S2" t="n">
        <v>11</v>
      </c>
      <c r="T2" t="n">
        <v>11</v>
      </c>
      <c r="U2" t="inlineStr">
        <is>
          <t>2003-12-14</t>
        </is>
      </c>
      <c r="V2" t="inlineStr">
        <is>
          <t>2003-12-14</t>
        </is>
      </c>
      <c r="W2" t="inlineStr">
        <is>
          <t>1993-12-10</t>
        </is>
      </c>
      <c r="X2" t="inlineStr">
        <is>
          <t>1993-12-10</t>
        </is>
      </c>
      <c r="Y2" t="n">
        <v>144</v>
      </c>
      <c r="Z2" t="n">
        <v>89</v>
      </c>
      <c r="AA2" t="n">
        <v>89</v>
      </c>
      <c r="AB2" t="n">
        <v>1</v>
      </c>
      <c r="AC2" t="n">
        <v>1</v>
      </c>
      <c r="AD2" t="n">
        <v>6</v>
      </c>
      <c r="AE2" t="n">
        <v>6</v>
      </c>
      <c r="AF2" t="n">
        <v>1</v>
      </c>
      <c r="AG2" t="n">
        <v>1</v>
      </c>
      <c r="AH2" t="n">
        <v>3</v>
      </c>
      <c r="AI2" t="n">
        <v>3</v>
      </c>
      <c r="AJ2" t="n">
        <v>4</v>
      </c>
      <c r="AK2" t="n">
        <v>4</v>
      </c>
      <c r="AL2" t="n">
        <v>0</v>
      </c>
      <c r="AM2" t="n">
        <v>0</v>
      </c>
      <c r="AN2" t="n">
        <v>0</v>
      </c>
      <c r="AO2" t="n">
        <v>0</v>
      </c>
      <c r="AP2" t="inlineStr">
        <is>
          <t>No</t>
        </is>
      </c>
      <c r="AQ2" t="inlineStr">
        <is>
          <t>No</t>
        </is>
      </c>
      <c r="AS2">
        <f>HYPERLINK("https://creighton-primo.hosted.exlibrisgroup.com/primo-explore/search?tab=default_tab&amp;search_scope=EVERYTHING&amp;vid=01CRU&amp;lang=en_US&amp;offset=0&amp;query=any,contains,991001955259702656","Catalog Record")</f>
        <v/>
      </c>
      <c r="AT2">
        <f>HYPERLINK("http://www.worldcat.org/oclc/35961603","WorldCat Record")</f>
        <v/>
      </c>
      <c r="AU2" t="inlineStr">
        <is>
          <t>56130029:eng</t>
        </is>
      </c>
      <c r="AV2" t="inlineStr">
        <is>
          <t>35961603</t>
        </is>
      </c>
      <c r="AW2" t="inlineStr">
        <is>
          <t>991001955259702656</t>
        </is>
      </c>
      <c r="AX2" t="inlineStr">
        <is>
          <t>991001955259702656</t>
        </is>
      </c>
      <c r="AY2" t="inlineStr">
        <is>
          <t>2256459480002656</t>
        </is>
      </c>
      <c r="AZ2" t="inlineStr">
        <is>
          <t>BOOK</t>
        </is>
      </c>
      <c r="BB2" t="inlineStr">
        <is>
          <t>9780861402489</t>
        </is>
      </c>
      <c r="BC2" t="inlineStr">
        <is>
          <t>32285001815447</t>
        </is>
      </c>
      <c r="BD2" t="inlineStr">
        <is>
          <t>893427041</t>
        </is>
      </c>
    </row>
    <row r="3">
      <c r="A3" t="inlineStr">
        <is>
          <t>No</t>
        </is>
      </c>
      <c r="B3" t="inlineStr">
        <is>
          <t>PB1096 .M3 1970</t>
        </is>
      </c>
      <c r="C3" t="inlineStr">
        <is>
          <t>0                      PB 1096000M  3           1970</t>
        </is>
      </c>
      <c r="D3" t="inlineStr">
        <is>
          <t>The literature of the Celts.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Maclean, Magnus, 1857-1937.</t>
        </is>
      </c>
      <c r="L3" t="inlineStr">
        <is>
          <t>Port Washington, N.Y., Kennikat Press [1970]</t>
        </is>
      </c>
      <c r="M3" t="inlineStr">
        <is>
          <t>1970</t>
        </is>
      </c>
      <c r="O3" t="inlineStr">
        <is>
          <t>eng</t>
        </is>
      </c>
      <c r="P3" t="inlineStr">
        <is>
          <t>nyu</t>
        </is>
      </c>
      <c r="Q3" t="inlineStr">
        <is>
          <t>Kennikat Press scholarly reprints. Irish history and culture</t>
        </is>
      </c>
      <c r="R3" t="inlineStr">
        <is>
          <t xml:space="preserve">PB </t>
        </is>
      </c>
      <c r="S3" t="n">
        <v>6</v>
      </c>
      <c r="T3" t="n">
        <v>6</v>
      </c>
      <c r="U3" t="inlineStr">
        <is>
          <t>1995-01-31</t>
        </is>
      </c>
      <c r="V3" t="inlineStr">
        <is>
          <t>1995-01-31</t>
        </is>
      </c>
      <c r="W3" t="inlineStr">
        <is>
          <t>1991-12-09</t>
        </is>
      </c>
      <c r="X3" t="inlineStr">
        <is>
          <t>1991-12-09</t>
        </is>
      </c>
      <c r="Y3" t="n">
        <v>148</v>
      </c>
      <c r="Z3" t="n">
        <v>132</v>
      </c>
      <c r="AA3" t="n">
        <v>259</v>
      </c>
      <c r="AB3" t="n">
        <v>3</v>
      </c>
      <c r="AC3" t="n">
        <v>4</v>
      </c>
      <c r="AD3" t="n">
        <v>10</v>
      </c>
      <c r="AE3" t="n">
        <v>14</v>
      </c>
      <c r="AF3" t="n">
        <v>1</v>
      </c>
      <c r="AG3" t="n">
        <v>1</v>
      </c>
      <c r="AH3" t="n">
        <v>3</v>
      </c>
      <c r="AI3" t="n">
        <v>6</v>
      </c>
      <c r="AJ3" t="n">
        <v>5</v>
      </c>
      <c r="AK3" t="n">
        <v>6</v>
      </c>
      <c r="AL3" t="n">
        <v>2</v>
      </c>
      <c r="AM3" t="n">
        <v>2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HYPERLINK("http://catalog.hathitrust.org/Record/100783377","HathiTrust Record")</f>
        <v/>
      </c>
      <c r="AS3">
        <f>HYPERLINK("https://creighton-primo.hosted.exlibrisgroup.com/primo-explore/search?tab=default_tab&amp;search_scope=EVERYTHING&amp;vid=01CRU&amp;lang=en_US&amp;offset=0&amp;query=any,contains,991000140369702656","Catalog Record")</f>
        <v/>
      </c>
      <c r="AT3">
        <f>HYPERLINK("http://www.worldcat.org/oclc/57615","WorldCat Record")</f>
        <v/>
      </c>
      <c r="AU3" t="inlineStr">
        <is>
          <t>1193117:eng</t>
        </is>
      </c>
      <c r="AV3" t="inlineStr">
        <is>
          <t>57615</t>
        </is>
      </c>
      <c r="AW3" t="inlineStr">
        <is>
          <t>991000140369702656</t>
        </is>
      </c>
      <c r="AX3" t="inlineStr">
        <is>
          <t>991000140369702656</t>
        </is>
      </c>
      <c r="AY3" t="inlineStr">
        <is>
          <t>2261714520002656</t>
        </is>
      </c>
      <c r="AZ3" t="inlineStr">
        <is>
          <t>BOOK</t>
        </is>
      </c>
      <c r="BB3" t="inlineStr">
        <is>
          <t>9780804607902</t>
        </is>
      </c>
      <c r="BC3" t="inlineStr">
        <is>
          <t>32285000885581</t>
        </is>
      </c>
      <c r="BD3" t="inlineStr">
        <is>
          <t>893808615</t>
        </is>
      </c>
    </row>
    <row r="4">
      <c r="A4" t="inlineStr">
        <is>
          <t>No</t>
        </is>
      </c>
      <c r="B4" t="inlineStr">
        <is>
          <t>PB1096 .R6</t>
        </is>
      </c>
      <c r="C4" t="inlineStr">
        <is>
          <t>0                      PB 1096000R  6</t>
        </is>
      </c>
      <c r="D4" t="inlineStr">
        <is>
          <t>The Celtic race / by T. W. Rolleston.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Rolleston, T. W. (Thomas William), 1857-1920.</t>
        </is>
      </c>
      <c r="L4" t="inlineStr">
        <is>
          <t>Boston : Nickerson, [19--?]</t>
        </is>
      </c>
      <c r="N4" t="inlineStr">
        <is>
          <t>The folkore ed.</t>
        </is>
      </c>
      <c r="O4" t="inlineStr">
        <is>
          <t>eng</t>
        </is>
      </c>
      <c r="P4" t="inlineStr">
        <is>
          <t>mau</t>
        </is>
      </c>
      <c r="Q4" t="inlineStr">
        <is>
          <t>Myths and legends</t>
        </is>
      </c>
      <c r="R4" t="inlineStr">
        <is>
          <t xml:space="preserve">PB </t>
        </is>
      </c>
      <c r="S4" t="n">
        <v>9</v>
      </c>
      <c r="T4" t="n">
        <v>9</v>
      </c>
      <c r="U4" t="inlineStr">
        <is>
          <t>1996-10-31</t>
        </is>
      </c>
      <c r="V4" t="inlineStr">
        <is>
          <t>1996-10-31</t>
        </is>
      </c>
      <c r="W4" t="inlineStr">
        <is>
          <t>1992-01-30</t>
        </is>
      </c>
      <c r="X4" t="inlineStr">
        <is>
          <t>1992-01-30</t>
        </is>
      </c>
      <c r="Y4" t="n">
        <v>25</v>
      </c>
      <c r="Z4" t="n">
        <v>24</v>
      </c>
      <c r="AA4" t="n">
        <v>68</v>
      </c>
      <c r="AB4" t="n">
        <v>1</v>
      </c>
      <c r="AC4" t="n">
        <v>1</v>
      </c>
      <c r="AD4" t="n">
        <v>0</v>
      </c>
      <c r="AE4" t="n">
        <v>3</v>
      </c>
      <c r="AF4" t="n">
        <v>0</v>
      </c>
      <c r="AG4" t="n">
        <v>0</v>
      </c>
      <c r="AH4" t="n">
        <v>0</v>
      </c>
      <c r="AI4" t="n">
        <v>2</v>
      </c>
      <c r="AJ4" t="n">
        <v>0</v>
      </c>
      <c r="AK4" t="n">
        <v>2</v>
      </c>
      <c r="AL4" t="n">
        <v>0</v>
      </c>
      <c r="AM4" t="n">
        <v>0</v>
      </c>
      <c r="AN4" t="n">
        <v>0</v>
      </c>
      <c r="AO4" t="n">
        <v>0</v>
      </c>
      <c r="AP4" t="inlineStr">
        <is>
          <t>No</t>
        </is>
      </c>
      <c r="AQ4" t="inlineStr">
        <is>
          <t>No</t>
        </is>
      </c>
      <c r="AS4">
        <f>HYPERLINK("https://creighton-primo.hosted.exlibrisgroup.com/primo-explore/search?tab=default_tab&amp;search_scope=EVERYTHING&amp;vid=01CRU&amp;lang=en_US&amp;offset=0&amp;query=any,contains,991005005439702656","Catalog Record")</f>
        <v/>
      </c>
      <c r="AT4">
        <f>HYPERLINK("http://www.worldcat.org/oclc/6563713","WorldCat Record")</f>
        <v/>
      </c>
      <c r="AU4" t="inlineStr">
        <is>
          <t>3305783:eng</t>
        </is>
      </c>
      <c r="AV4" t="inlineStr">
        <is>
          <t>6563713</t>
        </is>
      </c>
      <c r="AW4" t="inlineStr">
        <is>
          <t>991005005439702656</t>
        </is>
      </c>
      <c r="AX4" t="inlineStr">
        <is>
          <t>991005005439702656</t>
        </is>
      </c>
      <c r="AY4" t="inlineStr">
        <is>
          <t>2271892740002656</t>
        </is>
      </c>
      <c r="AZ4" t="inlineStr">
        <is>
          <t>BOOK</t>
        </is>
      </c>
      <c r="BC4" t="inlineStr">
        <is>
          <t>32285000931096</t>
        </is>
      </c>
      <c r="BD4" t="inlineStr">
        <is>
          <t>893625340</t>
        </is>
      </c>
    </row>
    <row r="5">
      <c r="A5" t="inlineStr">
        <is>
          <t>No</t>
        </is>
      </c>
      <c r="B5" t="inlineStr">
        <is>
          <t>PB1096 .T3 1969</t>
        </is>
      </c>
      <c r="C5" t="inlineStr">
        <is>
          <t>0                      PB 1096000T  3           1969</t>
        </is>
      </c>
      <c r="D5" t="inlineStr">
        <is>
          <t>Literature in Celtic countries : Taliesin Congress lectures / edited by J. E. Caerwyn Williams.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Taliesin Congress (1969 : Cardiff, Wales)</t>
        </is>
      </c>
      <c r="L5" t="inlineStr">
        <is>
          <t>Cardiff : University of Wales Press, 1971.</t>
        </is>
      </c>
      <c r="M5" t="inlineStr">
        <is>
          <t>1971</t>
        </is>
      </c>
      <c r="O5" t="inlineStr">
        <is>
          <t>eng</t>
        </is>
      </c>
      <c r="P5" t="inlineStr">
        <is>
          <t>wlk</t>
        </is>
      </c>
      <c r="R5" t="inlineStr">
        <is>
          <t xml:space="preserve">PB </t>
        </is>
      </c>
      <c r="S5" t="n">
        <v>3</v>
      </c>
      <c r="T5" t="n">
        <v>3</v>
      </c>
      <c r="U5" t="inlineStr">
        <is>
          <t>1994-09-13</t>
        </is>
      </c>
      <c r="V5" t="inlineStr">
        <is>
          <t>1994-09-13</t>
        </is>
      </c>
      <c r="W5" t="inlineStr">
        <is>
          <t>1991-12-16</t>
        </is>
      </c>
      <c r="X5" t="inlineStr">
        <is>
          <t>1991-12-16</t>
        </is>
      </c>
      <c r="Y5" t="n">
        <v>331</v>
      </c>
      <c r="Z5" t="n">
        <v>251</v>
      </c>
      <c r="AA5" t="n">
        <v>254</v>
      </c>
      <c r="AB5" t="n">
        <v>3</v>
      </c>
      <c r="AC5" t="n">
        <v>3</v>
      </c>
      <c r="AD5" t="n">
        <v>10</v>
      </c>
      <c r="AE5" t="n">
        <v>10</v>
      </c>
      <c r="AF5" t="n">
        <v>2</v>
      </c>
      <c r="AG5" t="n">
        <v>2</v>
      </c>
      <c r="AH5" t="n">
        <v>2</v>
      </c>
      <c r="AI5" t="n">
        <v>2</v>
      </c>
      <c r="AJ5" t="n">
        <v>5</v>
      </c>
      <c r="AK5" t="n">
        <v>5</v>
      </c>
      <c r="AL5" t="n">
        <v>2</v>
      </c>
      <c r="AM5" t="n">
        <v>2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HYPERLINK("http://catalog.hathitrust.org/Record/001182381","HathiTrust Record")</f>
        <v/>
      </c>
      <c r="AS5">
        <f>HYPERLINK("https://creighton-primo.hosted.exlibrisgroup.com/primo-explore/search?tab=default_tab&amp;search_scope=EVERYTHING&amp;vid=01CRU&amp;lang=en_US&amp;offset=0&amp;query=any,contains,991001382289702656","Catalog Record")</f>
        <v/>
      </c>
      <c r="AT5">
        <f>HYPERLINK("http://www.worldcat.org/oclc/226319","WorldCat Record")</f>
        <v/>
      </c>
      <c r="AU5" t="inlineStr">
        <is>
          <t>375364989:eng</t>
        </is>
      </c>
      <c r="AV5" t="inlineStr">
        <is>
          <t>226319</t>
        </is>
      </c>
      <c r="AW5" t="inlineStr">
        <is>
          <t>991001382289702656</t>
        </is>
      </c>
      <c r="AX5" t="inlineStr">
        <is>
          <t>991001382289702656</t>
        </is>
      </c>
      <c r="AY5" t="inlineStr">
        <is>
          <t>2263161770002656</t>
        </is>
      </c>
      <c r="AZ5" t="inlineStr">
        <is>
          <t>BOOK</t>
        </is>
      </c>
      <c r="BB5" t="inlineStr">
        <is>
          <t>9780900768897</t>
        </is>
      </c>
      <c r="BC5" t="inlineStr">
        <is>
          <t>32285000877885</t>
        </is>
      </c>
      <c r="BD5" t="inlineStr">
        <is>
          <t>893897759</t>
        </is>
      </c>
    </row>
    <row r="6">
      <c r="A6" t="inlineStr">
        <is>
          <t>No</t>
        </is>
      </c>
      <c r="B6" t="inlineStr">
        <is>
          <t>PB1100 .J3 1975</t>
        </is>
      </c>
      <c r="C6" t="inlineStr">
        <is>
          <t>0                      PB 1100000J  3           1975</t>
        </is>
      </c>
      <c r="D6" t="inlineStr">
        <is>
          <t>A Celtic miscellany : translations from the Celtic literatures / [selected and translated by] Kenneth Hurlstone Jackson.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L6" t="inlineStr">
        <is>
          <t>Harmondsworth : Penguin, 1975, c1971.</t>
        </is>
      </c>
      <c r="M6" t="inlineStr">
        <is>
          <t>1975</t>
        </is>
      </c>
      <c r="N6" t="inlineStr">
        <is>
          <t>Rev. ed.</t>
        </is>
      </c>
      <c r="O6" t="inlineStr">
        <is>
          <t>eng</t>
        </is>
      </c>
      <c r="P6" t="inlineStr">
        <is>
          <t>enk</t>
        </is>
      </c>
      <c r="Q6" t="inlineStr">
        <is>
          <t>The Penguin classics, 247</t>
        </is>
      </c>
      <c r="R6" t="inlineStr">
        <is>
          <t xml:space="preserve">PB </t>
        </is>
      </c>
      <c r="S6" t="n">
        <v>6</v>
      </c>
      <c r="T6" t="n">
        <v>6</v>
      </c>
      <c r="U6" t="inlineStr">
        <is>
          <t>2003-12-14</t>
        </is>
      </c>
      <c r="V6" t="inlineStr">
        <is>
          <t>2003-12-14</t>
        </is>
      </c>
      <c r="W6" t="inlineStr">
        <is>
          <t>1991-09-24</t>
        </is>
      </c>
      <c r="X6" t="inlineStr">
        <is>
          <t>1991-09-24</t>
        </is>
      </c>
      <c r="Y6" t="n">
        <v>479</v>
      </c>
      <c r="Z6" t="n">
        <v>309</v>
      </c>
      <c r="AA6" t="n">
        <v>691</v>
      </c>
      <c r="AB6" t="n">
        <v>2</v>
      </c>
      <c r="AC6" t="n">
        <v>6</v>
      </c>
      <c r="AD6" t="n">
        <v>10</v>
      </c>
      <c r="AE6" t="n">
        <v>34</v>
      </c>
      <c r="AF6" t="n">
        <v>4</v>
      </c>
      <c r="AG6" t="n">
        <v>12</v>
      </c>
      <c r="AH6" t="n">
        <v>1</v>
      </c>
      <c r="AI6" t="n">
        <v>10</v>
      </c>
      <c r="AJ6" t="n">
        <v>7</v>
      </c>
      <c r="AK6" t="n">
        <v>18</v>
      </c>
      <c r="AL6" t="n">
        <v>1</v>
      </c>
      <c r="AM6" t="n">
        <v>5</v>
      </c>
      <c r="AN6" t="n">
        <v>0</v>
      </c>
      <c r="AO6" t="n">
        <v>0</v>
      </c>
      <c r="AP6" t="inlineStr">
        <is>
          <t>No</t>
        </is>
      </c>
      <c r="AQ6" t="inlineStr">
        <is>
          <t>No</t>
        </is>
      </c>
      <c r="AS6">
        <f>HYPERLINK("https://creighton-primo.hosted.exlibrisgroup.com/primo-explore/search?tab=default_tab&amp;search_scope=EVERYTHING&amp;vid=01CRU&amp;lang=en_US&amp;offset=0&amp;query=any,contains,991002110499702656","Catalog Record")</f>
        <v/>
      </c>
      <c r="AT6">
        <f>HYPERLINK("http://www.worldcat.org/oclc/267191","WorldCat Record")</f>
        <v/>
      </c>
      <c r="AU6" t="inlineStr">
        <is>
          <t>905833865:eng</t>
        </is>
      </c>
      <c r="AV6" t="inlineStr">
        <is>
          <t>267191</t>
        </is>
      </c>
      <c r="AW6" t="inlineStr">
        <is>
          <t>991002110499702656</t>
        </is>
      </c>
      <c r="AX6" t="inlineStr">
        <is>
          <t>991002110499702656</t>
        </is>
      </c>
      <c r="AY6" t="inlineStr">
        <is>
          <t>2269021110002656</t>
        </is>
      </c>
      <c r="AZ6" t="inlineStr">
        <is>
          <t>BOOK</t>
        </is>
      </c>
      <c r="BB6" t="inlineStr">
        <is>
          <t>9780140442472</t>
        </is>
      </c>
      <c r="BC6" t="inlineStr">
        <is>
          <t>32285000760602</t>
        </is>
      </c>
      <c r="BD6" t="inlineStr">
        <is>
          <t>893256897</t>
        </is>
      </c>
    </row>
    <row r="7">
      <c r="A7" t="inlineStr">
        <is>
          <t>No</t>
        </is>
      </c>
      <c r="B7" t="inlineStr">
        <is>
          <t>PB1100 .S6</t>
        </is>
      </c>
      <c r="C7" t="inlineStr">
        <is>
          <t>0                      PB 1100000S  6</t>
        </is>
      </c>
      <c r="D7" t="inlineStr">
        <is>
          <t>Lyra Celtica; an anthology of representative Celtic poetry, ed. by Elizabeth A. Sharp, with introduction and notes by William Sharp.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Sharp, Elizabeth A. (Elizabeth Amelia), 1856-1932 editor.</t>
        </is>
      </c>
      <c r="L7" t="inlineStr">
        <is>
          <t>Edinburgh, P. Geddes and colleagues, 1896.</t>
        </is>
      </c>
      <c r="M7" t="inlineStr">
        <is>
          <t>1896</t>
        </is>
      </c>
      <c r="O7" t="inlineStr">
        <is>
          <t>eng</t>
        </is>
      </c>
      <c r="P7" t="inlineStr">
        <is>
          <t xml:space="preserve">xx </t>
        </is>
      </c>
      <c r="Q7" t="inlineStr">
        <is>
          <t>The Celtic library</t>
        </is>
      </c>
      <c r="R7" t="inlineStr">
        <is>
          <t xml:space="preserve">PB </t>
        </is>
      </c>
      <c r="S7" t="n">
        <v>7</v>
      </c>
      <c r="T7" t="n">
        <v>7</v>
      </c>
      <c r="U7" t="inlineStr">
        <is>
          <t>1999-03-30</t>
        </is>
      </c>
      <c r="V7" t="inlineStr">
        <is>
          <t>1999-03-30</t>
        </is>
      </c>
      <c r="W7" t="inlineStr">
        <is>
          <t>1997-09-11</t>
        </is>
      </c>
      <c r="X7" t="inlineStr">
        <is>
          <t>1997-09-11</t>
        </is>
      </c>
      <c r="Y7" t="n">
        <v>123</v>
      </c>
      <c r="Z7" t="n">
        <v>91</v>
      </c>
      <c r="AA7" t="n">
        <v>367</v>
      </c>
      <c r="AB7" t="n">
        <v>1</v>
      </c>
      <c r="AC7" t="n">
        <v>4</v>
      </c>
      <c r="AD7" t="n">
        <v>3</v>
      </c>
      <c r="AE7" t="n">
        <v>25</v>
      </c>
      <c r="AF7" t="n">
        <v>0</v>
      </c>
      <c r="AG7" t="n">
        <v>7</v>
      </c>
      <c r="AH7" t="n">
        <v>2</v>
      </c>
      <c r="AI7" t="n">
        <v>6</v>
      </c>
      <c r="AJ7" t="n">
        <v>1</v>
      </c>
      <c r="AK7" t="n">
        <v>15</v>
      </c>
      <c r="AL7" t="n">
        <v>0</v>
      </c>
      <c r="AM7" t="n">
        <v>3</v>
      </c>
      <c r="AN7" t="n">
        <v>0</v>
      </c>
      <c r="AO7" t="n">
        <v>0</v>
      </c>
      <c r="AP7" t="inlineStr">
        <is>
          <t>Yes</t>
        </is>
      </c>
      <c r="AQ7" t="inlineStr">
        <is>
          <t>No</t>
        </is>
      </c>
      <c r="AR7">
        <f>HYPERLINK("http://catalog.hathitrust.org/Record/006144584","HathiTrust Record")</f>
        <v/>
      </c>
      <c r="AS7">
        <f>HYPERLINK("https://creighton-primo.hosted.exlibrisgroup.com/primo-explore/search?tab=default_tab&amp;search_scope=EVERYTHING&amp;vid=01CRU&amp;lang=en_US&amp;offset=0&amp;query=any,contains,991004258649702656","Catalog Record")</f>
        <v/>
      </c>
      <c r="AT7">
        <f>HYPERLINK("http://www.worldcat.org/oclc/2495909","WorldCat Record")</f>
        <v/>
      </c>
      <c r="AU7" t="inlineStr">
        <is>
          <t>906426914:eng</t>
        </is>
      </c>
      <c r="AV7" t="inlineStr">
        <is>
          <t>2495909</t>
        </is>
      </c>
      <c r="AW7" t="inlineStr">
        <is>
          <t>991004258649702656</t>
        </is>
      </c>
      <c r="AX7" t="inlineStr">
        <is>
          <t>991004258649702656</t>
        </is>
      </c>
      <c r="AY7" t="inlineStr">
        <is>
          <t>2264256980002656</t>
        </is>
      </c>
      <c r="AZ7" t="inlineStr">
        <is>
          <t>BOOK</t>
        </is>
      </c>
      <c r="BC7" t="inlineStr">
        <is>
          <t>32285003213492</t>
        </is>
      </c>
      <c r="BD7" t="inlineStr">
        <is>
          <t>893525867</t>
        </is>
      </c>
    </row>
    <row r="8">
      <c r="A8" t="inlineStr">
        <is>
          <t>No</t>
        </is>
      </c>
      <c r="B8" t="inlineStr">
        <is>
          <t>PB1214 .M33 1992</t>
        </is>
      </c>
      <c r="C8" t="inlineStr">
        <is>
          <t>0                      PB 1214000M  33          1992</t>
        </is>
      </c>
      <c r="D8" t="inlineStr">
        <is>
          <t>A reader's guide to books in the Irish language / by Seosamh McCloskey.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McCloskey, Seosamh.</t>
        </is>
      </c>
      <c r="L8" t="inlineStr">
        <is>
          <t>New York : Irish Books, c1992.</t>
        </is>
      </c>
      <c r="M8" t="inlineStr">
        <is>
          <t>1992</t>
        </is>
      </c>
      <c r="O8" t="inlineStr">
        <is>
          <t>eng</t>
        </is>
      </c>
      <c r="P8" t="inlineStr">
        <is>
          <t>nyu</t>
        </is>
      </c>
      <c r="R8" t="inlineStr">
        <is>
          <t xml:space="preserve">PB </t>
        </is>
      </c>
      <c r="S8" t="n">
        <v>5</v>
      </c>
      <c r="T8" t="n">
        <v>5</v>
      </c>
      <c r="U8" t="inlineStr">
        <is>
          <t>2008-12-18</t>
        </is>
      </c>
      <c r="V8" t="inlineStr">
        <is>
          <t>2008-12-18</t>
        </is>
      </c>
      <c r="W8" t="inlineStr">
        <is>
          <t>1993-10-04</t>
        </is>
      </c>
      <c r="X8" t="inlineStr">
        <is>
          <t>1993-10-04</t>
        </is>
      </c>
      <c r="Y8" t="n">
        <v>26</v>
      </c>
      <c r="Z8" t="n">
        <v>15</v>
      </c>
      <c r="AA8" t="n">
        <v>15</v>
      </c>
      <c r="AB8" t="n">
        <v>1</v>
      </c>
      <c r="AC8" t="n">
        <v>1</v>
      </c>
      <c r="AD8" t="n">
        <v>3</v>
      </c>
      <c r="AE8" t="n">
        <v>3</v>
      </c>
      <c r="AF8" t="n">
        <v>0</v>
      </c>
      <c r="AG8" t="n">
        <v>0</v>
      </c>
      <c r="AH8" t="n">
        <v>1</v>
      </c>
      <c r="AI8" t="n">
        <v>1</v>
      </c>
      <c r="AJ8" t="n">
        <v>2</v>
      </c>
      <c r="AK8" t="n">
        <v>2</v>
      </c>
      <c r="AL8" t="n">
        <v>0</v>
      </c>
      <c r="AM8" t="n">
        <v>0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HYPERLINK("https://creighton-primo.hosted.exlibrisgroup.com/primo-explore/search?tab=default_tab&amp;search_scope=EVERYTHING&amp;vid=01CRU&amp;lang=en_US&amp;offset=0&amp;query=any,contains,991002146539702656","Catalog Record")</f>
        <v/>
      </c>
      <c r="AT8">
        <f>HYPERLINK("http://www.worldcat.org/oclc/27666022","WorldCat Record")</f>
        <v/>
      </c>
      <c r="AU8" t="inlineStr">
        <is>
          <t>30156093:eng</t>
        </is>
      </c>
      <c r="AV8" t="inlineStr">
        <is>
          <t>27666022</t>
        </is>
      </c>
      <c r="AW8" t="inlineStr">
        <is>
          <t>991002146539702656</t>
        </is>
      </c>
      <c r="AX8" t="inlineStr">
        <is>
          <t>991002146539702656</t>
        </is>
      </c>
      <c r="AY8" t="inlineStr">
        <is>
          <t>2259850950002656</t>
        </is>
      </c>
      <c r="AZ8" t="inlineStr">
        <is>
          <t>BOOK</t>
        </is>
      </c>
      <c r="BC8" t="inlineStr">
        <is>
          <t>32285001768984</t>
        </is>
      </c>
      <c r="BD8" t="inlineStr">
        <is>
          <t>893347163</t>
        </is>
      </c>
    </row>
    <row r="9">
      <c r="A9" t="inlineStr">
        <is>
          <t>No</t>
        </is>
      </c>
      <c r="B9" t="inlineStr">
        <is>
          <t>PB1306 .A75</t>
        </is>
      </c>
      <c r="C9" t="inlineStr">
        <is>
          <t>0                      PB 1306000A  75</t>
        </is>
      </c>
      <c r="D9" t="inlineStr">
        <is>
          <t>A text book of Irish literature / by Eleanor Hull.</t>
        </is>
      </c>
      <c r="E9" t="inlineStr">
        <is>
          <t>V.1</t>
        </is>
      </c>
      <c r="F9" t="inlineStr">
        <is>
          <t>Yes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Hull, Eleanor, 1860-1935.</t>
        </is>
      </c>
      <c r="L9" t="inlineStr">
        <is>
          <t>Dublin : M.H. Gill &amp; son, ltd., etc., 1906-1908.</t>
        </is>
      </c>
      <c r="M9" t="inlineStr">
        <is>
          <t>1906</t>
        </is>
      </c>
      <c r="O9" t="inlineStr">
        <is>
          <t>eng</t>
        </is>
      </c>
      <c r="P9" t="inlineStr">
        <is>
          <t xml:space="preserve">ie </t>
        </is>
      </c>
      <c r="R9" t="inlineStr">
        <is>
          <t xml:space="preserve">PB </t>
        </is>
      </c>
      <c r="S9" t="n">
        <v>7</v>
      </c>
      <c r="T9" t="n">
        <v>7</v>
      </c>
      <c r="U9" t="inlineStr">
        <is>
          <t>2003-12-14</t>
        </is>
      </c>
      <c r="V9" t="inlineStr">
        <is>
          <t>2003-12-14</t>
        </is>
      </c>
      <c r="W9" t="inlineStr">
        <is>
          <t>1993-11-29</t>
        </is>
      </c>
      <c r="X9" t="inlineStr">
        <is>
          <t>1993-11-29</t>
        </is>
      </c>
      <c r="Y9" t="n">
        <v>139</v>
      </c>
      <c r="Z9" t="n">
        <v>91</v>
      </c>
      <c r="AA9" t="n">
        <v>130</v>
      </c>
      <c r="AB9" t="n">
        <v>1</v>
      </c>
      <c r="AC9" t="n">
        <v>1</v>
      </c>
      <c r="AD9" t="n">
        <v>15</v>
      </c>
      <c r="AE9" t="n">
        <v>15</v>
      </c>
      <c r="AF9" t="n">
        <v>2</v>
      </c>
      <c r="AG9" t="n">
        <v>2</v>
      </c>
      <c r="AH9" t="n">
        <v>5</v>
      </c>
      <c r="AI9" t="n">
        <v>5</v>
      </c>
      <c r="AJ9" t="n">
        <v>11</v>
      </c>
      <c r="AK9" t="n">
        <v>11</v>
      </c>
      <c r="AL9" t="n">
        <v>0</v>
      </c>
      <c r="AM9" t="n">
        <v>0</v>
      </c>
      <c r="AN9" t="n">
        <v>0</v>
      </c>
      <c r="AO9" t="n">
        <v>0</v>
      </c>
      <c r="AP9" t="inlineStr">
        <is>
          <t>Yes</t>
        </is>
      </c>
      <c r="AQ9" t="inlineStr">
        <is>
          <t>No</t>
        </is>
      </c>
      <c r="AR9">
        <f>HYPERLINK("http://catalog.hathitrust.org/Record/007645884","HathiTrust Record")</f>
        <v/>
      </c>
      <c r="AS9">
        <f>HYPERLINK("https://creighton-primo.hosted.exlibrisgroup.com/primo-explore/search?tab=default_tab&amp;search_scope=EVERYTHING&amp;vid=01CRU&amp;lang=en_US&amp;offset=0&amp;query=any,contains,991004418629702656","Catalog Record")</f>
        <v/>
      </c>
      <c r="AT9">
        <f>HYPERLINK("http://www.worldcat.org/oclc/3374885","WorldCat Record")</f>
        <v/>
      </c>
      <c r="AU9" t="inlineStr">
        <is>
          <t>3768894799:eng</t>
        </is>
      </c>
      <c r="AV9" t="inlineStr">
        <is>
          <t>3374885</t>
        </is>
      </c>
      <c r="AW9" t="inlineStr">
        <is>
          <t>991004418629702656</t>
        </is>
      </c>
      <c r="AX9" t="inlineStr">
        <is>
          <t>991004418629702656</t>
        </is>
      </c>
      <c r="AY9" t="inlineStr">
        <is>
          <t>2258849330002656</t>
        </is>
      </c>
      <c r="AZ9" t="inlineStr">
        <is>
          <t>BOOK</t>
        </is>
      </c>
      <c r="BC9" t="inlineStr">
        <is>
          <t>32285001688935</t>
        </is>
      </c>
      <c r="BD9" t="inlineStr">
        <is>
          <t>893417609</t>
        </is>
      </c>
    </row>
    <row r="10">
      <c r="A10" t="inlineStr">
        <is>
          <t>No</t>
        </is>
      </c>
      <c r="B10" t="inlineStr">
        <is>
          <t>PB1306 .A75</t>
        </is>
      </c>
      <c r="C10" t="inlineStr">
        <is>
          <t>0                      PB 1306000A  75</t>
        </is>
      </c>
      <c r="D10" t="inlineStr">
        <is>
          <t>A text book of Irish literature / by Eleanor Hull.</t>
        </is>
      </c>
      <c r="E10" t="inlineStr">
        <is>
          <t>V.2</t>
        </is>
      </c>
      <c r="F10" t="inlineStr">
        <is>
          <t>Yes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Hull, Eleanor, 1860-1935.</t>
        </is>
      </c>
      <c r="L10" t="inlineStr">
        <is>
          <t>Dublin : M.H. Gill &amp; son, ltd., etc., 1906-1908.</t>
        </is>
      </c>
      <c r="M10" t="inlineStr">
        <is>
          <t>1906</t>
        </is>
      </c>
      <c r="O10" t="inlineStr">
        <is>
          <t>eng</t>
        </is>
      </c>
      <c r="P10" t="inlineStr">
        <is>
          <t xml:space="preserve">ie </t>
        </is>
      </c>
      <c r="R10" t="inlineStr">
        <is>
          <t xml:space="preserve">PB </t>
        </is>
      </c>
      <c r="S10" t="n">
        <v>0</v>
      </c>
      <c r="T10" t="n">
        <v>7</v>
      </c>
      <c r="V10" t="inlineStr">
        <is>
          <t>2003-12-14</t>
        </is>
      </c>
      <c r="W10" t="inlineStr">
        <is>
          <t>1993-11-29</t>
        </is>
      </c>
      <c r="X10" t="inlineStr">
        <is>
          <t>1993-11-29</t>
        </is>
      </c>
      <c r="Y10" t="n">
        <v>139</v>
      </c>
      <c r="Z10" t="n">
        <v>91</v>
      </c>
      <c r="AA10" t="n">
        <v>130</v>
      </c>
      <c r="AB10" t="n">
        <v>1</v>
      </c>
      <c r="AC10" t="n">
        <v>1</v>
      </c>
      <c r="AD10" t="n">
        <v>15</v>
      </c>
      <c r="AE10" t="n">
        <v>15</v>
      </c>
      <c r="AF10" t="n">
        <v>2</v>
      </c>
      <c r="AG10" t="n">
        <v>2</v>
      </c>
      <c r="AH10" t="n">
        <v>5</v>
      </c>
      <c r="AI10" t="n">
        <v>5</v>
      </c>
      <c r="AJ10" t="n">
        <v>11</v>
      </c>
      <c r="AK10" t="n">
        <v>11</v>
      </c>
      <c r="AL10" t="n">
        <v>0</v>
      </c>
      <c r="AM10" t="n">
        <v>0</v>
      </c>
      <c r="AN10" t="n">
        <v>0</v>
      </c>
      <c r="AO10" t="n">
        <v>0</v>
      </c>
      <c r="AP10" t="inlineStr">
        <is>
          <t>Yes</t>
        </is>
      </c>
      <c r="AQ10" t="inlineStr">
        <is>
          <t>No</t>
        </is>
      </c>
      <c r="AR10">
        <f>HYPERLINK("http://catalog.hathitrust.org/Record/007645884","HathiTrust Record")</f>
        <v/>
      </c>
      <c r="AS10">
        <f>HYPERLINK("https://creighton-primo.hosted.exlibrisgroup.com/primo-explore/search?tab=default_tab&amp;search_scope=EVERYTHING&amp;vid=01CRU&amp;lang=en_US&amp;offset=0&amp;query=any,contains,991004418629702656","Catalog Record")</f>
        <v/>
      </c>
      <c r="AT10">
        <f>HYPERLINK("http://www.worldcat.org/oclc/3374885","WorldCat Record")</f>
        <v/>
      </c>
      <c r="AU10" t="inlineStr">
        <is>
          <t>3768894799:eng</t>
        </is>
      </c>
      <c r="AV10" t="inlineStr">
        <is>
          <t>3374885</t>
        </is>
      </c>
      <c r="AW10" t="inlineStr">
        <is>
          <t>991004418629702656</t>
        </is>
      </c>
      <c r="AX10" t="inlineStr">
        <is>
          <t>991004418629702656</t>
        </is>
      </c>
      <c r="AY10" t="inlineStr">
        <is>
          <t>2258849330002656</t>
        </is>
      </c>
      <c r="AZ10" t="inlineStr">
        <is>
          <t>BOOK</t>
        </is>
      </c>
      <c r="BC10" t="inlineStr">
        <is>
          <t>32285001688943</t>
        </is>
      </c>
      <c r="BD10" t="inlineStr">
        <is>
          <t>893442590</t>
        </is>
      </c>
    </row>
    <row r="11">
      <c r="A11" t="inlineStr">
        <is>
          <t>No</t>
        </is>
      </c>
      <c r="B11" t="inlineStr">
        <is>
          <t>PB1306 .D4 1970</t>
        </is>
      </c>
      <c r="C11" t="inlineStr">
        <is>
          <t>0                      PB 1306000D  4           1970</t>
        </is>
      </c>
      <c r="D11" t="inlineStr">
        <is>
          <t>A first book of Irish literature : Hiberno-Latin, Gaelic, Anglo-Irish from the earliest times to the present day / by Aodh de Blacam.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De Blácam, Aodh, 1891-1951.</t>
        </is>
      </c>
      <c r="L11" t="inlineStr">
        <is>
          <t>Port Washington, N.Y. : Kennikat Press, [1970]</t>
        </is>
      </c>
      <c r="M11" t="inlineStr">
        <is>
          <t>1970</t>
        </is>
      </c>
      <c r="O11" t="inlineStr">
        <is>
          <t>eng</t>
        </is>
      </c>
      <c r="P11" t="inlineStr">
        <is>
          <t>nyu</t>
        </is>
      </c>
      <c r="Q11" t="inlineStr">
        <is>
          <t>Kennikat Press scholarly reprints</t>
        </is>
      </c>
      <c r="R11" t="inlineStr">
        <is>
          <t xml:space="preserve">PB </t>
        </is>
      </c>
      <c r="S11" t="n">
        <v>6</v>
      </c>
      <c r="T11" t="n">
        <v>6</v>
      </c>
      <c r="U11" t="inlineStr">
        <is>
          <t>2000-12-10</t>
        </is>
      </c>
      <c r="V11" t="inlineStr">
        <is>
          <t>2000-12-10</t>
        </is>
      </c>
      <c r="W11" t="inlineStr">
        <is>
          <t>1991-09-24</t>
        </is>
      </c>
      <c r="X11" t="inlineStr">
        <is>
          <t>1991-09-24</t>
        </is>
      </c>
      <c r="Y11" t="n">
        <v>187</v>
      </c>
      <c r="Z11" t="n">
        <v>166</v>
      </c>
      <c r="AA11" t="n">
        <v>237</v>
      </c>
      <c r="AB11" t="n">
        <v>3</v>
      </c>
      <c r="AC11" t="n">
        <v>3</v>
      </c>
      <c r="AD11" t="n">
        <v>8</v>
      </c>
      <c r="AE11" t="n">
        <v>20</v>
      </c>
      <c r="AF11" t="n">
        <v>1</v>
      </c>
      <c r="AG11" t="n">
        <v>3</v>
      </c>
      <c r="AH11" t="n">
        <v>2</v>
      </c>
      <c r="AI11" t="n">
        <v>6</v>
      </c>
      <c r="AJ11" t="n">
        <v>3</v>
      </c>
      <c r="AK11" t="n">
        <v>12</v>
      </c>
      <c r="AL11" t="n">
        <v>2</v>
      </c>
      <c r="AM11" t="n">
        <v>2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HYPERLINK("http://catalog.hathitrust.org/Record/001370767","HathiTrust Record")</f>
        <v/>
      </c>
      <c r="AS11">
        <f>HYPERLINK("https://creighton-primo.hosted.exlibrisgroup.com/primo-explore/search?tab=default_tab&amp;search_scope=EVERYTHING&amp;vid=01CRU&amp;lang=en_US&amp;offset=0&amp;query=any,contains,991000131669702656","Catalog Record")</f>
        <v/>
      </c>
      <c r="AT11">
        <f>HYPERLINK("http://www.worldcat.org/oclc/54385","WorldCat Record")</f>
        <v/>
      </c>
      <c r="AU11" t="inlineStr">
        <is>
          <t>1181678:eng</t>
        </is>
      </c>
      <c r="AV11" t="inlineStr">
        <is>
          <t>54385</t>
        </is>
      </c>
      <c r="AW11" t="inlineStr">
        <is>
          <t>991000131669702656</t>
        </is>
      </c>
      <c r="AX11" t="inlineStr">
        <is>
          <t>991000131669702656</t>
        </is>
      </c>
      <c r="AY11" t="inlineStr">
        <is>
          <t>2258221070002656</t>
        </is>
      </c>
      <c r="AZ11" t="inlineStr">
        <is>
          <t>BOOK</t>
        </is>
      </c>
      <c r="BB11" t="inlineStr">
        <is>
          <t>9780804607742</t>
        </is>
      </c>
      <c r="BC11" t="inlineStr">
        <is>
          <t>32285000760610</t>
        </is>
      </c>
      <c r="BD11" t="inlineStr">
        <is>
          <t>893714341</t>
        </is>
      </c>
    </row>
    <row r="12">
      <c r="A12" t="inlineStr">
        <is>
          <t>No</t>
        </is>
      </c>
      <c r="B12" t="inlineStr">
        <is>
          <t>PB1306 .D424 1986</t>
        </is>
      </c>
      <c r="C12" t="inlineStr">
        <is>
          <t>0                      PB 1306000D  424         1986</t>
        </is>
      </c>
      <c r="D12" t="inlineStr">
        <is>
          <t>A short history of Irish literature / Seamus Deane.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Deane, Seamus, 1940-</t>
        </is>
      </c>
      <c r="L12" t="inlineStr">
        <is>
          <t>London : Hutchinson ; Notre Dame, Indiana : University of Notre Dame Press, 1986.</t>
        </is>
      </c>
      <c r="M12" t="inlineStr">
        <is>
          <t>1986</t>
        </is>
      </c>
      <c r="O12" t="inlineStr">
        <is>
          <t>eng</t>
        </is>
      </c>
      <c r="P12" t="inlineStr">
        <is>
          <t>enk</t>
        </is>
      </c>
      <c r="R12" t="inlineStr">
        <is>
          <t xml:space="preserve">PB </t>
        </is>
      </c>
      <c r="S12" t="n">
        <v>36</v>
      </c>
      <c r="T12" t="n">
        <v>36</v>
      </c>
      <c r="U12" t="inlineStr">
        <is>
          <t>2008-04-22</t>
        </is>
      </c>
      <c r="V12" t="inlineStr">
        <is>
          <t>2008-04-22</t>
        </is>
      </c>
      <c r="W12" t="inlineStr">
        <is>
          <t>1991-12-10</t>
        </is>
      </c>
      <c r="X12" t="inlineStr">
        <is>
          <t>1991-12-10</t>
        </is>
      </c>
      <c r="Y12" t="n">
        <v>610</v>
      </c>
      <c r="Z12" t="n">
        <v>466</v>
      </c>
      <c r="AA12" t="n">
        <v>529</v>
      </c>
      <c r="AB12" t="n">
        <v>5</v>
      </c>
      <c r="AC12" t="n">
        <v>5</v>
      </c>
      <c r="AD12" t="n">
        <v>29</v>
      </c>
      <c r="AE12" t="n">
        <v>32</v>
      </c>
      <c r="AF12" t="n">
        <v>12</v>
      </c>
      <c r="AG12" t="n">
        <v>14</v>
      </c>
      <c r="AH12" t="n">
        <v>5</v>
      </c>
      <c r="AI12" t="n">
        <v>6</v>
      </c>
      <c r="AJ12" t="n">
        <v>17</v>
      </c>
      <c r="AK12" t="n">
        <v>19</v>
      </c>
      <c r="AL12" t="n">
        <v>4</v>
      </c>
      <c r="AM12" t="n">
        <v>4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HYPERLINK("http://catalog.hathitrust.org/Record/000401924","HathiTrust Record")</f>
        <v/>
      </c>
      <c r="AS12">
        <f>HYPERLINK("https://creighton-primo.hosted.exlibrisgroup.com/primo-explore/search?tab=default_tab&amp;search_scope=EVERYTHING&amp;vid=01CRU&amp;lang=en_US&amp;offset=0&amp;query=any,contains,991000846929702656","Catalog Record")</f>
        <v/>
      </c>
      <c r="AT12">
        <f>HYPERLINK("http://www.worldcat.org/oclc/13563537","WorldCat Record")</f>
        <v/>
      </c>
      <c r="AU12" t="inlineStr">
        <is>
          <t>1064775:eng</t>
        </is>
      </c>
      <c r="AV12" t="inlineStr">
        <is>
          <t>13563537</t>
        </is>
      </c>
      <c r="AW12" t="inlineStr">
        <is>
          <t>991000846929702656</t>
        </is>
      </c>
      <c r="AX12" t="inlineStr">
        <is>
          <t>991000846929702656</t>
        </is>
      </c>
      <c r="AY12" t="inlineStr">
        <is>
          <t>2255286700002656</t>
        </is>
      </c>
      <c r="AZ12" t="inlineStr">
        <is>
          <t>BOOK</t>
        </is>
      </c>
      <c r="BB12" t="inlineStr">
        <is>
          <t>9780091613600</t>
        </is>
      </c>
      <c r="BC12" t="inlineStr">
        <is>
          <t>32285000886647</t>
        </is>
      </c>
      <c r="BD12" t="inlineStr">
        <is>
          <t>893249731</t>
        </is>
      </c>
    </row>
    <row r="13">
      <c r="A13" t="inlineStr">
        <is>
          <t>No</t>
        </is>
      </c>
      <c r="B13" t="inlineStr">
        <is>
          <t>PB1306 .H8 1901</t>
        </is>
      </c>
      <c r="C13" t="inlineStr">
        <is>
          <t>0                      PB 1306000H  8           1901</t>
        </is>
      </c>
      <c r="D13" t="inlineStr">
        <is>
          <t>A literary history of Ireland from earliest times to the present day / by Douglas Hyde.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Hyde, Douglas, 1860-1949.</t>
        </is>
      </c>
      <c r="L13" t="inlineStr">
        <is>
          <t>New York : Charles Scribner's Sons, 1901.</t>
        </is>
      </c>
      <c r="M13" t="inlineStr">
        <is>
          <t>1901</t>
        </is>
      </c>
      <c r="N13" t="inlineStr">
        <is>
          <t>2d impression.</t>
        </is>
      </c>
      <c r="O13" t="inlineStr">
        <is>
          <t>eng</t>
        </is>
      </c>
      <c r="P13" t="inlineStr">
        <is>
          <t>nyu</t>
        </is>
      </c>
      <c r="Q13" t="inlineStr">
        <is>
          <t>Library of literary history</t>
        </is>
      </c>
      <c r="R13" t="inlineStr">
        <is>
          <t xml:space="preserve">PB </t>
        </is>
      </c>
      <c r="S13" t="n">
        <v>6</v>
      </c>
      <c r="T13" t="n">
        <v>6</v>
      </c>
      <c r="U13" t="inlineStr">
        <is>
          <t>2005-11-04</t>
        </is>
      </c>
      <c r="V13" t="inlineStr">
        <is>
          <t>2005-11-04</t>
        </is>
      </c>
      <c r="W13" t="inlineStr">
        <is>
          <t>1993-10-28</t>
        </is>
      </c>
      <c r="X13" t="inlineStr">
        <is>
          <t>1993-10-28</t>
        </is>
      </c>
      <c r="Y13" t="n">
        <v>10</v>
      </c>
      <c r="Z13" t="n">
        <v>10</v>
      </c>
      <c r="AA13" t="n">
        <v>692</v>
      </c>
      <c r="AB13" t="n">
        <v>1</v>
      </c>
      <c r="AC13" t="n">
        <v>5</v>
      </c>
      <c r="AD13" t="n">
        <v>2</v>
      </c>
      <c r="AE13" t="n">
        <v>41</v>
      </c>
      <c r="AF13" t="n">
        <v>0</v>
      </c>
      <c r="AG13" t="n">
        <v>16</v>
      </c>
      <c r="AH13" t="n">
        <v>1</v>
      </c>
      <c r="AI13" t="n">
        <v>10</v>
      </c>
      <c r="AJ13" t="n">
        <v>1</v>
      </c>
      <c r="AK13" t="n">
        <v>23</v>
      </c>
      <c r="AL13" t="n">
        <v>0</v>
      </c>
      <c r="AM13" t="n">
        <v>4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HYPERLINK("https://creighton-primo.hosted.exlibrisgroup.com/primo-explore/search?tab=default_tab&amp;search_scope=EVERYTHING&amp;vid=01CRU&amp;lang=en_US&amp;offset=0&amp;query=any,contains,991000908219702656","Catalog Record")</f>
        <v/>
      </c>
      <c r="AT13">
        <f>HYPERLINK("http://www.worldcat.org/oclc/14113973","WorldCat Record")</f>
        <v/>
      </c>
      <c r="AU13" t="inlineStr">
        <is>
          <t>1310008:eng</t>
        </is>
      </c>
      <c r="AV13" t="inlineStr">
        <is>
          <t>14113973</t>
        </is>
      </c>
      <c r="AW13" t="inlineStr">
        <is>
          <t>991000908219702656</t>
        </is>
      </c>
      <c r="AX13" t="inlineStr">
        <is>
          <t>991000908219702656</t>
        </is>
      </c>
      <c r="AY13" t="inlineStr">
        <is>
          <t>2268848450002656</t>
        </is>
      </c>
      <c r="AZ13" t="inlineStr">
        <is>
          <t>BOOK</t>
        </is>
      </c>
      <c r="BC13" t="inlineStr">
        <is>
          <t>32285001795375</t>
        </is>
      </c>
      <c r="BD13" t="inlineStr">
        <is>
          <t>893339994</t>
        </is>
      </c>
    </row>
    <row r="14">
      <c r="A14" t="inlineStr">
        <is>
          <t>No</t>
        </is>
      </c>
      <c r="B14" t="inlineStr">
        <is>
          <t>PB1306 .I7 1985</t>
        </is>
      </c>
      <c r="C14" t="inlineStr">
        <is>
          <t>0                      PB 1306000I  7           1985</t>
        </is>
      </c>
      <c r="D14" t="inlineStr">
        <is>
          <t>Irish literary criticism, 1900-1970 / edited by Frank L. Ryan.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L14" t="inlineStr">
        <is>
          <t>Lexington, Mass. : Ginn Press, 1985.</t>
        </is>
      </c>
      <c r="M14" t="inlineStr">
        <is>
          <t>1985</t>
        </is>
      </c>
      <c r="O14" t="inlineStr">
        <is>
          <t>eng</t>
        </is>
      </c>
      <c r="P14" t="inlineStr">
        <is>
          <t>mau</t>
        </is>
      </c>
      <c r="R14" t="inlineStr">
        <is>
          <t xml:space="preserve">PB </t>
        </is>
      </c>
      <c r="S14" t="n">
        <v>2</v>
      </c>
      <c r="T14" t="n">
        <v>2</v>
      </c>
      <c r="U14" t="inlineStr">
        <is>
          <t>1997-12-10</t>
        </is>
      </c>
      <c r="V14" t="inlineStr">
        <is>
          <t>1997-12-10</t>
        </is>
      </c>
      <c r="W14" t="inlineStr">
        <is>
          <t>1993-04-15</t>
        </is>
      </c>
      <c r="X14" t="inlineStr">
        <is>
          <t>1993-04-15</t>
        </is>
      </c>
      <c r="Y14" t="n">
        <v>64</v>
      </c>
      <c r="Z14" t="n">
        <v>57</v>
      </c>
      <c r="AA14" t="n">
        <v>57</v>
      </c>
      <c r="AB14" t="n">
        <v>1</v>
      </c>
      <c r="AC14" t="n">
        <v>1</v>
      </c>
      <c r="AD14" t="n">
        <v>5</v>
      </c>
      <c r="AE14" t="n">
        <v>5</v>
      </c>
      <c r="AF14" t="n">
        <v>0</v>
      </c>
      <c r="AG14" t="n">
        <v>0</v>
      </c>
      <c r="AH14" t="n">
        <v>3</v>
      </c>
      <c r="AI14" t="n">
        <v>3</v>
      </c>
      <c r="AJ14" t="n">
        <v>3</v>
      </c>
      <c r="AK14" t="n">
        <v>3</v>
      </c>
      <c r="AL14" t="n">
        <v>0</v>
      </c>
      <c r="AM14" t="n">
        <v>0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HYPERLINK("https://creighton-primo.hosted.exlibrisgroup.com/primo-explore/search?tab=default_tab&amp;search_scope=EVERYTHING&amp;vid=01CRU&amp;lang=en_US&amp;offset=0&amp;query=any,contains,991000715339702656","Catalog Record")</f>
        <v/>
      </c>
      <c r="AT14">
        <f>HYPERLINK("http://www.worldcat.org/oclc/12559147","WorldCat Record")</f>
        <v/>
      </c>
      <c r="AU14" t="inlineStr">
        <is>
          <t>4955579:eng</t>
        </is>
      </c>
      <c r="AV14" t="inlineStr">
        <is>
          <t>12559147</t>
        </is>
      </c>
      <c r="AW14" t="inlineStr">
        <is>
          <t>991000715339702656</t>
        </is>
      </c>
      <c r="AX14" t="inlineStr">
        <is>
          <t>991000715339702656</t>
        </is>
      </c>
      <c r="AY14" t="inlineStr">
        <is>
          <t>2264298510002656</t>
        </is>
      </c>
      <c r="AZ14" t="inlineStr">
        <is>
          <t>BOOK</t>
        </is>
      </c>
      <c r="BB14" t="inlineStr">
        <is>
          <t>9780536049926</t>
        </is>
      </c>
      <c r="BC14" t="inlineStr">
        <is>
          <t>32285001639698</t>
        </is>
      </c>
      <c r="BD14" t="inlineStr">
        <is>
          <t>893784461</t>
        </is>
      </c>
    </row>
    <row r="15">
      <c r="A15" t="inlineStr">
        <is>
          <t>No</t>
        </is>
      </c>
      <c r="B15" t="inlineStr">
        <is>
          <t>PB1307 .M45</t>
        </is>
      </c>
      <c r="C15" t="inlineStr">
        <is>
          <t>0                      PB 1307000M  45</t>
        </is>
      </c>
      <c r="D15" t="inlineStr">
        <is>
          <t>The Irish comic tradition.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Mercier, Vivian, 1919-1989.</t>
        </is>
      </c>
      <c r="L15" t="inlineStr">
        <is>
          <t>Oxford : Clarendon Press, 1962.</t>
        </is>
      </c>
      <c r="M15" t="inlineStr">
        <is>
          <t>1962</t>
        </is>
      </c>
      <c r="O15" t="inlineStr">
        <is>
          <t>eng</t>
        </is>
      </c>
      <c r="P15" t="inlineStr">
        <is>
          <t>enk</t>
        </is>
      </c>
      <c r="R15" t="inlineStr">
        <is>
          <t xml:space="preserve">PB </t>
        </is>
      </c>
      <c r="S15" t="n">
        <v>6</v>
      </c>
      <c r="T15" t="n">
        <v>6</v>
      </c>
      <c r="U15" t="inlineStr">
        <is>
          <t>2009-11-02</t>
        </is>
      </c>
      <c r="V15" t="inlineStr">
        <is>
          <t>2009-11-02</t>
        </is>
      </c>
      <c r="W15" t="inlineStr">
        <is>
          <t>1993-09-09</t>
        </is>
      </c>
      <c r="X15" t="inlineStr">
        <is>
          <t>1993-09-09</t>
        </is>
      </c>
      <c r="Y15" t="n">
        <v>812</v>
      </c>
      <c r="Z15" t="n">
        <v>673</v>
      </c>
      <c r="AA15" t="n">
        <v>784</v>
      </c>
      <c r="AB15" t="n">
        <v>7</v>
      </c>
      <c r="AC15" t="n">
        <v>8</v>
      </c>
      <c r="AD15" t="n">
        <v>37</v>
      </c>
      <c r="AE15" t="n">
        <v>38</v>
      </c>
      <c r="AF15" t="n">
        <v>10</v>
      </c>
      <c r="AG15" t="n">
        <v>11</v>
      </c>
      <c r="AH15" t="n">
        <v>10</v>
      </c>
      <c r="AI15" t="n">
        <v>11</v>
      </c>
      <c r="AJ15" t="n">
        <v>21</v>
      </c>
      <c r="AK15" t="n">
        <v>21</v>
      </c>
      <c r="AL15" t="n">
        <v>6</v>
      </c>
      <c r="AM15" t="n">
        <v>6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HYPERLINK("http://catalog.hathitrust.org/Record/001020574","HathiTrust Record")</f>
        <v/>
      </c>
      <c r="AS15">
        <f>HYPERLINK("https://creighton-primo.hosted.exlibrisgroup.com/primo-explore/search?tab=default_tab&amp;search_scope=EVERYTHING&amp;vid=01CRU&amp;lang=en_US&amp;offset=0&amp;query=any,contains,991002289519702656","Catalog Record")</f>
        <v/>
      </c>
      <c r="AT15">
        <f>HYPERLINK("http://www.worldcat.org/oclc/312556","WorldCat Record")</f>
        <v/>
      </c>
      <c r="AU15" t="inlineStr">
        <is>
          <t>116555778:eng</t>
        </is>
      </c>
      <c r="AV15" t="inlineStr">
        <is>
          <t>312556</t>
        </is>
      </c>
      <c r="AW15" t="inlineStr">
        <is>
          <t>991002289519702656</t>
        </is>
      </c>
      <c r="AX15" t="inlineStr">
        <is>
          <t>991002289519702656</t>
        </is>
      </c>
      <c r="AY15" t="inlineStr">
        <is>
          <t>2271172200002656</t>
        </is>
      </c>
      <c r="AZ15" t="inlineStr">
        <is>
          <t>BOOK</t>
        </is>
      </c>
      <c r="BC15" t="inlineStr">
        <is>
          <t>32285001764306</t>
        </is>
      </c>
      <c r="BD15" t="inlineStr">
        <is>
          <t>893792283</t>
        </is>
      </c>
    </row>
    <row r="16">
      <c r="A16" t="inlineStr">
        <is>
          <t>No</t>
        </is>
      </c>
      <c r="B16" t="inlineStr">
        <is>
          <t>PB1321 .S2 1970</t>
        </is>
      </c>
      <c r="C16" t="inlineStr">
        <is>
          <t>0                      PB 1321000S  2           1970</t>
        </is>
      </c>
      <c r="D16" t="inlineStr">
        <is>
          <t>Traditional Irish literature and its backgrounds : a brief introduction.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Saul, George Brandon, 1901-1986.</t>
        </is>
      </c>
      <c r="L16" t="inlineStr">
        <is>
          <t>Lewisburg : Bucknell University Press, [1970]</t>
        </is>
      </c>
      <c r="M16" t="inlineStr">
        <is>
          <t>1970</t>
        </is>
      </c>
      <c r="O16" t="inlineStr">
        <is>
          <t>eng</t>
        </is>
      </c>
      <c r="P16" t="inlineStr">
        <is>
          <t>pau</t>
        </is>
      </c>
      <c r="R16" t="inlineStr">
        <is>
          <t xml:space="preserve">PB </t>
        </is>
      </c>
      <c r="S16" t="n">
        <v>8</v>
      </c>
      <c r="T16" t="n">
        <v>8</v>
      </c>
      <c r="U16" t="inlineStr">
        <is>
          <t>2003-10-25</t>
        </is>
      </c>
      <c r="V16" t="inlineStr">
        <is>
          <t>2003-10-25</t>
        </is>
      </c>
      <c r="W16" t="inlineStr">
        <is>
          <t>1991-09-17</t>
        </is>
      </c>
      <c r="X16" t="inlineStr">
        <is>
          <t>1991-09-17</t>
        </is>
      </c>
      <c r="Y16" t="n">
        <v>397</v>
      </c>
      <c r="Z16" t="n">
        <v>340</v>
      </c>
      <c r="AA16" t="n">
        <v>348</v>
      </c>
      <c r="AB16" t="n">
        <v>5</v>
      </c>
      <c r="AC16" t="n">
        <v>5</v>
      </c>
      <c r="AD16" t="n">
        <v>20</v>
      </c>
      <c r="AE16" t="n">
        <v>20</v>
      </c>
      <c r="AF16" t="n">
        <v>6</v>
      </c>
      <c r="AG16" t="n">
        <v>6</v>
      </c>
      <c r="AH16" t="n">
        <v>7</v>
      </c>
      <c r="AI16" t="n">
        <v>7</v>
      </c>
      <c r="AJ16" t="n">
        <v>7</v>
      </c>
      <c r="AK16" t="n">
        <v>7</v>
      </c>
      <c r="AL16" t="n">
        <v>4</v>
      </c>
      <c r="AM16" t="n">
        <v>4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HYPERLINK("http://catalog.hathitrust.org/Record/001182407","HathiTrust Record")</f>
        <v/>
      </c>
      <c r="AS16">
        <f>HYPERLINK("https://creighton-primo.hosted.exlibrisgroup.com/primo-explore/search?tab=default_tab&amp;search_scope=EVERYTHING&amp;vid=01CRU&amp;lang=en_US&amp;offset=0&amp;query=any,contains,991000625589702656","Catalog Record")</f>
        <v/>
      </c>
      <c r="AT16">
        <f>HYPERLINK("http://www.worldcat.org/oclc/104204","WorldCat Record")</f>
        <v/>
      </c>
      <c r="AU16" t="inlineStr">
        <is>
          <t>365300143:eng</t>
        </is>
      </c>
      <c r="AV16" t="inlineStr">
        <is>
          <t>104204</t>
        </is>
      </c>
      <c r="AW16" t="inlineStr">
        <is>
          <t>991000625589702656</t>
        </is>
      </c>
      <c r="AX16" t="inlineStr">
        <is>
          <t>991000625589702656</t>
        </is>
      </c>
      <c r="AY16" t="inlineStr">
        <is>
          <t>2260625870002656</t>
        </is>
      </c>
      <c r="AZ16" t="inlineStr">
        <is>
          <t>BOOK</t>
        </is>
      </c>
      <c r="BB16" t="inlineStr">
        <is>
          <t>9780838776865</t>
        </is>
      </c>
      <c r="BC16" t="inlineStr">
        <is>
          <t>32285000756774</t>
        </is>
      </c>
      <c r="BD16" t="inlineStr">
        <is>
          <t>893315103</t>
        </is>
      </c>
    </row>
    <row r="17">
      <c r="A17" t="inlineStr">
        <is>
          <t>No</t>
        </is>
      </c>
      <c r="B17" t="inlineStr">
        <is>
          <t>PB1322 .F5 1948</t>
        </is>
      </c>
      <c r="C17" t="inlineStr">
        <is>
          <t>0                      PB 1322000F  5           1948</t>
        </is>
      </c>
      <c r="D17" t="inlineStr">
        <is>
          <t>The Irish tradition.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Flower, Robin, 1881-1946.</t>
        </is>
      </c>
      <c r="L17" t="inlineStr">
        <is>
          <t>Oxford : Clarendon Press, c1947, 1948 printing.</t>
        </is>
      </c>
      <c r="M17" t="inlineStr">
        <is>
          <t>1948</t>
        </is>
      </c>
      <c r="N17" t="inlineStr">
        <is>
          <t>1st ed.</t>
        </is>
      </c>
      <c r="O17" t="inlineStr">
        <is>
          <t>eng</t>
        </is>
      </c>
      <c r="P17" t="inlineStr">
        <is>
          <t>enk</t>
        </is>
      </c>
      <c r="R17" t="inlineStr">
        <is>
          <t xml:space="preserve">PB </t>
        </is>
      </c>
      <c r="S17" t="n">
        <v>9</v>
      </c>
      <c r="T17" t="n">
        <v>9</v>
      </c>
      <c r="U17" t="inlineStr">
        <is>
          <t>2003-02-01</t>
        </is>
      </c>
      <c r="V17" t="inlineStr">
        <is>
          <t>2003-02-01</t>
        </is>
      </c>
      <c r="W17" t="inlineStr">
        <is>
          <t>1991-09-24</t>
        </is>
      </c>
      <c r="X17" t="inlineStr">
        <is>
          <t>1991-09-24</t>
        </is>
      </c>
      <c r="Y17" t="n">
        <v>487</v>
      </c>
      <c r="Z17" t="n">
        <v>379</v>
      </c>
      <c r="AA17" t="n">
        <v>460</v>
      </c>
      <c r="AB17" t="n">
        <v>2</v>
      </c>
      <c r="AC17" t="n">
        <v>3</v>
      </c>
      <c r="AD17" t="n">
        <v>25</v>
      </c>
      <c r="AE17" t="n">
        <v>28</v>
      </c>
      <c r="AF17" t="n">
        <v>7</v>
      </c>
      <c r="AG17" t="n">
        <v>9</v>
      </c>
      <c r="AH17" t="n">
        <v>8</v>
      </c>
      <c r="AI17" t="n">
        <v>9</v>
      </c>
      <c r="AJ17" t="n">
        <v>19</v>
      </c>
      <c r="AK17" t="n">
        <v>19</v>
      </c>
      <c r="AL17" t="n">
        <v>1</v>
      </c>
      <c r="AM17" t="n">
        <v>2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HYPERLINK("http://catalog.hathitrust.org/Record/001182408","HathiTrust Record")</f>
        <v/>
      </c>
      <c r="AS17">
        <f>HYPERLINK("https://creighton-primo.hosted.exlibrisgroup.com/primo-explore/search?tab=default_tab&amp;search_scope=EVERYTHING&amp;vid=01CRU&amp;lang=en_US&amp;offset=0&amp;query=any,contains,991003475469702656","Catalog Record")</f>
        <v/>
      </c>
      <c r="AT17">
        <f>HYPERLINK("http://www.worldcat.org/oclc/1019820","WorldCat Record")</f>
        <v/>
      </c>
      <c r="AU17" t="inlineStr">
        <is>
          <t>415859:eng</t>
        </is>
      </c>
      <c r="AV17" t="inlineStr">
        <is>
          <t>1019820</t>
        </is>
      </c>
      <c r="AW17" t="inlineStr">
        <is>
          <t>991003475469702656</t>
        </is>
      </c>
      <c r="AX17" t="inlineStr">
        <is>
          <t>991003475469702656</t>
        </is>
      </c>
      <c r="AY17" t="inlineStr">
        <is>
          <t>2257690340002656</t>
        </is>
      </c>
      <c r="AZ17" t="inlineStr">
        <is>
          <t>BOOK</t>
        </is>
      </c>
      <c r="BC17" t="inlineStr">
        <is>
          <t>32285000760628</t>
        </is>
      </c>
      <c r="BD17" t="inlineStr">
        <is>
          <t>893874787</t>
        </is>
      </c>
    </row>
    <row r="18">
      <c r="A18" t="inlineStr">
        <is>
          <t>No</t>
        </is>
      </c>
      <c r="B18" t="inlineStr">
        <is>
          <t>PB1325 .S33</t>
        </is>
      </c>
      <c r="C18" t="inlineStr">
        <is>
          <t>0                      PB 1325000S  33</t>
        </is>
      </c>
      <c r="D18" t="inlineStr">
        <is>
          <t>The Genres of the Irish Literary Revival / edited by Ronald Schleifer.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L18" t="inlineStr">
        <is>
          <t>Norman, Oklahoma : Pilgrim Books, Inc., c1979,1980.</t>
        </is>
      </c>
      <c r="M18" t="inlineStr">
        <is>
          <t>1980</t>
        </is>
      </c>
      <c r="O18" t="inlineStr">
        <is>
          <t>eng</t>
        </is>
      </c>
      <c r="P18" t="inlineStr">
        <is>
          <t>oku</t>
        </is>
      </c>
      <c r="R18" t="inlineStr">
        <is>
          <t xml:space="preserve">PB </t>
        </is>
      </c>
      <c r="S18" t="n">
        <v>3</v>
      </c>
      <c r="T18" t="n">
        <v>3</v>
      </c>
      <c r="U18" t="inlineStr">
        <is>
          <t>2006-01-09</t>
        </is>
      </c>
      <c r="V18" t="inlineStr">
        <is>
          <t>2006-01-09</t>
        </is>
      </c>
      <c r="W18" t="inlineStr">
        <is>
          <t>1993-04-15</t>
        </is>
      </c>
      <c r="X18" t="inlineStr">
        <is>
          <t>1993-04-15</t>
        </is>
      </c>
      <c r="Y18" t="n">
        <v>379</v>
      </c>
      <c r="Z18" t="n">
        <v>286</v>
      </c>
      <c r="AA18" t="n">
        <v>291</v>
      </c>
      <c r="AB18" t="n">
        <v>3</v>
      </c>
      <c r="AC18" t="n">
        <v>3</v>
      </c>
      <c r="AD18" t="n">
        <v>24</v>
      </c>
      <c r="AE18" t="n">
        <v>24</v>
      </c>
      <c r="AF18" t="n">
        <v>11</v>
      </c>
      <c r="AG18" t="n">
        <v>11</v>
      </c>
      <c r="AH18" t="n">
        <v>7</v>
      </c>
      <c r="AI18" t="n">
        <v>7</v>
      </c>
      <c r="AJ18" t="n">
        <v>13</v>
      </c>
      <c r="AK18" t="n">
        <v>13</v>
      </c>
      <c r="AL18" t="n">
        <v>2</v>
      </c>
      <c r="AM18" t="n">
        <v>2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HYPERLINK("http://catalog.hathitrust.org/Record/000308698","HathiTrust Record")</f>
        <v/>
      </c>
      <c r="AS18">
        <f>HYPERLINK("https://creighton-primo.hosted.exlibrisgroup.com/primo-explore/search?tab=default_tab&amp;search_scope=EVERYTHING&amp;vid=01CRU&amp;lang=en_US&amp;offset=0&amp;query=any,contains,991005118669702656","Catalog Record")</f>
        <v/>
      </c>
      <c r="AT18">
        <f>HYPERLINK("http://www.worldcat.org/oclc/7470306","WorldCat Record")</f>
        <v/>
      </c>
      <c r="AU18" t="inlineStr">
        <is>
          <t>54444731:eng</t>
        </is>
      </c>
      <c r="AV18" t="inlineStr">
        <is>
          <t>7470306</t>
        </is>
      </c>
      <c r="AW18" t="inlineStr">
        <is>
          <t>991005118669702656</t>
        </is>
      </c>
      <c r="AX18" t="inlineStr">
        <is>
          <t>991005118669702656</t>
        </is>
      </c>
      <c r="AY18" t="inlineStr">
        <is>
          <t>2267703750002656</t>
        </is>
      </c>
      <c r="AZ18" t="inlineStr">
        <is>
          <t>BOOK</t>
        </is>
      </c>
      <c r="BB18" t="inlineStr">
        <is>
          <t>9780937664537</t>
        </is>
      </c>
      <c r="BC18" t="inlineStr">
        <is>
          <t>32285001639706</t>
        </is>
      </c>
      <c r="BD18" t="inlineStr">
        <is>
          <t>893594500</t>
        </is>
      </c>
    </row>
    <row r="19">
      <c r="A19" t="inlineStr">
        <is>
          <t>No</t>
        </is>
      </c>
      <c r="B19" t="inlineStr">
        <is>
          <t>PB1327 .D5</t>
        </is>
      </c>
      <c r="C19" t="inlineStr">
        <is>
          <t>0                      PB 1327000D  5</t>
        </is>
      </c>
      <c r="D19" t="inlineStr">
        <is>
          <t>Early Irish literature.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Dillon, Myles, 1900-1972.</t>
        </is>
      </c>
      <c r="L19" t="inlineStr">
        <is>
          <t>Chicago : Univ. of Chicago Press, [1948]</t>
        </is>
      </c>
      <c r="M19" t="inlineStr">
        <is>
          <t>1948</t>
        </is>
      </c>
      <c r="O19" t="inlineStr">
        <is>
          <t>eng</t>
        </is>
      </c>
      <c r="P19" t="inlineStr">
        <is>
          <t>ilu</t>
        </is>
      </c>
      <c r="R19" t="inlineStr">
        <is>
          <t xml:space="preserve">PB </t>
        </is>
      </c>
      <c r="S19" t="n">
        <v>13</v>
      </c>
      <c r="T19" t="n">
        <v>13</v>
      </c>
      <c r="U19" t="inlineStr">
        <is>
          <t>2003-12-14</t>
        </is>
      </c>
      <c r="V19" t="inlineStr">
        <is>
          <t>2003-12-14</t>
        </is>
      </c>
      <c r="W19" t="inlineStr">
        <is>
          <t>1991-12-10</t>
        </is>
      </c>
      <c r="X19" t="inlineStr">
        <is>
          <t>1991-12-10</t>
        </is>
      </c>
      <c r="Y19" t="n">
        <v>882</v>
      </c>
      <c r="Z19" t="n">
        <v>777</v>
      </c>
      <c r="AA19" t="n">
        <v>833</v>
      </c>
      <c r="AB19" t="n">
        <v>6</v>
      </c>
      <c r="AC19" t="n">
        <v>6</v>
      </c>
      <c r="AD19" t="n">
        <v>41</v>
      </c>
      <c r="AE19" t="n">
        <v>41</v>
      </c>
      <c r="AF19" t="n">
        <v>16</v>
      </c>
      <c r="AG19" t="n">
        <v>16</v>
      </c>
      <c r="AH19" t="n">
        <v>11</v>
      </c>
      <c r="AI19" t="n">
        <v>11</v>
      </c>
      <c r="AJ19" t="n">
        <v>21</v>
      </c>
      <c r="AK19" t="n">
        <v>21</v>
      </c>
      <c r="AL19" t="n">
        <v>5</v>
      </c>
      <c r="AM19" t="n">
        <v>5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HYPERLINK("http://catalog.hathitrust.org/Record/001182403","HathiTrust Record")</f>
        <v/>
      </c>
      <c r="AS19">
        <f>HYPERLINK("https://creighton-primo.hosted.exlibrisgroup.com/primo-explore/search?tab=default_tab&amp;search_scope=EVERYTHING&amp;vid=01CRU&amp;lang=en_US&amp;offset=0&amp;query=any,contains,991002289089702656","Catalog Record")</f>
        <v/>
      </c>
      <c r="AT19">
        <f>HYPERLINK("http://www.worldcat.org/oclc/312471","WorldCat Record")</f>
        <v/>
      </c>
      <c r="AU19" t="inlineStr">
        <is>
          <t>1375446:eng</t>
        </is>
      </c>
      <c r="AV19" t="inlineStr">
        <is>
          <t>312471</t>
        </is>
      </c>
      <c r="AW19" t="inlineStr">
        <is>
          <t>991002289089702656</t>
        </is>
      </c>
      <c r="AX19" t="inlineStr">
        <is>
          <t>991002289089702656</t>
        </is>
      </c>
      <c r="AY19" t="inlineStr">
        <is>
          <t>2271285280002656</t>
        </is>
      </c>
      <c r="AZ19" t="inlineStr">
        <is>
          <t>BOOK</t>
        </is>
      </c>
      <c r="BC19" t="inlineStr">
        <is>
          <t>32285000848928</t>
        </is>
      </c>
      <c r="BD19" t="inlineStr">
        <is>
          <t>893886078</t>
        </is>
      </c>
    </row>
    <row r="20">
      <c r="A20" t="inlineStr">
        <is>
          <t>No</t>
        </is>
      </c>
      <c r="B20" t="inlineStr">
        <is>
          <t>PB1333 .C33 1998</t>
        </is>
      </c>
      <c r="C20" t="inlineStr">
        <is>
          <t>0                      PB 1333000C  33          1998</t>
        </is>
      </c>
      <c r="D20" t="inlineStr">
        <is>
          <t>Poets and politics : continuity and reaction in Irish poetry, 1558-1625 / Marc Caball.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Caball, Marc.</t>
        </is>
      </c>
      <c r="L20" t="inlineStr">
        <is>
          <t>Cork : Cork University Press in association with Field Day, 1998.</t>
        </is>
      </c>
      <c r="M20" t="inlineStr">
        <is>
          <t>1998</t>
        </is>
      </c>
      <c r="O20" t="inlineStr">
        <is>
          <t>eng</t>
        </is>
      </c>
      <c r="P20" t="inlineStr">
        <is>
          <t xml:space="preserve">ie </t>
        </is>
      </c>
      <c r="Q20" t="inlineStr">
        <is>
          <t>Critical conditions ; 8</t>
        </is>
      </c>
      <c r="R20" t="inlineStr">
        <is>
          <t xml:space="preserve">PB </t>
        </is>
      </c>
      <c r="S20" t="n">
        <v>3</v>
      </c>
      <c r="T20" t="n">
        <v>3</v>
      </c>
      <c r="U20" t="inlineStr">
        <is>
          <t>2003-04-17</t>
        </is>
      </c>
      <c r="V20" t="inlineStr">
        <is>
          <t>2003-04-17</t>
        </is>
      </c>
      <c r="W20" t="inlineStr">
        <is>
          <t>2001-05-17</t>
        </is>
      </c>
      <c r="X20" t="inlineStr">
        <is>
          <t>2001-05-17</t>
        </is>
      </c>
      <c r="Y20" t="n">
        <v>84</v>
      </c>
      <c r="Z20" t="n">
        <v>44</v>
      </c>
      <c r="AA20" t="n">
        <v>124</v>
      </c>
      <c r="AB20" t="n">
        <v>1</v>
      </c>
      <c r="AC20" t="n">
        <v>3</v>
      </c>
      <c r="AD20" t="n">
        <v>3</v>
      </c>
      <c r="AE20" t="n">
        <v>11</v>
      </c>
      <c r="AF20" t="n">
        <v>0</v>
      </c>
      <c r="AG20" t="n">
        <v>1</v>
      </c>
      <c r="AH20" t="n">
        <v>2</v>
      </c>
      <c r="AI20" t="n">
        <v>6</v>
      </c>
      <c r="AJ20" t="n">
        <v>2</v>
      </c>
      <c r="AK20" t="n">
        <v>5</v>
      </c>
      <c r="AL20" t="n">
        <v>0</v>
      </c>
      <c r="AM20" t="n">
        <v>2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HYPERLINK("http://catalog.hathitrust.org/Record/004021025","HathiTrust Record")</f>
        <v/>
      </c>
      <c r="AS20">
        <f>HYPERLINK("https://creighton-primo.hosted.exlibrisgroup.com/primo-explore/search?tab=default_tab&amp;search_scope=EVERYTHING&amp;vid=01CRU&amp;lang=en_US&amp;offset=0&amp;query=any,contains,991003469049702656","Catalog Record")</f>
        <v/>
      </c>
      <c r="AT20">
        <f>HYPERLINK("http://www.worldcat.org/oclc/40608912","WorldCat Record")</f>
        <v/>
      </c>
      <c r="AU20" t="inlineStr">
        <is>
          <t>23646862:eng</t>
        </is>
      </c>
      <c r="AV20" t="inlineStr">
        <is>
          <t>40608912</t>
        </is>
      </c>
      <c r="AW20" t="inlineStr">
        <is>
          <t>991003469049702656</t>
        </is>
      </c>
      <c r="AX20" t="inlineStr">
        <is>
          <t>991003469049702656</t>
        </is>
      </c>
      <c r="AY20" t="inlineStr">
        <is>
          <t>2271615810002656</t>
        </is>
      </c>
      <c r="AZ20" t="inlineStr">
        <is>
          <t>BOOK</t>
        </is>
      </c>
      <c r="BB20" t="inlineStr">
        <is>
          <t>9781859181621</t>
        </is>
      </c>
      <c r="BC20" t="inlineStr">
        <is>
          <t>32285004318126</t>
        </is>
      </c>
      <c r="BD20" t="inlineStr">
        <is>
          <t>893805800</t>
        </is>
      </c>
    </row>
    <row r="21">
      <c r="A21" t="inlineStr">
        <is>
          <t>No</t>
        </is>
      </c>
      <c r="B21" t="inlineStr">
        <is>
          <t>PB1353 .M67 1987</t>
        </is>
      </c>
      <c r="C21" t="inlineStr">
        <is>
          <t>0                      PB 1353000M  67          1987</t>
        </is>
      </c>
      <c r="D21" t="inlineStr">
        <is>
          <t>More Irish short stories / John B. Keane.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Keane, John B., 1928-2002.</t>
        </is>
      </c>
      <c r="L21" t="inlineStr">
        <is>
          <t>Cork ; Dublin : Mercier, 1987, c1981.</t>
        </is>
      </c>
      <c r="M21" t="inlineStr">
        <is>
          <t>1987</t>
        </is>
      </c>
      <c r="O21" t="inlineStr">
        <is>
          <t>eng</t>
        </is>
      </c>
      <c r="P21" t="inlineStr">
        <is>
          <t xml:space="preserve">ie </t>
        </is>
      </c>
      <c r="R21" t="inlineStr">
        <is>
          <t xml:space="preserve">PB </t>
        </is>
      </c>
      <c r="S21" t="n">
        <v>3</v>
      </c>
      <c r="T21" t="n">
        <v>3</v>
      </c>
      <c r="U21" t="inlineStr">
        <is>
          <t>1993-03-15</t>
        </is>
      </c>
      <c r="V21" t="inlineStr">
        <is>
          <t>1993-03-15</t>
        </is>
      </c>
      <c r="W21" t="inlineStr">
        <is>
          <t>1992-04-09</t>
        </is>
      </c>
      <c r="X21" t="inlineStr">
        <is>
          <t>1992-04-09</t>
        </is>
      </c>
      <c r="Y21" t="n">
        <v>8</v>
      </c>
      <c r="Z21" t="n">
        <v>7</v>
      </c>
      <c r="AA21" t="n">
        <v>34</v>
      </c>
      <c r="AB21" t="n">
        <v>1</v>
      </c>
      <c r="AC21" t="n">
        <v>1</v>
      </c>
      <c r="AD21" t="n">
        <v>1</v>
      </c>
      <c r="AE21" t="n">
        <v>2</v>
      </c>
      <c r="AF21" t="n">
        <v>0</v>
      </c>
      <c r="AG21" t="n">
        <v>0</v>
      </c>
      <c r="AH21" t="n">
        <v>1</v>
      </c>
      <c r="AI21" t="n">
        <v>1</v>
      </c>
      <c r="AJ21" t="n">
        <v>0</v>
      </c>
      <c r="AK21" t="n">
        <v>1</v>
      </c>
      <c r="AL21" t="n">
        <v>0</v>
      </c>
      <c r="AM21" t="n">
        <v>0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HYPERLINK("https://creighton-primo.hosted.exlibrisgroup.com/primo-explore/search?tab=default_tab&amp;search_scope=EVERYTHING&amp;vid=01CRU&amp;lang=en_US&amp;offset=0&amp;query=any,contains,991001801209702656","Catalog Record")</f>
        <v/>
      </c>
      <c r="AT21">
        <f>HYPERLINK("http://www.worldcat.org/oclc/22638485","WorldCat Record")</f>
        <v/>
      </c>
      <c r="AU21" t="inlineStr">
        <is>
          <t>197318180:eng</t>
        </is>
      </c>
      <c r="AV21" t="inlineStr">
        <is>
          <t>22638485</t>
        </is>
      </c>
      <c r="AW21" t="inlineStr">
        <is>
          <t>991001801209702656</t>
        </is>
      </c>
      <c r="AX21" t="inlineStr">
        <is>
          <t>991001801209702656</t>
        </is>
      </c>
      <c r="AY21" t="inlineStr">
        <is>
          <t>2270114940002656</t>
        </is>
      </c>
      <c r="AZ21" t="inlineStr">
        <is>
          <t>BOOK</t>
        </is>
      </c>
      <c r="BB21" t="inlineStr">
        <is>
          <t>9780853428183</t>
        </is>
      </c>
      <c r="BC21" t="inlineStr">
        <is>
          <t>32285001009561</t>
        </is>
      </c>
      <c r="BD21" t="inlineStr">
        <is>
          <t>893590656</t>
        </is>
      </c>
    </row>
    <row r="22">
      <c r="A22" t="inlineStr">
        <is>
          <t>No</t>
        </is>
      </c>
      <c r="B22" t="inlineStr">
        <is>
          <t>PB1395.M7 P64 1997</t>
        </is>
      </c>
      <c r="C22" t="inlineStr">
        <is>
          <t>0                      PB 1395000M  7                  P  64          1997</t>
        </is>
      </c>
      <c r="D22" t="inlineStr">
        <is>
          <t>Poets and poetry of Munster, 1885 / [compiled and translated by] James Clarence Mangan.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L22" t="inlineStr">
        <is>
          <t>Poole, England ; Washington, D.C. : Woodstock Books, 1997.</t>
        </is>
      </c>
      <c r="M22" t="inlineStr">
        <is>
          <t>1997</t>
        </is>
      </c>
      <c r="O22" t="inlineStr">
        <is>
          <t>eng</t>
        </is>
      </c>
      <c r="P22" t="inlineStr">
        <is>
          <t>enk</t>
        </is>
      </c>
      <c r="Q22" t="inlineStr">
        <is>
          <t>Hibernia</t>
        </is>
      </c>
      <c r="R22" t="inlineStr">
        <is>
          <t xml:space="preserve">PB </t>
        </is>
      </c>
      <c r="S22" t="n">
        <v>1</v>
      </c>
      <c r="T22" t="n">
        <v>1</v>
      </c>
      <c r="U22" t="inlineStr">
        <is>
          <t>1999-05-10</t>
        </is>
      </c>
      <c r="V22" t="inlineStr">
        <is>
          <t>1999-05-10</t>
        </is>
      </c>
      <c r="W22" t="inlineStr">
        <is>
          <t>1997-12-11</t>
        </is>
      </c>
      <c r="X22" t="inlineStr">
        <is>
          <t>1997-12-11</t>
        </is>
      </c>
      <c r="Y22" t="n">
        <v>47</v>
      </c>
      <c r="Z22" t="n">
        <v>36</v>
      </c>
      <c r="AA22" t="n">
        <v>38</v>
      </c>
      <c r="AB22" t="n">
        <v>1</v>
      </c>
      <c r="AC22" t="n">
        <v>1</v>
      </c>
      <c r="AD22" t="n">
        <v>2</v>
      </c>
      <c r="AE22" t="n">
        <v>2</v>
      </c>
      <c r="AF22" t="n">
        <v>0</v>
      </c>
      <c r="AG22" t="n">
        <v>0</v>
      </c>
      <c r="AH22" t="n">
        <v>0</v>
      </c>
      <c r="AI22" t="n">
        <v>0</v>
      </c>
      <c r="AJ22" t="n">
        <v>2</v>
      </c>
      <c r="AK22" t="n">
        <v>2</v>
      </c>
      <c r="AL22" t="n">
        <v>0</v>
      </c>
      <c r="AM22" t="n">
        <v>0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HYPERLINK("http://catalog.hathitrust.org/Record/003198672","HathiTrust Record")</f>
        <v/>
      </c>
      <c r="AS22">
        <f>HYPERLINK("https://creighton-primo.hosted.exlibrisgroup.com/primo-explore/search?tab=default_tab&amp;search_scope=EVERYTHING&amp;vid=01CRU&amp;lang=en_US&amp;offset=0&amp;query=any,contains,991002662889702656","Catalog Record")</f>
        <v/>
      </c>
      <c r="AT22">
        <f>HYPERLINK("http://www.worldcat.org/oclc/34798178","WorldCat Record")</f>
        <v/>
      </c>
      <c r="AU22" t="inlineStr">
        <is>
          <t>432712363:eng</t>
        </is>
      </c>
      <c r="AV22" t="inlineStr">
        <is>
          <t>34798178</t>
        </is>
      </c>
      <c r="AW22" t="inlineStr">
        <is>
          <t>991002662889702656</t>
        </is>
      </c>
      <c r="AX22" t="inlineStr">
        <is>
          <t>991002662889702656</t>
        </is>
      </c>
      <c r="AY22" t="inlineStr">
        <is>
          <t>2259831040002656</t>
        </is>
      </c>
      <c r="AZ22" t="inlineStr">
        <is>
          <t>BOOK</t>
        </is>
      </c>
      <c r="BB22" t="inlineStr">
        <is>
          <t>9781854772176</t>
        </is>
      </c>
      <c r="BC22" t="inlineStr">
        <is>
          <t>32285003282661</t>
        </is>
      </c>
      <c r="BD22" t="inlineStr">
        <is>
          <t>893409384</t>
        </is>
      </c>
    </row>
    <row r="23">
      <c r="A23" t="inlineStr">
        <is>
          <t>No</t>
        </is>
      </c>
      <c r="B23" t="inlineStr">
        <is>
          <t>PB1399.D315 A6 2000</t>
        </is>
      </c>
      <c r="C23" t="inlineStr">
        <is>
          <t>0                      PB 1399000D  315                A  6           2000</t>
        </is>
      </c>
      <c r="D23" t="inlineStr">
        <is>
          <t>Freacnairc mhearcair : rogha daanta 1970-1998 = The oomph of quicksilver : selected poems 1970-1998 / Michael Davitt ; edited by Louis de Paor.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Davitt, Michael.</t>
        </is>
      </c>
      <c r="L23" t="inlineStr">
        <is>
          <t>Cork : Cork University, 2000.</t>
        </is>
      </c>
      <c r="M23" t="inlineStr">
        <is>
          <t>2000</t>
        </is>
      </c>
      <c r="O23" t="inlineStr">
        <is>
          <t>gle</t>
        </is>
      </c>
      <c r="P23" t="inlineStr">
        <is>
          <t xml:space="preserve">ie </t>
        </is>
      </c>
      <c r="R23" t="inlineStr">
        <is>
          <t xml:space="preserve">PB </t>
        </is>
      </c>
      <c r="S23" t="n">
        <v>1</v>
      </c>
      <c r="T23" t="n">
        <v>1</v>
      </c>
      <c r="U23" t="inlineStr">
        <is>
          <t>2004-05-17</t>
        </is>
      </c>
      <c r="V23" t="inlineStr">
        <is>
          <t>2004-05-17</t>
        </is>
      </c>
      <c r="W23" t="inlineStr">
        <is>
          <t>2004-05-17</t>
        </is>
      </c>
      <c r="X23" t="inlineStr">
        <is>
          <t>2004-05-17</t>
        </is>
      </c>
      <c r="Y23" t="n">
        <v>101</v>
      </c>
      <c r="Z23" t="n">
        <v>80</v>
      </c>
      <c r="AA23" t="n">
        <v>81</v>
      </c>
      <c r="AB23" t="n">
        <v>1</v>
      </c>
      <c r="AC23" t="n">
        <v>1</v>
      </c>
      <c r="AD23" t="n">
        <v>4</v>
      </c>
      <c r="AE23" t="n">
        <v>4</v>
      </c>
      <c r="AF23" t="n">
        <v>0</v>
      </c>
      <c r="AG23" t="n">
        <v>0</v>
      </c>
      <c r="AH23" t="n">
        <v>2</v>
      </c>
      <c r="AI23" t="n">
        <v>2</v>
      </c>
      <c r="AJ23" t="n">
        <v>3</v>
      </c>
      <c r="AK23" t="n">
        <v>3</v>
      </c>
      <c r="AL23" t="n">
        <v>0</v>
      </c>
      <c r="AM23" t="n">
        <v>0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HYPERLINK("http://catalog.hathitrust.org/Record/004102108","HathiTrust Record")</f>
        <v/>
      </c>
      <c r="AS23">
        <f>HYPERLINK("https://creighton-primo.hosted.exlibrisgroup.com/primo-explore/search?tab=default_tab&amp;search_scope=EVERYTHING&amp;vid=01CRU&amp;lang=en_US&amp;offset=0&amp;query=any,contains,991004243909702656","Catalog Record")</f>
        <v/>
      </c>
      <c r="AT23">
        <f>HYPERLINK("http://www.worldcat.org/oclc/44714862","WorldCat Record")</f>
        <v/>
      </c>
      <c r="AU23" t="inlineStr">
        <is>
          <t>1808001366:gle</t>
        </is>
      </c>
      <c r="AV23" t="inlineStr">
        <is>
          <t>44714862</t>
        </is>
      </c>
      <c r="AW23" t="inlineStr">
        <is>
          <t>991004243909702656</t>
        </is>
      </c>
      <c r="AX23" t="inlineStr">
        <is>
          <t>991004243909702656</t>
        </is>
      </c>
      <c r="AY23" t="inlineStr">
        <is>
          <t>2259360660002656</t>
        </is>
      </c>
      <c r="AZ23" t="inlineStr">
        <is>
          <t>BOOK</t>
        </is>
      </c>
      <c r="BB23" t="inlineStr">
        <is>
          <t>9781859182475</t>
        </is>
      </c>
      <c r="BC23" t="inlineStr">
        <is>
          <t>32285004905609</t>
        </is>
      </c>
      <c r="BD23" t="inlineStr">
        <is>
          <t>893325117</t>
        </is>
      </c>
    </row>
    <row r="24">
      <c r="A24" t="inlineStr">
        <is>
          <t>No</t>
        </is>
      </c>
      <c r="B24" t="inlineStr">
        <is>
          <t>PB1399.H9 A24 1991</t>
        </is>
      </c>
      <c r="C24" t="inlineStr">
        <is>
          <t>0                      PB 1399000H  9                  A  24          1991</t>
        </is>
      </c>
      <c r="D24" t="inlineStr">
        <is>
          <t>Selected plays of Douglas Hyde : "An Craoibhin Aoibhinn" / chosen and with an introduction by Gareth W. Dunleavy and Janet Egleson Dunleavy ; with translations by Lady Gregory.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Hyde, Douglas, 1860-1949.</t>
        </is>
      </c>
      <c r="L24" t="inlineStr">
        <is>
          <t>Gerrards Cross, Bucks : Colin Smythe ; Washington, D.C. : Catholic University of America Press, 1991.</t>
        </is>
      </c>
      <c r="M24" t="inlineStr">
        <is>
          <t>1991</t>
        </is>
      </c>
      <c r="O24" t="inlineStr">
        <is>
          <t>eng</t>
        </is>
      </c>
      <c r="P24" t="inlineStr">
        <is>
          <t>enk</t>
        </is>
      </c>
      <c r="Q24" t="inlineStr">
        <is>
          <t>Irish drama selections, 0260-7962 ; 7</t>
        </is>
      </c>
      <c r="R24" t="inlineStr">
        <is>
          <t xml:space="preserve">PB </t>
        </is>
      </c>
      <c r="S24" t="n">
        <v>5</v>
      </c>
      <c r="T24" t="n">
        <v>5</v>
      </c>
      <c r="U24" t="inlineStr">
        <is>
          <t>2009-02-23</t>
        </is>
      </c>
      <c r="V24" t="inlineStr">
        <is>
          <t>2009-02-23</t>
        </is>
      </c>
      <c r="W24" t="inlineStr">
        <is>
          <t>1992-11-12</t>
        </is>
      </c>
      <c r="X24" t="inlineStr">
        <is>
          <t>1992-11-12</t>
        </is>
      </c>
      <c r="Y24" t="n">
        <v>187</v>
      </c>
      <c r="Z24" t="n">
        <v>147</v>
      </c>
      <c r="AA24" t="n">
        <v>151</v>
      </c>
      <c r="AB24" t="n">
        <v>1</v>
      </c>
      <c r="AC24" t="n">
        <v>1</v>
      </c>
      <c r="AD24" t="n">
        <v>11</v>
      </c>
      <c r="AE24" t="n">
        <v>11</v>
      </c>
      <c r="AF24" t="n">
        <v>1</v>
      </c>
      <c r="AG24" t="n">
        <v>1</v>
      </c>
      <c r="AH24" t="n">
        <v>5</v>
      </c>
      <c r="AI24" t="n">
        <v>5</v>
      </c>
      <c r="AJ24" t="n">
        <v>8</v>
      </c>
      <c r="AK24" t="n">
        <v>8</v>
      </c>
      <c r="AL24" t="n">
        <v>0</v>
      </c>
      <c r="AM24" t="n">
        <v>0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HYPERLINK("http://catalog.hathitrust.org/Record/002587655","HathiTrust Record")</f>
        <v/>
      </c>
      <c r="AS24">
        <f>HYPERLINK("https://creighton-primo.hosted.exlibrisgroup.com/primo-explore/search?tab=default_tab&amp;search_scope=EVERYTHING&amp;vid=01CRU&amp;lang=en_US&amp;offset=0&amp;query=any,contains,991001330799702656","Catalog Record")</f>
        <v/>
      </c>
      <c r="AT24">
        <f>HYPERLINK("http://www.worldcat.org/oclc/18323109","WorldCat Record")</f>
        <v/>
      </c>
      <c r="AU24" t="inlineStr">
        <is>
          <t>2564800493:eng</t>
        </is>
      </c>
      <c r="AV24" t="inlineStr">
        <is>
          <t>18323109</t>
        </is>
      </c>
      <c r="AW24" t="inlineStr">
        <is>
          <t>991001330799702656</t>
        </is>
      </c>
      <c r="AX24" t="inlineStr">
        <is>
          <t>991001330799702656</t>
        </is>
      </c>
      <c r="AY24" t="inlineStr">
        <is>
          <t>2258097280002656</t>
        </is>
      </c>
      <c r="AZ24" t="inlineStr">
        <is>
          <t>BOOK</t>
        </is>
      </c>
      <c r="BB24" t="inlineStr">
        <is>
          <t>9780813206837</t>
        </is>
      </c>
      <c r="BC24" t="inlineStr">
        <is>
          <t>32285001362374</t>
        </is>
      </c>
      <c r="BD24" t="inlineStr">
        <is>
          <t>893772515</t>
        </is>
      </c>
    </row>
    <row r="25">
      <c r="A25" t="inlineStr">
        <is>
          <t>No</t>
        </is>
      </c>
      <c r="B25" t="inlineStr">
        <is>
          <t>PB1399.N473 A24 2000</t>
        </is>
      </c>
      <c r="C25" t="inlineStr">
        <is>
          <t>0                      PB 1399000N  473                A  24          2000</t>
        </is>
      </c>
      <c r="D25" t="inlineStr">
        <is>
          <t>Selected poems = Rogha dánta / Nuala Ní Dhomhnaill ; translated by Michael Hartnett.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Ní Dhomhnaill, Nuala, 1952-</t>
        </is>
      </c>
      <c r="L25" t="inlineStr">
        <is>
          <t>Dublin : New Island Books, 2000.</t>
        </is>
      </c>
      <c r="M25" t="inlineStr">
        <is>
          <t>2000</t>
        </is>
      </c>
      <c r="O25" t="inlineStr">
        <is>
          <t>eng</t>
        </is>
      </c>
      <c r="P25" t="inlineStr">
        <is>
          <t xml:space="preserve">ie </t>
        </is>
      </c>
      <c r="R25" t="inlineStr">
        <is>
          <t xml:space="preserve">PB </t>
        </is>
      </c>
      <c r="S25" t="n">
        <v>1</v>
      </c>
      <c r="T25" t="n">
        <v>1</v>
      </c>
      <c r="U25" t="inlineStr">
        <is>
          <t>2007-03-28</t>
        </is>
      </c>
      <c r="V25" t="inlineStr">
        <is>
          <t>2007-03-28</t>
        </is>
      </c>
      <c r="W25" t="inlineStr">
        <is>
          <t>2007-03-28</t>
        </is>
      </c>
      <c r="X25" t="inlineStr">
        <is>
          <t>2007-03-28</t>
        </is>
      </c>
      <c r="Y25" t="n">
        <v>40</v>
      </c>
      <c r="Z25" t="n">
        <v>22</v>
      </c>
      <c r="AA25" t="n">
        <v>130</v>
      </c>
      <c r="AB25" t="n">
        <v>1</v>
      </c>
      <c r="AC25" t="n">
        <v>1</v>
      </c>
      <c r="AD25" t="n">
        <v>2</v>
      </c>
      <c r="AE25" t="n">
        <v>8</v>
      </c>
      <c r="AF25" t="n">
        <v>1</v>
      </c>
      <c r="AG25" t="n">
        <v>3</v>
      </c>
      <c r="AH25" t="n">
        <v>0</v>
      </c>
      <c r="AI25" t="n">
        <v>3</v>
      </c>
      <c r="AJ25" t="n">
        <v>1</v>
      </c>
      <c r="AK25" t="n">
        <v>4</v>
      </c>
      <c r="AL25" t="n">
        <v>0</v>
      </c>
      <c r="AM25" t="n">
        <v>0</v>
      </c>
      <c r="AN25" t="n">
        <v>0</v>
      </c>
      <c r="AO25" t="n">
        <v>0</v>
      </c>
      <c r="AP25" t="inlineStr">
        <is>
          <t>No</t>
        </is>
      </c>
      <c r="AQ25" t="inlineStr">
        <is>
          <t>No</t>
        </is>
      </c>
      <c r="AS25">
        <f>HYPERLINK("https://creighton-primo.hosted.exlibrisgroup.com/primo-explore/search?tab=default_tab&amp;search_scope=EVERYTHING&amp;vid=01CRU&amp;lang=en_US&amp;offset=0&amp;query=any,contains,991005052639702656","Catalog Record")</f>
        <v/>
      </c>
      <c r="AT25">
        <f>HYPERLINK("http://www.worldcat.org/oclc/45328405","WorldCat Record")</f>
        <v/>
      </c>
      <c r="AU25" t="inlineStr">
        <is>
          <t>1059140894:eng</t>
        </is>
      </c>
      <c r="AV25" t="inlineStr">
        <is>
          <t>45328405</t>
        </is>
      </c>
      <c r="AW25" t="inlineStr">
        <is>
          <t>991005052639702656</t>
        </is>
      </c>
      <c r="AX25" t="inlineStr">
        <is>
          <t>991005052639702656</t>
        </is>
      </c>
      <c r="AY25" t="inlineStr">
        <is>
          <t>2255305040002656</t>
        </is>
      </c>
      <c r="AZ25" t="inlineStr">
        <is>
          <t>BOOK</t>
        </is>
      </c>
      <c r="BB25" t="inlineStr">
        <is>
          <t>9781851860272</t>
        </is>
      </c>
      <c r="BC25" t="inlineStr">
        <is>
          <t>32285005284194</t>
        </is>
      </c>
      <c r="BD25" t="inlineStr">
        <is>
          <t>893789363</t>
        </is>
      </c>
    </row>
    <row r="26">
      <c r="A26" t="inlineStr">
        <is>
          <t>No</t>
        </is>
      </c>
      <c r="B26" t="inlineStr">
        <is>
          <t>PB1399.N473 A88 1992</t>
        </is>
      </c>
      <c r="C26" t="inlineStr">
        <is>
          <t>0                      PB 1399000N  473                A  88          1992</t>
        </is>
      </c>
      <c r="D26" t="inlineStr">
        <is>
          <t>The Astrakhan cloak / Nuala Ní Dhomhnaill ; [translated by] Paul Muldoon.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Ní Dhomhnaill, Nuala, 1952-</t>
        </is>
      </c>
      <c r="L26" t="inlineStr">
        <is>
          <t>Loughcrew, Oldcastle, County Meath, Ireland : Gallery Press, 1992.</t>
        </is>
      </c>
      <c r="M26" t="inlineStr">
        <is>
          <t>1992</t>
        </is>
      </c>
      <c r="O26" t="inlineStr">
        <is>
          <t>eng</t>
        </is>
      </c>
      <c r="P26" t="inlineStr">
        <is>
          <t xml:space="preserve">ie </t>
        </is>
      </c>
      <c r="Q26" t="inlineStr">
        <is>
          <t>Gallery books</t>
        </is>
      </c>
      <c r="R26" t="inlineStr">
        <is>
          <t xml:space="preserve">PB </t>
        </is>
      </c>
      <c r="S26" t="n">
        <v>10</v>
      </c>
      <c r="T26" t="n">
        <v>10</v>
      </c>
      <c r="U26" t="inlineStr">
        <is>
          <t>2000-02-03</t>
        </is>
      </c>
      <c r="V26" t="inlineStr">
        <is>
          <t>2000-02-03</t>
        </is>
      </c>
      <c r="W26" t="inlineStr">
        <is>
          <t>1993-11-22</t>
        </is>
      </c>
      <c r="X26" t="inlineStr">
        <is>
          <t>1993-11-22</t>
        </is>
      </c>
      <c r="Y26" t="n">
        <v>125</v>
      </c>
      <c r="Z26" t="n">
        <v>63</v>
      </c>
      <c r="AA26" t="n">
        <v>215</v>
      </c>
      <c r="AB26" t="n">
        <v>1</v>
      </c>
      <c r="AC26" t="n">
        <v>2</v>
      </c>
      <c r="AD26" t="n">
        <v>6</v>
      </c>
      <c r="AE26" t="n">
        <v>14</v>
      </c>
      <c r="AF26" t="n">
        <v>1</v>
      </c>
      <c r="AG26" t="n">
        <v>5</v>
      </c>
      <c r="AH26" t="n">
        <v>4</v>
      </c>
      <c r="AI26" t="n">
        <v>6</v>
      </c>
      <c r="AJ26" t="n">
        <v>4</v>
      </c>
      <c r="AK26" t="n">
        <v>10</v>
      </c>
      <c r="AL26" t="n">
        <v>0</v>
      </c>
      <c r="AM26" t="n">
        <v>0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HYPERLINK("http://catalog.hathitrust.org/Record/002615917","HathiTrust Record")</f>
        <v/>
      </c>
      <c r="AS26">
        <f>HYPERLINK("https://creighton-primo.hosted.exlibrisgroup.com/primo-explore/search?tab=default_tab&amp;search_scope=EVERYTHING&amp;vid=01CRU&amp;lang=en_US&amp;offset=0&amp;query=any,contains,991002208549702656","Catalog Record")</f>
        <v/>
      </c>
      <c r="AT26">
        <f>HYPERLINK("http://www.worldcat.org/oclc/28413694","WorldCat Record")</f>
        <v/>
      </c>
      <c r="AU26" t="inlineStr">
        <is>
          <t>381315:eng</t>
        </is>
      </c>
      <c r="AV26" t="inlineStr">
        <is>
          <t>28413694</t>
        </is>
      </c>
      <c r="AW26" t="inlineStr">
        <is>
          <t>991002208549702656</t>
        </is>
      </c>
      <c r="AX26" t="inlineStr">
        <is>
          <t>991002208549702656</t>
        </is>
      </c>
      <c r="AY26" t="inlineStr">
        <is>
          <t>2264420630002656</t>
        </is>
      </c>
      <c r="AZ26" t="inlineStr">
        <is>
          <t>BOOK</t>
        </is>
      </c>
      <c r="BB26" t="inlineStr">
        <is>
          <t>9781852351045</t>
        </is>
      </c>
      <c r="BC26" t="inlineStr">
        <is>
          <t>32285001812204</t>
        </is>
      </c>
      <c r="BD26" t="inlineStr">
        <is>
          <t>893804349</t>
        </is>
      </c>
    </row>
    <row r="27">
      <c r="A27" t="inlineStr">
        <is>
          <t>No</t>
        </is>
      </c>
      <c r="B27" t="inlineStr">
        <is>
          <t>PB1399.N54 U58 1996</t>
        </is>
      </c>
      <c r="C27" t="inlineStr">
        <is>
          <t>0                      PB 1399000N  54                 U  58          1996</t>
        </is>
      </c>
      <c r="D27" t="inlineStr">
        <is>
          <t>Unshed tears = Deora nár caoineadh / Áine Ní Ghlinn ; translated by Pádraig Ó Snodaigh.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Nı́ Ghlinn, Áine.</t>
        </is>
      </c>
      <c r="L27" t="inlineStr">
        <is>
          <t>Dublin : Dedalus, 1996.</t>
        </is>
      </c>
      <c r="M27" t="inlineStr">
        <is>
          <t>1996</t>
        </is>
      </c>
      <c r="O27" t="inlineStr">
        <is>
          <t>eng</t>
        </is>
      </c>
      <c r="P27" t="inlineStr">
        <is>
          <t xml:space="preserve">ie </t>
        </is>
      </c>
      <c r="R27" t="inlineStr">
        <is>
          <t xml:space="preserve">PB </t>
        </is>
      </c>
      <c r="S27" t="n">
        <v>4</v>
      </c>
      <c r="T27" t="n">
        <v>4</v>
      </c>
      <c r="U27" t="inlineStr">
        <is>
          <t>2009-09-15</t>
        </is>
      </c>
      <c r="V27" t="inlineStr">
        <is>
          <t>2009-09-15</t>
        </is>
      </c>
      <c r="W27" t="inlineStr">
        <is>
          <t>1997-02-26</t>
        </is>
      </c>
      <c r="X27" t="inlineStr">
        <is>
          <t>1997-02-26</t>
        </is>
      </c>
      <c r="Y27" t="n">
        <v>87</v>
      </c>
      <c r="Z27" t="n">
        <v>67</v>
      </c>
      <c r="AA27" t="n">
        <v>68</v>
      </c>
      <c r="AB27" t="n">
        <v>1</v>
      </c>
      <c r="AC27" t="n">
        <v>1</v>
      </c>
      <c r="AD27" t="n">
        <v>4</v>
      </c>
      <c r="AE27" t="n">
        <v>4</v>
      </c>
      <c r="AF27" t="n">
        <v>0</v>
      </c>
      <c r="AG27" t="n">
        <v>0</v>
      </c>
      <c r="AH27" t="n">
        <v>3</v>
      </c>
      <c r="AI27" t="n">
        <v>3</v>
      </c>
      <c r="AJ27" t="n">
        <v>3</v>
      </c>
      <c r="AK27" t="n">
        <v>3</v>
      </c>
      <c r="AL27" t="n">
        <v>0</v>
      </c>
      <c r="AM27" t="n">
        <v>0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HYPERLINK("http://catalog.hathitrust.org/Record/003154576","HathiTrust Record")</f>
        <v/>
      </c>
      <c r="AS27">
        <f>HYPERLINK("https://creighton-primo.hosted.exlibrisgroup.com/primo-explore/search?tab=default_tab&amp;search_scope=EVERYTHING&amp;vid=01CRU&amp;lang=en_US&amp;offset=0&amp;query=any,contains,991002768859702656","Catalog Record")</f>
        <v/>
      </c>
      <c r="AT27">
        <f>HYPERLINK("http://www.worldcat.org/oclc/36908945","WorldCat Record")</f>
        <v/>
      </c>
      <c r="AU27" t="inlineStr">
        <is>
          <t>645292:eng</t>
        </is>
      </c>
      <c r="AV27" t="inlineStr">
        <is>
          <t>36908945</t>
        </is>
      </c>
      <c r="AW27" t="inlineStr">
        <is>
          <t>991002768859702656</t>
        </is>
      </c>
      <c r="AX27" t="inlineStr">
        <is>
          <t>991002768859702656</t>
        </is>
      </c>
      <c r="AY27" t="inlineStr">
        <is>
          <t>2257825960002656</t>
        </is>
      </c>
      <c r="AZ27" t="inlineStr">
        <is>
          <t>BOOK</t>
        </is>
      </c>
      <c r="BB27" t="inlineStr">
        <is>
          <t>9781873790670</t>
        </is>
      </c>
      <c r="BC27" t="inlineStr">
        <is>
          <t>32285002433620</t>
        </is>
      </c>
      <c r="BD27" t="inlineStr">
        <is>
          <t>893440494</t>
        </is>
      </c>
    </row>
    <row r="28">
      <c r="A28" t="inlineStr">
        <is>
          <t>No</t>
        </is>
      </c>
      <c r="B28" t="inlineStr">
        <is>
          <t>PB1399.O59 B43 1996</t>
        </is>
      </c>
      <c r="C28" t="inlineStr">
        <is>
          <t>0                      PB 1399000O  59                 B  43          1996</t>
        </is>
      </c>
      <c r="D28" t="inlineStr">
        <is>
          <t>The poor mouth : a bad story about the hard life / by Flann O'Brien ; translated by Patrick C. Power ; illustrated by Ralph Steadman.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O'Brien, Flann, 1911-1966.</t>
        </is>
      </c>
      <c r="L28" t="inlineStr">
        <is>
          <t>Normal, Ill. : Dalkey Archive Press, 1996.</t>
        </is>
      </c>
      <c r="M28" t="inlineStr">
        <is>
          <t>1996</t>
        </is>
      </c>
      <c r="N28" t="inlineStr">
        <is>
          <t>1st Dalkey Archive ed.</t>
        </is>
      </c>
      <c r="O28" t="inlineStr">
        <is>
          <t>eng</t>
        </is>
      </c>
      <c r="P28" t="inlineStr">
        <is>
          <t>ilu</t>
        </is>
      </c>
      <c r="R28" t="inlineStr">
        <is>
          <t xml:space="preserve">PB </t>
        </is>
      </c>
      <c r="S28" t="n">
        <v>4</v>
      </c>
      <c r="T28" t="n">
        <v>4</v>
      </c>
      <c r="U28" t="inlineStr">
        <is>
          <t>2005-10-25</t>
        </is>
      </c>
      <c r="V28" t="inlineStr">
        <is>
          <t>2005-10-25</t>
        </is>
      </c>
      <c r="W28" t="inlineStr">
        <is>
          <t>2005-04-05</t>
        </is>
      </c>
      <c r="X28" t="inlineStr">
        <is>
          <t>2005-04-05</t>
        </is>
      </c>
      <c r="Y28" t="n">
        <v>267</v>
      </c>
      <c r="Z28" t="n">
        <v>238</v>
      </c>
      <c r="AA28" t="n">
        <v>628</v>
      </c>
      <c r="AB28" t="n">
        <v>3</v>
      </c>
      <c r="AC28" t="n">
        <v>3</v>
      </c>
      <c r="AD28" t="n">
        <v>10</v>
      </c>
      <c r="AE28" t="n">
        <v>25</v>
      </c>
      <c r="AF28" t="n">
        <v>5</v>
      </c>
      <c r="AG28" t="n">
        <v>11</v>
      </c>
      <c r="AH28" t="n">
        <v>3</v>
      </c>
      <c r="AI28" t="n">
        <v>6</v>
      </c>
      <c r="AJ28" t="n">
        <v>3</v>
      </c>
      <c r="AK28" t="n">
        <v>13</v>
      </c>
      <c r="AL28" t="n">
        <v>1</v>
      </c>
      <c r="AM28" t="n">
        <v>1</v>
      </c>
      <c r="AN28" t="n">
        <v>0</v>
      </c>
      <c r="AO28" t="n">
        <v>0</v>
      </c>
      <c r="AP28" t="inlineStr">
        <is>
          <t>No</t>
        </is>
      </c>
      <c r="AQ28" t="inlineStr">
        <is>
          <t>Yes</t>
        </is>
      </c>
      <c r="AR28">
        <f>HYPERLINK("http://catalog.hathitrust.org/Record/007131988","HathiTrust Record")</f>
        <v/>
      </c>
      <c r="AS28">
        <f>HYPERLINK("https://creighton-primo.hosted.exlibrisgroup.com/primo-explore/search?tab=default_tab&amp;search_scope=EVERYTHING&amp;vid=01CRU&amp;lang=en_US&amp;offset=0&amp;query=any,contains,991004505559702656","Catalog Record")</f>
        <v/>
      </c>
      <c r="AT28">
        <f>HYPERLINK("http://www.worldcat.org/oclc/33863614","WorldCat Record")</f>
        <v/>
      </c>
      <c r="AU28" t="inlineStr">
        <is>
          <t>4926804136:eng</t>
        </is>
      </c>
      <c r="AV28" t="inlineStr">
        <is>
          <t>33863614</t>
        </is>
      </c>
      <c r="AW28" t="inlineStr">
        <is>
          <t>991004505559702656</t>
        </is>
      </c>
      <c r="AX28" t="inlineStr">
        <is>
          <t>991004505559702656</t>
        </is>
      </c>
      <c r="AY28" t="inlineStr">
        <is>
          <t>2262746340002656</t>
        </is>
      </c>
      <c r="AZ28" t="inlineStr">
        <is>
          <t>BOOK</t>
        </is>
      </c>
      <c r="BB28" t="inlineStr">
        <is>
          <t>9781564780911</t>
        </is>
      </c>
      <c r="BC28" t="inlineStr">
        <is>
          <t>32285005047856</t>
        </is>
      </c>
      <c r="BD28" t="inlineStr">
        <is>
          <t>893788772</t>
        </is>
      </c>
    </row>
    <row r="29">
      <c r="A29" t="inlineStr">
        <is>
          <t>No</t>
        </is>
      </c>
      <c r="B29" t="inlineStr">
        <is>
          <t>PB1421 .G68</t>
        </is>
      </c>
      <c r="C29" t="inlineStr">
        <is>
          <t>0                      PB 1421000G  68</t>
        </is>
      </c>
      <c r="D29" t="inlineStr">
        <is>
          <t>An anthology of Irish literature.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Greene, David H. (David Herbert), 1913-2008, editor.</t>
        </is>
      </c>
      <c r="L29" t="inlineStr">
        <is>
          <t>New York : Modern Library, [1954]</t>
        </is>
      </c>
      <c r="M29" t="inlineStr">
        <is>
          <t>1954</t>
        </is>
      </c>
      <c r="O29" t="inlineStr">
        <is>
          <t>eng</t>
        </is>
      </c>
      <c r="P29" t="inlineStr">
        <is>
          <t>nyu</t>
        </is>
      </c>
      <c r="Q29" t="inlineStr">
        <is>
          <t>The Modern library of the world's best books [288]</t>
        </is>
      </c>
      <c r="R29" t="inlineStr">
        <is>
          <t xml:space="preserve">PB </t>
        </is>
      </c>
      <c r="S29" t="n">
        <v>6</v>
      </c>
      <c r="T29" t="n">
        <v>6</v>
      </c>
      <c r="U29" t="inlineStr">
        <is>
          <t>2007-10-01</t>
        </is>
      </c>
      <c r="V29" t="inlineStr">
        <is>
          <t>2007-10-01</t>
        </is>
      </c>
      <c r="W29" t="inlineStr">
        <is>
          <t>1991-09-24</t>
        </is>
      </c>
      <c r="X29" t="inlineStr">
        <is>
          <t>1991-09-24</t>
        </is>
      </c>
      <c r="Y29" t="n">
        <v>1155</v>
      </c>
      <c r="Z29" t="n">
        <v>1097</v>
      </c>
      <c r="AA29" t="n">
        <v>1596</v>
      </c>
      <c r="AB29" t="n">
        <v>12</v>
      </c>
      <c r="AC29" t="n">
        <v>15</v>
      </c>
      <c r="AD29" t="n">
        <v>35</v>
      </c>
      <c r="AE29" t="n">
        <v>51</v>
      </c>
      <c r="AF29" t="n">
        <v>9</v>
      </c>
      <c r="AG29" t="n">
        <v>19</v>
      </c>
      <c r="AH29" t="n">
        <v>6</v>
      </c>
      <c r="AI29" t="n">
        <v>10</v>
      </c>
      <c r="AJ29" t="n">
        <v>16</v>
      </c>
      <c r="AK29" t="n">
        <v>20</v>
      </c>
      <c r="AL29" t="n">
        <v>9</v>
      </c>
      <c r="AM29" t="n">
        <v>12</v>
      </c>
      <c r="AN29" t="n">
        <v>0</v>
      </c>
      <c r="AO29" t="n">
        <v>0</v>
      </c>
      <c r="AP29" t="inlineStr">
        <is>
          <t>No</t>
        </is>
      </c>
      <c r="AQ29" t="inlineStr">
        <is>
          <t>Yes</t>
        </is>
      </c>
      <c r="AR29">
        <f>HYPERLINK("http://catalog.hathitrust.org/Record/001182427","HathiTrust Record")</f>
        <v/>
      </c>
      <c r="AS29">
        <f>HYPERLINK("https://creighton-primo.hosted.exlibrisgroup.com/primo-explore/search?tab=default_tab&amp;search_scope=EVERYTHING&amp;vid=01CRU&amp;lang=en_US&amp;offset=0&amp;query=any,contains,991003844889702656","Catalog Record")</f>
        <v/>
      </c>
      <c r="AT29">
        <f>HYPERLINK("http://www.worldcat.org/oclc/1627217","WorldCat Record")</f>
        <v/>
      </c>
      <c r="AU29" t="inlineStr">
        <is>
          <t>509837052:eng</t>
        </is>
      </c>
      <c r="AV29" t="inlineStr">
        <is>
          <t>1627217</t>
        </is>
      </c>
      <c r="AW29" t="inlineStr">
        <is>
          <t>991003844889702656</t>
        </is>
      </c>
      <c r="AX29" t="inlineStr">
        <is>
          <t>991003844889702656</t>
        </is>
      </c>
      <c r="AY29" t="inlineStr">
        <is>
          <t>2268537350002656</t>
        </is>
      </c>
      <c r="AZ29" t="inlineStr">
        <is>
          <t>BOOK</t>
        </is>
      </c>
      <c r="BC29" t="inlineStr">
        <is>
          <t>32285000760636</t>
        </is>
      </c>
      <c r="BD29" t="inlineStr">
        <is>
          <t>893894227</t>
        </is>
      </c>
    </row>
    <row r="30">
      <c r="A30" t="inlineStr">
        <is>
          <t>No</t>
        </is>
      </c>
      <c r="B30" t="inlineStr">
        <is>
          <t>PB1421 .G7 1970b</t>
        </is>
      </c>
      <c r="C30" t="inlineStr">
        <is>
          <t>0                      PB 1421000G  7           1970b</t>
        </is>
      </c>
      <c r="D30" t="inlineStr">
        <is>
          <t>Gods and fighting men : the story of the Tuatha de Danaan and of the Fianna of Ireland / arranged and put into English, by Lady Gregory. With a pref. by W. B. Yeats and a foreword by Daniel Murphy.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Gregory, Lady, 1852-1932.</t>
        </is>
      </c>
      <c r="L30" t="inlineStr">
        <is>
          <t>Gerrards Cross, [Eng.] : Colin Smythe, [1970]</t>
        </is>
      </c>
      <c r="M30" t="inlineStr">
        <is>
          <t>1970</t>
        </is>
      </c>
      <c r="N30" t="inlineStr">
        <is>
          <t>[2d ed.]</t>
        </is>
      </c>
      <c r="O30" t="inlineStr">
        <is>
          <t>eng</t>
        </is>
      </c>
      <c r="P30" t="inlineStr">
        <is>
          <t xml:space="preserve">xx </t>
        </is>
      </c>
      <c r="Q30" t="inlineStr">
        <is>
          <t>Coole edition, v. 3</t>
        </is>
      </c>
      <c r="R30" t="inlineStr">
        <is>
          <t xml:space="preserve">PB </t>
        </is>
      </c>
      <c r="S30" t="n">
        <v>7</v>
      </c>
      <c r="T30" t="n">
        <v>7</v>
      </c>
      <c r="U30" t="inlineStr">
        <is>
          <t>1996-10-31</t>
        </is>
      </c>
      <c r="V30" t="inlineStr">
        <is>
          <t>1996-10-31</t>
        </is>
      </c>
      <c r="W30" t="inlineStr">
        <is>
          <t>1993-09-09</t>
        </is>
      </c>
      <c r="X30" t="inlineStr">
        <is>
          <t>1993-09-09</t>
        </is>
      </c>
      <c r="Y30" t="n">
        <v>153</v>
      </c>
      <c r="Z30" t="n">
        <v>73</v>
      </c>
      <c r="AA30" t="n">
        <v>724</v>
      </c>
      <c r="AB30" t="n">
        <v>2</v>
      </c>
      <c r="AC30" t="n">
        <v>6</v>
      </c>
      <c r="AD30" t="n">
        <v>8</v>
      </c>
      <c r="AE30" t="n">
        <v>33</v>
      </c>
      <c r="AF30" t="n">
        <v>0</v>
      </c>
      <c r="AG30" t="n">
        <v>11</v>
      </c>
      <c r="AH30" t="n">
        <v>4</v>
      </c>
      <c r="AI30" t="n">
        <v>8</v>
      </c>
      <c r="AJ30" t="n">
        <v>5</v>
      </c>
      <c r="AK30" t="n">
        <v>17</v>
      </c>
      <c r="AL30" t="n">
        <v>1</v>
      </c>
      <c r="AM30" t="n">
        <v>5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HYPERLINK("https://creighton-primo.hosted.exlibrisgroup.com/primo-explore/search?tab=default_tab&amp;search_scope=EVERYTHING&amp;vid=01CRU&amp;lang=en_US&amp;offset=0&amp;query=any,contains,991002871209702656","Catalog Record")</f>
        <v/>
      </c>
      <c r="AT30">
        <f>HYPERLINK("http://www.worldcat.org/oclc/499312","WorldCat Record")</f>
        <v/>
      </c>
      <c r="AU30" t="inlineStr">
        <is>
          <t>380462:eng</t>
        </is>
      </c>
      <c r="AV30" t="inlineStr">
        <is>
          <t>499312</t>
        </is>
      </c>
      <c r="AW30" t="inlineStr">
        <is>
          <t>991002871209702656</t>
        </is>
      </c>
      <c r="AX30" t="inlineStr">
        <is>
          <t>991002871209702656</t>
        </is>
      </c>
      <c r="AY30" t="inlineStr">
        <is>
          <t>2271157350002656</t>
        </is>
      </c>
      <c r="AZ30" t="inlineStr">
        <is>
          <t>BOOK</t>
        </is>
      </c>
      <c r="BC30" t="inlineStr">
        <is>
          <t>32285001764298</t>
        </is>
      </c>
      <c r="BD30" t="inlineStr">
        <is>
          <t>893616686</t>
        </is>
      </c>
    </row>
    <row r="31">
      <c r="A31" t="inlineStr">
        <is>
          <t>No</t>
        </is>
      </c>
      <c r="B31" t="inlineStr">
        <is>
          <t>PB1421 .I76 1987</t>
        </is>
      </c>
      <c r="C31" t="inlineStr">
        <is>
          <t>0                      PB 1421000I  76          1987</t>
        </is>
      </c>
      <c r="D31" t="inlineStr">
        <is>
          <t>Irish literature : a reader / [compiled by] Maureen O'Rourke Murphy and James Mackillop.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L31" t="inlineStr">
        <is>
          <t>Syracuse, N.Y. : Syracuse University Press, 1987.</t>
        </is>
      </c>
      <c r="M31" t="inlineStr">
        <is>
          <t>1987</t>
        </is>
      </c>
      <c r="N31" t="inlineStr">
        <is>
          <t>1st ed.</t>
        </is>
      </c>
      <c r="O31" t="inlineStr">
        <is>
          <t>eng</t>
        </is>
      </c>
      <c r="P31" t="inlineStr">
        <is>
          <t>nyu</t>
        </is>
      </c>
      <c r="Q31" t="inlineStr">
        <is>
          <t>Irish studies</t>
        </is>
      </c>
      <c r="R31" t="inlineStr">
        <is>
          <t xml:space="preserve">PB </t>
        </is>
      </c>
      <c r="S31" t="n">
        <v>20</v>
      </c>
      <c r="T31" t="n">
        <v>20</v>
      </c>
      <c r="U31" t="inlineStr">
        <is>
          <t>2005-09-30</t>
        </is>
      </c>
      <c r="V31" t="inlineStr">
        <is>
          <t>2005-09-30</t>
        </is>
      </c>
      <c r="W31" t="inlineStr">
        <is>
          <t>1991-12-09</t>
        </is>
      </c>
      <c r="X31" t="inlineStr">
        <is>
          <t>1991-12-09</t>
        </is>
      </c>
      <c r="Y31" t="n">
        <v>408</v>
      </c>
      <c r="Z31" t="n">
        <v>353</v>
      </c>
      <c r="AA31" t="n">
        <v>354</v>
      </c>
      <c r="AB31" t="n">
        <v>4</v>
      </c>
      <c r="AC31" t="n">
        <v>4</v>
      </c>
      <c r="AD31" t="n">
        <v>18</v>
      </c>
      <c r="AE31" t="n">
        <v>18</v>
      </c>
      <c r="AF31" t="n">
        <v>6</v>
      </c>
      <c r="AG31" t="n">
        <v>6</v>
      </c>
      <c r="AH31" t="n">
        <v>6</v>
      </c>
      <c r="AI31" t="n">
        <v>6</v>
      </c>
      <c r="AJ31" t="n">
        <v>8</v>
      </c>
      <c r="AK31" t="n">
        <v>8</v>
      </c>
      <c r="AL31" t="n">
        <v>3</v>
      </c>
      <c r="AM31" t="n">
        <v>3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HYPERLINK("http://catalog.hathitrust.org/Record/007105440","HathiTrust Record")</f>
        <v/>
      </c>
      <c r="AS31">
        <f>HYPERLINK("https://creighton-primo.hosted.exlibrisgroup.com/primo-explore/search?tab=default_tab&amp;search_scope=EVERYTHING&amp;vid=01CRU&amp;lang=en_US&amp;offset=0&amp;query=any,contains,991001023709702656","Catalog Record")</f>
        <v/>
      </c>
      <c r="AT31">
        <f>HYPERLINK("http://www.worldcat.org/oclc/15427196","WorldCat Record")</f>
        <v/>
      </c>
      <c r="AU31" t="inlineStr">
        <is>
          <t>2260850722:eng</t>
        </is>
      </c>
      <c r="AV31" t="inlineStr">
        <is>
          <t>15427196</t>
        </is>
      </c>
      <c r="AW31" t="inlineStr">
        <is>
          <t>991001023709702656</t>
        </is>
      </c>
      <c r="AX31" t="inlineStr">
        <is>
          <t>991001023709702656</t>
        </is>
      </c>
      <c r="AY31" t="inlineStr">
        <is>
          <t>2262467680002656</t>
        </is>
      </c>
      <c r="AZ31" t="inlineStr">
        <is>
          <t>BOOK</t>
        </is>
      </c>
      <c r="BB31" t="inlineStr">
        <is>
          <t>9780815624059</t>
        </is>
      </c>
      <c r="BC31" t="inlineStr">
        <is>
          <t>32285005174304</t>
        </is>
      </c>
      <c r="BD31" t="inlineStr">
        <is>
          <t>893608477</t>
        </is>
      </c>
    </row>
    <row r="32">
      <c r="A32" t="inlineStr">
        <is>
          <t>No</t>
        </is>
      </c>
      <c r="B32" t="inlineStr">
        <is>
          <t>PB1421 .V65 2002</t>
        </is>
      </c>
      <c r="C32" t="inlineStr">
        <is>
          <t>0                      PB 1421000V  65          2002</t>
        </is>
      </c>
      <c r="D32" t="inlineStr">
        <is>
          <t>Voices of Ireland : classic writings of a rich and rare land / [compiled by] Malachy McCourt.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L32" t="inlineStr">
        <is>
          <t>Philadelphia : Running Press, c2002.</t>
        </is>
      </c>
      <c r="M32" t="inlineStr">
        <is>
          <t>2002</t>
        </is>
      </c>
      <c r="O32" t="inlineStr">
        <is>
          <t>eng</t>
        </is>
      </c>
      <c r="P32" t="inlineStr">
        <is>
          <t>pau</t>
        </is>
      </c>
      <c r="R32" t="inlineStr">
        <is>
          <t xml:space="preserve">PB </t>
        </is>
      </c>
      <c r="S32" t="n">
        <v>10</v>
      </c>
      <c r="T32" t="n">
        <v>10</v>
      </c>
      <c r="U32" t="inlineStr">
        <is>
          <t>2008-01-23</t>
        </is>
      </c>
      <c r="V32" t="inlineStr">
        <is>
          <t>2008-01-23</t>
        </is>
      </c>
      <c r="W32" t="inlineStr">
        <is>
          <t>2002-12-12</t>
        </is>
      </c>
      <c r="X32" t="inlineStr">
        <is>
          <t>2002-12-12</t>
        </is>
      </c>
      <c r="Y32" t="n">
        <v>492</v>
      </c>
      <c r="Z32" t="n">
        <v>451</v>
      </c>
      <c r="AA32" t="n">
        <v>488</v>
      </c>
      <c r="AB32" t="n">
        <v>4</v>
      </c>
      <c r="AC32" t="n">
        <v>4</v>
      </c>
      <c r="AD32" t="n">
        <v>8</v>
      </c>
      <c r="AE32" t="n">
        <v>9</v>
      </c>
      <c r="AF32" t="n">
        <v>3</v>
      </c>
      <c r="AG32" t="n">
        <v>3</v>
      </c>
      <c r="AH32" t="n">
        <v>2</v>
      </c>
      <c r="AI32" t="n">
        <v>3</v>
      </c>
      <c r="AJ32" t="n">
        <v>3</v>
      </c>
      <c r="AK32" t="n">
        <v>4</v>
      </c>
      <c r="AL32" t="n">
        <v>2</v>
      </c>
      <c r="AM32" t="n">
        <v>2</v>
      </c>
      <c r="AN32" t="n">
        <v>0</v>
      </c>
      <c r="AO32" t="n">
        <v>0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HYPERLINK("https://creighton-primo.hosted.exlibrisgroup.com/primo-explore/search?tab=default_tab&amp;search_scope=EVERYTHING&amp;vid=01CRU&amp;lang=en_US&amp;offset=0&amp;query=any,contains,991003942489702656","Catalog Record")</f>
        <v/>
      </c>
      <c r="AT32">
        <f>HYPERLINK("http://www.worldcat.org/oclc/50796212","WorldCat Record")</f>
        <v/>
      </c>
      <c r="AU32" t="inlineStr">
        <is>
          <t>796376663:eng</t>
        </is>
      </c>
      <c r="AV32" t="inlineStr">
        <is>
          <t>50796212</t>
        </is>
      </c>
      <c r="AW32" t="inlineStr">
        <is>
          <t>991003942489702656</t>
        </is>
      </c>
      <c r="AX32" t="inlineStr">
        <is>
          <t>991003942489702656</t>
        </is>
      </c>
      <c r="AY32" t="inlineStr">
        <is>
          <t>2265274700002656</t>
        </is>
      </c>
      <c r="AZ32" t="inlineStr">
        <is>
          <t>BOOK</t>
        </is>
      </c>
      <c r="BB32" t="inlineStr">
        <is>
          <t>9780762413362</t>
        </is>
      </c>
      <c r="BC32" t="inlineStr">
        <is>
          <t>32285004667514</t>
        </is>
      </c>
      <c r="BD32" t="inlineStr">
        <is>
          <t>893417027</t>
        </is>
      </c>
    </row>
    <row r="33">
      <c r="A33" t="inlineStr">
        <is>
          <t>No</t>
        </is>
      </c>
      <c r="B33" t="inlineStr">
        <is>
          <t>PB1421 .Y4</t>
        </is>
      </c>
      <c r="C33" t="inlineStr">
        <is>
          <t>0                      PB 1421000Y  4</t>
        </is>
      </c>
      <c r="D33" t="inlineStr">
        <is>
          <t>Irish fairy and folk tales.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Yeats, W. B. (William Butler), 1865-1939 editor.</t>
        </is>
      </c>
      <c r="L33" t="inlineStr">
        <is>
          <t>New York : Modern Library, [195-]</t>
        </is>
      </c>
      <c r="M33" t="inlineStr">
        <is>
          <t>1950</t>
        </is>
      </c>
      <c r="O33" t="inlineStr">
        <is>
          <t>eng</t>
        </is>
      </c>
      <c r="P33" t="inlineStr">
        <is>
          <t>nyu</t>
        </is>
      </c>
      <c r="Q33" t="inlineStr">
        <is>
          <t>The modern library of the world's best books, 44</t>
        </is>
      </c>
      <c r="R33" t="inlineStr">
        <is>
          <t xml:space="preserve">PB </t>
        </is>
      </c>
      <c r="S33" t="n">
        <v>3</v>
      </c>
      <c r="T33" t="n">
        <v>3</v>
      </c>
      <c r="U33" t="inlineStr">
        <is>
          <t>2007-10-01</t>
        </is>
      </c>
      <c r="V33" t="inlineStr">
        <is>
          <t>2007-10-01</t>
        </is>
      </c>
      <c r="W33" t="inlineStr">
        <is>
          <t>1993-04-15</t>
        </is>
      </c>
      <c r="X33" t="inlineStr">
        <is>
          <t>1993-04-15</t>
        </is>
      </c>
      <c r="Y33" t="n">
        <v>439</v>
      </c>
      <c r="Z33" t="n">
        <v>394</v>
      </c>
      <c r="AA33" t="n">
        <v>1618</v>
      </c>
      <c r="AB33" t="n">
        <v>5</v>
      </c>
      <c r="AC33" t="n">
        <v>13</v>
      </c>
      <c r="AD33" t="n">
        <v>19</v>
      </c>
      <c r="AE33" t="n">
        <v>51</v>
      </c>
      <c r="AF33" t="n">
        <v>6</v>
      </c>
      <c r="AG33" t="n">
        <v>20</v>
      </c>
      <c r="AH33" t="n">
        <v>5</v>
      </c>
      <c r="AI33" t="n">
        <v>11</v>
      </c>
      <c r="AJ33" t="n">
        <v>7</v>
      </c>
      <c r="AK33" t="n">
        <v>25</v>
      </c>
      <c r="AL33" t="n">
        <v>4</v>
      </c>
      <c r="AM33" t="n">
        <v>8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HYPERLINK("http://catalog.hathitrust.org/Record/004539736","HathiTrust Record")</f>
        <v/>
      </c>
      <c r="AS33">
        <f>HYPERLINK("https://creighton-primo.hosted.exlibrisgroup.com/primo-explore/search?tab=default_tab&amp;search_scope=EVERYTHING&amp;vid=01CRU&amp;lang=en_US&amp;offset=0&amp;query=any,contains,991003216059702656","Catalog Record")</f>
        <v/>
      </c>
      <c r="AT33">
        <f>HYPERLINK("http://www.worldcat.org/oclc/12175311","WorldCat Record")</f>
        <v/>
      </c>
      <c r="AU33" t="inlineStr">
        <is>
          <t>3901002645:eng</t>
        </is>
      </c>
      <c r="AV33" t="inlineStr">
        <is>
          <t>12175311</t>
        </is>
      </c>
      <c r="AW33" t="inlineStr">
        <is>
          <t>991003216059702656</t>
        </is>
      </c>
      <c r="AX33" t="inlineStr">
        <is>
          <t>991003216059702656</t>
        </is>
      </c>
      <c r="AY33" t="inlineStr">
        <is>
          <t>2270262040002656</t>
        </is>
      </c>
      <c r="AZ33" t="inlineStr">
        <is>
          <t>BOOK</t>
        </is>
      </c>
      <c r="BC33" t="inlineStr">
        <is>
          <t>32285001639722</t>
        </is>
      </c>
      <c r="BD33" t="inlineStr">
        <is>
          <t>893410025</t>
        </is>
      </c>
    </row>
    <row r="34">
      <c r="A34" t="inlineStr">
        <is>
          <t>No</t>
        </is>
      </c>
      <c r="B34" t="inlineStr">
        <is>
          <t>PB1421 .Y43</t>
        </is>
      </c>
      <c r="C34" t="inlineStr">
        <is>
          <t>0                      PB 1421000Y  43</t>
        </is>
      </c>
      <c r="D34" t="inlineStr">
        <is>
          <t>Irish folk stories and fairy tales / edited by William Butler Yeats.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Yeats, W. B. (William Butler), 1865-1939 compiler.</t>
        </is>
      </c>
      <c r="L34" t="inlineStr">
        <is>
          <t>New York : Grosset &amp; Dunlap, [1957?]</t>
        </is>
      </c>
      <c r="M34" t="inlineStr">
        <is>
          <t>1957</t>
        </is>
      </c>
      <c r="O34" t="inlineStr">
        <is>
          <t>eng</t>
        </is>
      </c>
      <c r="P34" t="inlineStr">
        <is>
          <t>nyu</t>
        </is>
      </c>
      <c r="Q34" t="inlineStr">
        <is>
          <t>Grosset's universal library, UL21</t>
        </is>
      </c>
      <c r="R34" t="inlineStr">
        <is>
          <t xml:space="preserve">PB </t>
        </is>
      </c>
      <c r="S34" t="n">
        <v>6</v>
      </c>
      <c r="T34" t="n">
        <v>6</v>
      </c>
      <c r="U34" t="inlineStr">
        <is>
          <t>2007-10-07</t>
        </is>
      </c>
      <c r="V34" t="inlineStr">
        <is>
          <t>2007-10-07</t>
        </is>
      </c>
      <c r="W34" t="inlineStr">
        <is>
          <t>1993-09-28</t>
        </is>
      </c>
      <c r="X34" t="inlineStr">
        <is>
          <t>1993-09-28</t>
        </is>
      </c>
      <c r="Y34" t="n">
        <v>233</v>
      </c>
      <c r="Z34" t="n">
        <v>203</v>
      </c>
      <c r="AA34" t="n">
        <v>296</v>
      </c>
      <c r="AB34" t="n">
        <v>1</v>
      </c>
      <c r="AC34" t="n">
        <v>1</v>
      </c>
      <c r="AD34" t="n">
        <v>10</v>
      </c>
      <c r="AE34" t="n">
        <v>10</v>
      </c>
      <c r="AF34" t="n">
        <v>3</v>
      </c>
      <c r="AG34" t="n">
        <v>3</v>
      </c>
      <c r="AH34" t="n">
        <v>0</v>
      </c>
      <c r="AI34" t="n">
        <v>0</v>
      </c>
      <c r="AJ34" t="n">
        <v>9</v>
      </c>
      <c r="AK34" t="n">
        <v>9</v>
      </c>
      <c r="AL34" t="n">
        <v>0</v>
      </c>
      <c r="AM34" t="n">
        <v>0</v>
      </c>
      <c r="AN34" t="n">
        <v>0</v>
      </c>
      <c r="AO34" t="n">
        <v>0</v>
      </c>
      <c r="AP34" t="inlineStr">
        <is>
          <t>No</t>
        </is>
      </c>
      <c r="AQ34" t="inlineStr">
        <is>
          <t>No</t>
        </is>
      </c>
      <c r="AS34">
        <f>HYPERLINK("https://creighton-primo.hosted.exlibrisgroup.com/primo-explore/search?tab=default_tab&amp;search_scope=EVERYTHING&amp;vid=01CRU&amp;lang=en_US&amp;offset=0&amp;query=any,contains,991003141379702656","Catalog Record")</f>
        <v/>
      </c>
      <c r="AT34">
        <f>HYPERLINK("http://www.worldcat.org/oclc/682811","WorldCat Record")</f>
        <v/>
      </c>
      <c r="AU34" t="inlineStr">
        <is>
          <t>2999394658:eng</t>
        </is>
      </c>
      <c r="AV34" t="inlineStr">
        <is>
          <t>682811</t>
        </is>
      </c>
      <c r="AW34" t="inlineStr">
        <is>
          <t>991003141379702656</t>
        </is>
      </c>
      <c r="AX34" t="inlineStr">
        <is>
          <t>991003141379702656</t>
        </is>
      </c>
      <c r="AY34" t="inlineStr">
        <is>
          <t>2262722420002656</t>
        </is>
      </c>
      <c r="AZ34" t="inlineStr">
        <is>
          <t>BOOK</t>
        </is>
      </c>
      <c r="BC34" t="inlineStr">
        <is>
          <t>32285001769719</t>
        </is>
      </c>
      <c r="BD34" t="inlineStr">
        <is>
          <t>893511595</t>
        </is>
      </c>
    </row>
    <row r="35">
      <c r="A35" t="inlineStr">
        <is>
          <t>No</t>
        </is>
      </c>
      <c r="B35" t="inlineStr">
        <is>
          <t>PB1423.C8 G7 1970a</t>
        </is>
      </c>
      <c r="C35" t="inlineStr">
        <is>
          <t>0                      PB 1423000C  8                  G  7           1970a</t>
        </is>
      </c>
      <c r="D35" t="inlineStr">
        <is>
          <t>Cuchulain of Muirthemne : the story of the men of the Red Branch of Ulster. Arr. and put into English by Lady Gregory / with a pref. by W. B. Yeats; and a foreword by Daniel Murphy.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Cuchulain. English.</t>
        </is>
      </c>
      <c r="L35" t="inlineStr">
        <is>
          <t>New York : Oxford University Press ; Gerrards Cross : Colin Smythe, 1970.</t>
        </is>
      </c>
      <c r="M35" t="inlineStr">
        <is>
          <t>1970</t>
        </is>
      </c>
      <c r="N35" t="inlineStr">
        <is>
          <t>[5th ed.]</t>
        </is>
      </c>
      <c r="O35" t="inlineStr">
        <is>
          <t>eng</t>
        </is>
      </c>
      <c r="P35" t="inlineStr">
        <is>
          <t>nyu</t>
        </is>
      </c>
      <c r="Q35" t="inlineStr">
        <is>
          <t>Coole edition, 2</t>
        </is>
      </c>
      <c r="R35" t="inlineStr">
        <is>
          <t xml:space="preserve">PB </t>
        </is>
      </c>
      <c r="S35" t="n">
        <v>16</v>
      </c>
      <c r="T35" t="n">
        <v>16</v>
      </c>
      <c r="U35" t="inlineStr">
        <is>
          <t>2009-09-15</t>
        </is>
      </c>
      <c r="V35" t="inlineStr">
        <is>
          <t>2009-09-15</t>
        </is>
      </c>
      <c r="W35" t="inlineStr">
        <is>
          <t>1991-12-10</t>
        </is>
      </c>
      <c r="X35" t="inlineStr">
        <is>
          <t>1991-12-10</t>
        </is>
      </c>
      <c r="Y35" t="n">
        <v>309</v>
      </c>
      <c r="Z35" t="n">
        <v>292</v>
      </c>
      <c r="AA35" t="n">
        <v>294</v>
      </c>
      <c r="AB35" t="n">
        <v>2</v>
      </c>
      <c r="AC35" t="n">
        <v>2</v>
      </c>
      <c r="AD35" t="n">
        <v>12</v>
      </c>
      <c r="AE35" t="n">
        <v>13</v>
      </c>
      <c r="AF35" t="n">
        <v>7</v>
      </c>
      <c r="AG35" t="n">
        <v>8</v>
      </c>
      <c r="AH35" t="n">
        <v>3</v>
      </c>
      <c r="AI35" t="n">
        <v>3</v>
      </c>
      <c r="AJ35" t="n">
        <v>6</v>
      </c>
      <c r="AK35" t="n">
        <v>6</v>
      </c>
      <c r="AL35" t="n">
        <v>1</v>
      </c>
      <c r="AM35" t="n">
        <v>1</v>
      </c>
      <c r="AN35" t="n">
        <v>0</v>
      </c>
      <c r="AO35" t="n">
        <v>0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HYPERLINK("https://creighton-primo.hosted.exlibrisgroup.com/primo-explore/search?tab=default_tab&amp;search_scope=EVERYTHING&amp;vid=01CRU&amp;lang=en_US&amp;offset=0&amp;query=any,contains,991000550069702656","Catalog Record")</f>
        <v/>
      </c>
      <c r="AT35">
        <f>HYPERLINK("http://www.worldcat.org/oclc/92405","WorldCat Record")</f>
        <v/>
      </c>
      <c r="AU35" t="inlineStr">
        <is>
          <t>5619284571:eng</t>
        </is>
      </c>
      <c r="AV35" t="inlineStr">
        <is>
          <t>92405</t>
        </is>
      </c>
      <c r="AW35" t="inlineStr">
        <is>
          <t>991000550069702656</t>
        </is>
      </c>
      <c r="AX35" t="inlineStr">
        <is>
          <t>991000550069702656</t>
        </is>
      </c>
      <c r="AY35" t="inlineStr">
        <is>
          <t>2262590010002656</t>
        </is>
      </c>
      <c r="AZ35" t="inlineStr">
        <is>
          <t>BOOK</t>
        </is>
      </c>
      <c r="BC35" t="inlineStr">
        <is>
          <t>32285000875327</t>
        </is>
      </c>
      <c r="BD35" t="inlineStr">
        <is>
          <t>893315042</t>
        </is>
      </c>
    </row>
    <row r="36">
      <c r="A36" t="inlineStr">
        <is>
          <t>No</t>
        </is>
      </c>
      <c r="B36" t="inlineStr">
        <is>
          <t>PB1423.C8 O28 1970</t>
        </is>
      </c>
      <c r="C36" t="inlineStr">
        <is>
          <t>0                      PB 1423000C  8                  O  28          1970</t>
        </is>
      </c>
      <c r="D36" t="inlineStr">
        <is>
          <t>History of Ireland.</t>
        </is>
      </c>
      <c r="F36" t="inlineStr">
        <is>
          <t>Yes</t>
        </is>
      </c>
      <c r="G36" t="inlineStr">
        <is>
          <t>1</t>
        </is>
      </c>
      <c r="H36" t="inlineStr">
        <is>
          <t>Yes</t>
        </is>
      </c>
      <c r="I36" t="inlineStr">
        <is>
          <t>No</t>
        </is>
      </c>
      <c r="J36" t="inlineStr">
        <is>
          <t>0</t>
        </is>
      </c>
      <c r="K36" t="inlineStr">
        <is>
          <t>O'Grady, Standish, 1846-1928.</t>
        </is>
      </c>
      <c r="L36" t="inlineStr">
        <is>
          <t>New York, Lemma Pub. Corp., 1970.</t>
        </is>
      </c>
      <c r="M36" t="inlineStr">
        <is>
          <t>1970</t>
        </is>
      </c>
      <c r="O36" t="inlineStr">
        <is>
          <t>eng</t>
        </is>
      </c>
      <c r="P36" t="inlineStr">
        <is>
          <t>nyu</t>
        </is>
      </c>
      <c r="R36" t="inlineStr">
        <is>
          <t xml:space="preserve">PB </t>
        </is>
      </c>
      <c r="S36" t="n">
        <v>6</v>
      </c>
      <c r="T36" t="n">
        <v>11</v>
      </c>
      <c r="U36" t="inlineStr">
        <is>
          <t>1995-10-09</t>
        </is>
      </c>
      <c r="V36" t="inlineStr">
        <is>
          <t>1995-10-09</t>
        </is>
      </c>
      <c r="W36" t="inlineStr">
        <is>
          <t>1992-04-22</t>
        </is>
      </c>
      <c r="X36" t="inlineStr">
        <is>
          <t>1992-04-22</t>
        </is>
      </c>
      <c r="Y36" t="n">
        <v>294</v>
      </c>
      <c r="Z36" t="n">
        <v>267</v>
      </c>
      <c r="AA36" t="n">
        <v>350</v>
      </c>
      <c r="AB36" t="n">
        <v>3</v>
      </c>
      <c r="AC36" t="n">
        <v>4</v>
      </c>
      <c r="AD36" t="n">
        <v>12</v>
      </c>
      <c r="AE36" t="n">
        <v>17</v>
      </c>
      <c r="AF36" t="n">
        <v>4</v>
      </c>
      <c r="AG36" t="n">
        <v>5</v>
      </c>
      <c r="AH36" t="n">
        <v>4</v>
      </c>
      <c r="AI36" t="n">
        <v>5</v>
      </c>
      <c r="AJ36" t="n">
        <v>5</v>
      </c>
      <c r="AK36" t="n">
        <v>8</v>
      </c>
      <c r="AL36" t="n">
        <v>2</v>
      </c>
      <c r="AM36" t="n">
        <v>3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HYPERLINK("http://catalog.hathitrust.org/Record/001370423","HathiTrust Record")</f>
        <v/>
      </c>
      <c r="AS36">
        <f>HYPERLINK("https://creighton-primo.hosted.exlibrisgroup.com/primo-explore/search?tab=default_tab&amp;search_scope=EVERYTHING&amp;vid=01CRU&amp;lang=en_US&amp;offset=0&amp;query=any,contains,991000584579702656","Catalog Record")</f>
        <v/>
      </c>
      <c r="AT36">
        <f>HYPERLINK("http://www.worldcat.org/oclc/95906","WorldCat Record")</f>
        <v/>
      </c>
      <c r="AU36" t="inlineStr">
        <is>
          <t>10567749865:eng</t>
        </is>
      </c>
      <c r="AV36" t="inlineStr">
        <is>
          <t>95906</t>
        </is>
      </c>
      <c r="AW36" t="inlineStr">
        <is>
          <t>991000584579702656</t>
        </is>
      </c>
      <c r="AX36" t="inlineStr">
        <is>
          <t>991000584579702656</t>
        </is>
      </c>
      <c r="AY36" t="inlineStr">
        <is>
          <t>2272549740002656</t>
        </is>
      </c>
      <c r="AZ36" t="inlineStr">
        <is>
          <t>BOOK</t>
        </is>
      </c>
      <c r="BB36" t="inlineStr">
        <is>
          <t>9780876960035</t>
        </is>
      </c>
      <c r="BC36" t="inlineStr">
        <is>
          <t>32285001069193</t>
        </is>
      </c>
      <c r="BD36" t="inlineStr">
        <is>
          <t>893683554</t>
        </is>
      </c>
    </row>
    <row r="37">
      <c r="A37" t="inlineStr">
        <is>
          <t>No</t>
        </is>
      </c>
      <c r="B37" t="inlineStr">
        <is>
          <t>PB1423.C8 O28 1970 V.2</t>
        </is>
      </c>
      <c r="C37" t="inlineStr">
        <is>
          <t>0                      PB 1423000C  8                  O  28          1970                  V.2</t>
        </is>
      </c>
      <c r="D37" t="inlineStr">
        <is>
          <t>History of Ireland.</t>
        </is>
      </c>
      <c r="E37" t="inlineStr">
        <is>
          <t>V.2*</t>
        </is>
      </c>
      <c r="F37" t="inlineStr">
        <is>
          <t>Yes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O'Grady, Standish, 1846-1928.</t>
        </is>
      </c>
      <c r="L37" t="inlineStr">
        <is>
          <t>New York, Lemma Pub. Corp., 1970.</t>
        </is>
      </c>
      <c r="M37" t="inlineStr">
        <is>
          <t>1970</t>
        </is>
      </c>
      <c r="O37" t="inlineStr">
        <is>
          <t>eng</t>
        </is>
      </c>
      <c r="P37" t="inlineStr">
        <is>
          <t>nyu</t>
        </is>
      </c>
      <c r="R37" t="inlineStr">
        <is>
          <t xml:space="preserve">PB </t>
        </is>
      </c>
      <c r="S37" t="n">
        <v>5</v>
      </c>
      <c r="T37" t="n">
        <v>11</v>
      </c>
      <c r="U37" t="inlineStr">
        <is>
          <t>1993-10-01</t>
        </is>
      </c>
      <c r="V37" t="inlineStr">
        <is>
          <t>1995-10-09</t>
        </is>
      </c>
      <c r="W37" t="inlineStr">
        <is>
          <t>1992-04-22</t>
        </is>
      </c>
      <c r="X37" t="inlineStr">
        <is>
          <t>1992-04-22</t>
        </is>
      </c>
      <c r="Y37" t="n">
        <v>294</v>
      </c>
      <c r="Z37" t="n">
        <v>267</v>
      </c>
      <c r="AA37" t="n">
        <v>350</v>
      </c>
      <c r="AB37" t="n">
        <v>3</v>
      </c>
      <c r="AC37" t="n">
        <v>4</v>
      </c>
      <c r="AD37" t="n">
        <v>12</v>
      </c>
      <c r="AE37" t="n">
        <v>17</v>
      </c>
      <c r="AF37" t="n">
        <v>4</v>
      </c>
      <c r="AG37" t="n">
        <v>5</v>
      </c>
      <c r="AH37" t="n">
        <v>4</v>
      </c>
      <c r="AI37" t="n">
        <v>5</v>
      </c>
      <c r="AJ37" t="n">
        <v>5</v>
      </c>
      <c r="AK37" t="n">
        <v>8</v>
      </c>
      <c r="AL37" t="n">
        <v>2</v>
      </c>
      <c r="AM37" t="n">
        <v>3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HYPERLINK("http://catalog.hathitrust.org/Record/001370423","HathiTrust Record")</f>
        <v/>
      </c>
      <c r="AS37">
        <f>HYPERLINK("https://creighton-primo.hosted.exlibrisgroup.com/primo-explore/search?tab=default_tab&amp;search_scope=EVERYTHING&amp;vid=01CRU&amp;lang=en_US&amp;offset=0&amp;query=any,contains,991000584579702656","Catalog Record")</f>
        <v/>
      </c>
      <c r="AT37">
        <f>HYPERLINK("http://www.worldcat.org/oclc/95906","WorldCat Record")</f>
        <v/>
      </c>
      <c r="AU37" t="inlineStr">
        <is>
          <t>10567749865:eng</t>
        </is>
      </c>
      <c r="AV37" t="inlineStr">
        <is>
          <t>95906</t>
        </is>
      </c>
      <c r="AW37" t="inlineStr">
        <is>
          <t>991000584579702656</t>
        </is>
      </c>
      <c r="AX37" t="inlineStr">
        <is>
          <t>991000584579702656</t>
        </is>
      </c>
      <c r="AY37" t="inlineStr">
        <is>
          <t>2272549740002656</t>
        </is>
      </c>
      <c r="AZ37" t="inlineStr">
        <is>
          <t>BOOK</t>
        </is>
      </c>
      <c r="BB37" t="inlineStr">
        <is>
          <t>9780876960035</t>
        </is>
      </c>
      <c r="BC37" t="inlineStr">
        <is>
          <t>32285001069201</t>
        </is>
      </c>
      <c r="BD37" t="inlineStr">
        <is>
          <t>893708504</t>
        </is>
      </c>
    </row>
    <row r="38">
      <c r="A38" t="inlineStr">
        <is>
          <t>No</t>
        </is>
      </c>
      <c r="B38" t="inlineStr">
        <is>
          <t>PB1423.T3 F3 1972</t>
        </is>
      </c>
      <c r="C38" t="inlineStr">
        <is>
          <t>0                      PB 1423000T  3                  F  3           1972</t>
        </is>
      </c>
      <c r="D38" t="inlineStr">
        <is>
          <t>The cattle-raid of Cualnge (Tain bo Cuailnge) : an old Irish prose-epic translated for the first time from Leabhar na h-Uidhri and the Yellow book of Lecan / by L. Winifred Faraday. London, D. Nutt, 1904.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Táin bó Cúailnge. English.</t>
        </is>
      </c>
      <c r="L38" t="inlineStr">
        <is>
          <t>[New York : AMS Press, 1972]</t>
        </is>
      </c>
      <c r="M38" t="inlineStr">
        <is>
          <t>1972</t>
        </is>
      </c>
      <c r="O38" t="inlineStr">
        <is>
          <t>eng</t>
        </is>
      </c>
      <c r="P38" t="inlineStr">
        <is>
          <t>nyu</t>
        </is>
      </c>
      <c r="R38" t="inlineStr">
        <is>
          <t xml:space="preserve">PB </t>
        </is>
      </c>
      <c r="S38" t="n">
        <v>14</v>
      </c>
      <c r="T38" t="n">
        <v>14</v>
      </c>
      <c r="U38" t="inlineStr">
        <is>
          <t>2009-02-11</t>
        </is>
      </c>
      <c r="V38" t="inlineStr">
        <is>
          <t>2009-02-11</t>
        </is>
      </c>
      <c r="W38" t="inlineStr">
        <is>
          <t>1992-04-08</t>
        </is>
      </c>
      <c r="X38" t="inlineStr">
        <is>
          <t>1992-04-08</t>
        </is>
      </c>
      <c r="Y38" t="n">
        <v>101</v>
      </c>
      <c r="Z38" t="n">
        <v>85</v>
      </c>
      <c r="AA38" t="n">
        <v>168</v>
      </c>
      <c r="AB38" t="n">
        <v>1</v>
      </c>
      <c r="AC38" t="n">
        <v>2</v>
      </c>
      <c r="AD38" t="n">
        <v>3</v>
      </c>
      <c r="AE38" t="n">
        <v>7</v>
      </c>
      <c r="AF38" t="n">
        <v>0</v>
      </c>
      <c r="AG38" t="n">
        <v>0</v>
      </c>
      <c r="AH38" t="n">
        <v>2</v>
      </c>
      <c r="AI38" t="n">
        <v>4</v>
      </c>
      <c r="AJ38" t="n">
        <v>2</v>
      </c>
      <c r="AK38" t="n">
        <v>3</v>
      </c>
      <c r="AL38" t="n">
        <v>0</v>
      </c>
      <c r="AM38" t="n">
        <v>1</v>
      </c>
      <c r="AN38" t="n">
        <v>0</v>
      </c>
      <c r="AO38" t="n">
        <v>0</v>
      </c>
      <c r="AP38" t="inlineStr">
        <is>
          <t>Yes</t>
        </is>
      </c>
      <c r="AQ38" t="inlineStr">
        <is>
          <t>No</t>
        </is>
      </c>
      <c r="AR38">
        <f>HYPERLINK("http://catalog.hathitrust.org/Record/101849562","HathiTrust Record")</f>
        <v/>
      </c>
      <c r="AS38">
        <f>HYPERLINK("https://creighton-primo.hosted.exlibrisgroup.com/primo-explore/search?tab=default_tab&amp;search_scope=EVERYTHING&amp;vid=01CRU&amp;lang=en_US&amp;offset=0&amp;query=any,contains,991002759109702656","Catalog Record")</f>
        <v/>
      </c>
      <c r="AT38">
        <f>HYPERLINK("http://www.worldcat.org/oclc/427343","WorldCat Record")</f>
        <v/>
      </c>
      <c r="AU38" t="inlineStr">
        <is>
          <t>1213552918:eng</t>
        </is>
      </c>
      <c r="AV38" t="inlineStr">
        <is>
          <t>427343</t>
        </is>
      </c>
      <c r="AW38" t="inlineStr">
        <is>
          <t>991002759109702656</t>
        </is>
      </c>
      <c r="AX38" t="inlineStr">
        <is>
          <t>991002759109702656</t>
        </is>
      </c>
      <c r="AY38" t="inlineStr">
        <is>
          <t>2264544890002656</t>
        </is>
      </c>
      <c r="AZ38" t="inlineStr">
        <is>
          <t>BOOK</t>
        </is>
      </c>
      <c r="BB38" t="inlineStr">
        <is>
          <t>9780404535599</t>
        </is>
      </c>
      <c r="BC38" t="inlineStr">
        <is>
          <t>32285001056273</t>
        </is>
      </c>
      <c r="BD38" t="inlineStr">
        <is>
          <t>893427984</t>
        </is>
      </c>
    </row>
    <row r="39">
      <c r="A39" t="inlineStr">
        <is>
          <t>No</t>
        </is>
      </c>
      <c r="B39" t="inlineStr">
        <is>
          <t>PB1424 .H6</t>
        </is>
      </c>
      <c r="C39" t="inlineStr">
        <is>
          <t>0                      PB 1424000H  6</t>
        </is>
      </c>
      <c r="D39" t="inlineStr">
        <is>
          <t>1000 years of Irish poetry : the Gaelic and Anglo-Irish poets from pagan times to the present.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Hoagland, Kathleen editor.</t>
        </is>
      </c>
      <c r="L39" t="inlineStr">
        <is>
          <t>New York : Devin-Adair Co., 1947.</t>
        </is>
      </c>
      <c r="M39" t="inlineStr">
        <is>
          <t>1947</t>
        </is>
      </c>
      <c r="O39" t="inlineStr">
        <is>
          <t>eng</t>
        </is>
      </c>
      <c r="P39" t="inlineStr">
        <is>
          <t>nyu</t>
        </is>
      </c>
      <c r="R39" t="inlineStr">
        <is>
          <t xml:space="preserve">PB </t>
        </is>
      </c>
      <c r="S39" t="n">
        <v>13</v>
      </c>
      <c r="T39" t="n">
        <v>13</v>
      </c>
      <c r="U39" t="inlineStr">
        <is>
          <t>2004-10-04</t>
        </is>
      </c>
      <c r="V39" t="inlineStr">
        <is>
          <t>2004-10-04</t>
        </is>
      </c>
      <c r="W39" t="inlineStr">
        <is>
          <t>1992-03-20</t>
        </is>
      </c>
      <c r="X39" t="inlineStr">
        <is>
          <t>1992-03-20</t>
        </is>
      </c>
      <c r="Y39" t="n">
        <v>744</v>
      </c>
      <c r="Z39" t="n">
        <v>681</v>
      </c>
      <c r="AA39" t="n">
        <v>1240</v>
      </c>
      <c r="AB39" t="n">
        <v>11</v>
      </c>
      <c r="AC39" t="n">
        <v>15</v>
      </c>
      <c r="AD39" t="n">
        <v>43</v>
      </c>
      <c r="AE39" t="n">
        <v>55</v>
      </c>
      <c r="AF39" t="n">
        <v>15</v>
      </c>
      <c r="AG39" t="n">
        <v>22</v>
      </c>
      <c r="AH39" t="n">
        <v>9</v>
      </c>
      <c r="AI39" t="n">
        <v>10</v>
      </c>
      <c r="AJ39" t="n">
        <v>20</v>
      </c>
      <c r="AK39" t="n">
        <v>24</v>
      </c>
      <c r="AL39" t="n">
        <v>9</v>
      </c>
      <c r="AM39" t="n">
        <v>11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HYPERLINK("http://catalog.hathitrust.org/Record/001372003","HathiTrust Record")</f>
        <v/>
      </c>
      <c r="AS39">
        <f>HYPERLINK("https://creighton-primo.hosted.exlibrisgroup.com/primo-explore/search?tab=default_tab&amp;search_scope=EVERYTHING&amp;vid=01CRU&amp;lang=en_US&amp;offset=0&amp;query=any,contains,991003217379702656","Catalog Record")</f>
        <v/>
      </c>
      <c r="AT39">
        <f>HYPERLINK("http://www.worldcat.org/oclc/743556","WorldCat Record")</f>
        <v/>
      </c>
      <c r="AU39" t="inlineStr">
        <is>
          <t>836395486:eng</t>
        </is>
      </c>
      <c r="AV39" t="inlineStr">
        <is>
          <t>743556</t>
        </is>
      </c>
      <c r="AW39" t="inlineStr">
        <is>
          <t>991003217379702656</t>
        </is>
      </c>
      <c r="AX39" t="inlineStr">
        <is>
          <t>991003217379702656</t>
        </is>
      </c>
      <c r="AY39" t="inlineStr">
        <is>
          <t>2267372150002656</t>
        </is>
      </c>
      <c r="AZ39" t="inlineStr">
        <is>
          <t>BOOK</t>
        </is>
      </c>
      <c r="BC39" t="inlineStr">
        <is>
          <t>32285001025641</t>
        </is>
      </c>
      <c r="BD39" t="inlineStr">
        <is>
          <t>893524553</t>
        </is>
      </c>
    </row>
    <row r="40">
      <c r="A40" t="inlineStr">
        <is>
          <t>No</t>
        </is>
      </c>
      <c r="B40" t="inlineStr">
        <is>
          <t>PB1424 .L64 1989</t>
        </is>
      </c>
      <c r="C40" t="inlineStr">
        <is>
          <t>0                      PB 1424000L  64          1989</t>
        </is>
      </c>
      <c r="D40" t="inlineStr">
        <is>
          <t>Love of Ireland : poems from the Irish / [collected by] Brendan Kennelly.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L40" t="inlineStr">
        <is>
          <t>Cork : Mercier Press ; [Chester Springs, PA : U.S. distributor, Dufour Editions], c1989.</t>
        </is>
      </c>
      <c r="M40" t="inlineStr">
        <is>
          <t>1989</t>
        </is>
      </c>
      <c r="O40" t="inlineStr">
        <is>
          <t>eng</t>
        </is>
      </c>
      <c r="P40" t="inlineStr">
        <is>
          <t xml:space="preserve">ie </t>
        </is>
      </c>
      <c r="R40" t="inlineStr">
        <is>
          <t xml:space="preserve">PB </t>
        </is>
      </c>
      <c r="S40" t="n">
        <v>5</v>
      </c>
      <c r="T40" t="n">
        <v>5</v>
      </c>
      <c r="U40" t="inlineStr">
        <is>
          <t>1996-11-25</t>
        </is>
      </c>
      <c r="V40" t="inlineStr">
        <is>
          <t>1996-11-25</t>
        </is>
      </c>
      <c r="W40" t="inlineStr">
        <is>
          <t>1990-12-04</t>
        </is>
      </c>
      <c r="X40" t="inlineStr">
        <is>
          <t>1990-12-04</t>
        </is>
      </c>
      <c r="Y40" t="n">
        <v>146</v>
      </c>
      <c r="Z40" t="n">
        <v>121</v>
      </c>
      <c r="AA40" t="n">
        <v>124</v>
      </c>
      <c r="AB40" t="n">
        <v>4</v>
      </c>
      <c r="AC40" t="n">
        <v>4</v>
      </c>
      <c r="AD40" t="n">
        <v>8</v>
      </c>
      <c r="AE40" t="n">
        <v>8</v>
      </c>
      <c r="AF40" t="n">
        <v>2</v>
      </c>
      <c r="AG40" t="n">
        <v>2</v>
      </c>
      <c r="AH40" t="n">
        <v>3</v>
      </c>
      <c r="AI40" t="n">
        <v>3</v>
      </c>
      <c r="AJ40" t="n">
        <v>5</v>
      </c>
      <c r="AK40" t="n">
        <v>5</v>
      </c>
      <c r="AL40" t="n">
        <v>1</v>
      </c>
      <c r="AM40" t="n">
        <v>1</v>
      </c>
      <c r="AN40" t="n">
        <v>0</v>
      </c>
      <c r="AO40" t="n">
        <v>0</v>
      </c>
      <c r="AP40" t="inlineStr">
        <is>
          <t>No</t>
        </is>
      </c>
      <c r="AQ40" t="inlineStr">
        <is>
          <t>No</t>
        </is>
      </c>
      <c r="AS40">
        <f>HYPERLINK("https://creighton-primo.hosted.exlibrisgroup.com/primo-explore/search?tab=default_tab&amp;search_scope=EVERYTHING&amp;vid=01CRU&amp;lang=en_US&amp;offset=0&amp;query=any,contains,991001639539702656","Catalog Record")</f>
        <v/>
      </c>
      <c r="AT40">
        <f>HYPERLINK("http://www.worldcat.org/oclc/20996952","WorldCat Record")</f>
        <v/>
      </c>
      <c r="AU40" t="inlineStr">
        <is>
          <t>836837500:eng</t>
        </is>
      </c>
      <c r="AV40" t="inlineStr">
        <is>
          <t>20996952</t>
        </is>
      </c>
      <c r="AW40" t="inlineStr">
        <is>
          <t>991001639539702656</t>
        </is>
      </c>
      <c r="AX40" t="inlineStr">
        <is>
          <t>991001639539702656</t>
        </is>
      </c>
      <c r="AY40" t="inlineStr">
        <is>
          <t>2271296740002656</t>
        </is>
      </c>
      <c r="AZ40" t="inlineStr">
        <is>
          <t>BOOK</t>
        </is>
      </c>
      <c r="BB40" t="inlineStr">
        <is>
          <t>9780853429012</t>
        </is>
      </c>
      <c r="BC40" t="inlineStr">
        <is>
          <t>32285000358100</t>
        </is>
      </c>
      <c r="BD40" t="inlineStr">
        <is>
          <t>893244265</t>
        </is>
      </c>
    </row>
    <row r="41">
      <c r="A41" t="inlineStr">
        <is>
          <t>No</t>
        </is>
      </c>
      <c r="B41" t="inlineStr">
        <is>
          <t>PB1424 .M37 1985</t>
        </is>
      </c>
      <c r="C41" t="inlineStr">
        <is>
          <t>0                      PB 1424000M  37          1985</t>
        </is>
      </c>
      <c r="D41" t="inlineStr">
        <is>
          <t>Medieval Irish lyrics : selected and translated with, The Irish bardic poet : a study in the relationship of poet and patron / James Carney.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L41" t="inlineStr">
        <is>
          <t>Mountrath, Portlaoise, Ireland : Dolmen Press, 1985.</t>
        </is>
      </c>
      <c r="M41" t="inlineStr">
        <is>
          <t>1985</t>
        </is>
      </c>
      <c r="O41" t="inlineStr">
        <is>
          <t>eng</t>
        </is>
      </c>
      <c r="P41" t="inlineStr">
        <is>
          <t xml:space="preserve">ie </t>
        </is>
      </c>
      <c r="R41" t="inlineStr">
        <is>
          <t xml:space="preserve">PB </t>
        </is>
      </c>
      <c r="S41" t="n">
        <v>9</v>
      </c>
      <c r="T41" t="n">
        <v>9</v>
      </c>
      <c r="U41" t="inlineStr">
        <is>
          <t>2008-08-26</t>
        </is>
      </c>
      <c r="V41" t="inlineStr">
        <is>
          <t>2008-08-26</t>
        </is>
      </c>
      <c r="W41" t="inlineStr">
        <is>
          <t>1994-03-11</t>
        </is>
      </c>
      <c r="X41" t="inlineStr">
        <is>
          <t>1994-03-11</t>
        </is>
      </c>
      <c r="Y41" t="n">
        <v>74</v>
      </c>
      <c r="Z41" t="n">
        <v>47</v>
      </c>
      <c r="AA41" t="n">
        <v>56</v>
      </c>
      <c r="AB41" t="n">
        <v>1</v>
      </c>
      <c r="AC41" t="n">
        <v>1</v>
      </c>
      <c r="AD41" t="n">
        <v>5</v>
      </c>
      <c r="AE41" t="n">
        <v>5</v>
      </c>
      <c r="AF41" t="n">
        <v>2</v>
      </c>
      <c r="AG41" t="n">
        <v>2</v>
      </c>
      <c r="AH41" t="n">
        <v>1</v>
      </c>
      <c r="AI41" t="n">
        <v>1</v>
      </c>
      <c r="AJ41" t="n">
        <v>4</v>
      </c>
      <c r="AK41" t="n">
        <v>4</v>
      </c>
      <c r="AL41" t="n">
        <v>0</v>
      </c>
      <c r="AM41" t="n">
        <v>0</v>
      </c>
      <c r="AN41" t="n">
        <v>0</v>
      </c>
      <c r="AO41" t="n">
        <v>0</v>
      </c>
      <c r="AP41" t="inlineStr">
        <is>
          <t>No</t>
        </is>
      </c>
      <c r="AQ41" t="inlineStr">
        <is>
          <t>No</t>
        </is>
      </c>
      <c r="AS41">
        <f>HYPERLINK("https://creighton-primo.hosted.exlibrisgroup.com/primo-explore/search?tab=default_tab&amp;search_scope=EVERYTHING&amp;vid=01CRU&amp;lang=en_US&amp;offset=0&amp;query=any,contains,991001178699702656","Catalog Record")</f>
        <v/>
      </c>
      <c r="AT41">
        <f>HYPERLINK("http://www.worldcat.org/oclc/17105782","WorldCat Record")</f>
        <v/>
      </c>
      <c r="AU41" t="inlineStr">
        <is>
          <t>4663473751:eng</t>
        </is>
      </c>
      <c r="AV41" t="inlineStr">
        <is>
          <t>17105782</t>
        </is>
      </c>
      <c r="AW41" t="inlineStr">
        <is>
          <t>991001178699702656</t>
        </is>
      </c>
      <c r="AX41" t="inlineStr">
        <is>
          <t>991001178699702656</t>
        </is>
      </c>
      <c r="AY41" t="inlineStr">
        <is>
          <t>2267330540002656</t>
        </is>
      </c>
      <c r="AZ41" t="inlineStr">
        <is>
          <t>BOOK</t>
        </is>
      </c>
      <c r="BB41" t="inlineStr">
        <is>
          <t>9780851053608</t>
        </is>
      </c>
      <c r="BC41" t="inlineStr">
        <is>
          <t>32285001855765</t>
        </is>
      </c>
      <c r="BD41" t="inlineStr">
        <is>
          <t>893621127</t>
        </is>
      </c>
    </row>
    <row r="42">
      <c r="A42" t="inlineStr">
        <is>
          <t>No</t>
        </is>
      </c>
      <c r="B42" t="inlineStr">
        <is>
          <t>PB1427 .W7</t>
        </is>
      </c>
      <c r="C42" t="inlineStr">
        <is>
          <t>0                      PB 1427000W  7</t>
        </is>
      </c>
      <c r="D42" t="inlineStr">
        <is>
          <t>The Writers : a sense of Ireland : new works by 44 Irish writers / edited by Andrew Carpenter, Peter Fallon.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L42" t="inlineStr">
        <is>
          <t>New York : G. Braziller, [1980]</t>
        </is>
      </c>
      <c r="M42" t="inlineStr">
        <is>
          <t>1980</t>
        </is>
      </c>
      <c r="O42" t="inlineStr">
        <is>
          <t>eng</t>
        </is>
      </c>
      <c r="P42" t="inlineStr">
        <is>
          <t>nyu</t>
        </is>
      </c>
      <c r="R42" t="inlineStr">
        <is>
          <t xml:space="preserve">PB </t>
        </is>
      </c>
      <c r="S42" t="n">
        <v>2</v>
      </c>
      <c r="T42" t="n">
        <v>2</v>
      </c>
      <c r="U42" t="inlineStr">
        <is>
          <t>2007-09-27</t>
        </is>
      </c>
      <c r="V42" t="inlineStr">
        <is>
          <t>2007-09-27</t>
        </is>
      </c>
      <c r="W42" t="inlineStr">
        <is>
          <t>1993-04-15</t>
        </is>
      </c>
      <c r="X42" t="inlineStr">
        <is>
          <t>1993-04-15</t>
        </is>
      </c>
      <c r="Y42" t="n">
        <v>236</v>
      </c>
      <c r="Z42" t="n">
        <v>220</v>
      </c>
      <c r="AA42" t="n">
        <v>274</v>
      </c>
      <c r="AB42" t="n">
        <v>3</v>
      </c>
      <c r="AC42" t="n">
        <v>3</v>
      </c>
      <c r="AD42" t="n">
        <v>11</v>
      </c>
      <c r="AE42" t="n">
        <v>12</v>
      </c>
      <c r="AF42" t="n">
        <v>2</v>
      </c>
      <c r="AG42" t="n">
        <v>2</v>
      </c>
      <c r="AH42" t="n">
        <v>6</v>
      </c>
      <c r="AI42" t="n">
        <v>6</v>
      </c>
      <c r="AJ42" t="n">
        <v>4</v>
      </c>
      <c r="AK42" t="n">
        <v>5</v>
      </c>
      <c r="AL42" t="n">
        <v>2</v>
      </c>
      <c r="AM42" t="n">
        <v>2</v>
      </c>
      <c r="AN42" t="n">
        <v>0</v>
      </c>
      <c r="AO42" t="n">
        <v>0</v>
      </c>
      <c r="AP42" t="inlineStr">
        <is>
          <t>No</t>
        </is>
      </c>
      <c r="AQ42" t="inlineStr">
        <is>
          <t>No</t>
        </is>
      </c>
      <c r="AS42">
        <f>HYPERLINK("https://creighton-primo.hosted.exlibrisgroup.com/primo-explore/search?tab=default_tab&amp;search_scope=EVERYTHING&amp;vid=01CRU&amp;lang=en_US&amp;offset=0&amp;query=any,contains,991004936889702656","Catalog Record")</f>
        <v/>
      </c>
      <c r="AT42">
        <f>HYPERLINK("http://www.worldcat.org/oclc/6143848","WorldCat Record")</f>
        <v/>
      </c>
      <c r="AU42" t="inlineStr">
        <is>
          <t>891425051:eng</t>
        </is>
      </c>
      <c r="AV42" t="inlineStr">
        <is>
          <t>6143848</t>
        </is>
      </c>
      <c r="AW42" t="inlineStr">
        <is>
          <t>991004936889702656</t>
        </is>
      </c>
      <c r="AX42" t="inlineStr">
        <is>
          <t>991004936889702656</t>
        </is>
      </c>
      <c r="AY42" t="inlineStr">
        <is>
          <t>2259962480002656</t>
        </is>
      </c>
      <c r="AZ42" t="inlineStr">
        <is>
          <t>BOOK</t>
        </is>
      </c>
      <c r="BB42" t="inlineStr">
        <is>
          <t>9780807609705</t>
        </is>
      </c>
      <c r="BC42" t="inlineStr">
        <is>
          <t>32285001645018</t>
        </is>
      </c>
      <c r="BD42" t="inlineStr">
        <is>
          <t>893344428</t>
        </is>
      </c>
    </row>
    <row r="43">
      <c r="A43" t="inlineStr">
        <is>
          <t>No</t>
        </is>
      </c>
      <c r="B43" t="inlineStr">
        <is>
          <t>PB1429 .D4</t>
        </is>
      </c>
      <c r="C43" t="inlineStr">
        <is>
          <t>0                      PB 1429000D  4</t>
        </is>
      </c>
      <c r="D43" t="inlineStr">
        <is>
          <t>Prayers of the Gael : being a translation from Irish into English / by R. MacCrócaigh [R. Crookes] of the collection of Miss Charlotte Dease entitled "Paidreacha na nDaoine" and pub. by the Irish messenger, Dublin.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Dease, Charlotte, compiler.</t>
        </is>
      </c>
      <c r="L43" t="inlineStr">
        <is>
          <t>London and Edinburgh : Sands &amp; company ; St. Louis, Mo. : B. Herder, [1915]</t>
        </is>
      </c>
      <c r="M43" t="inlineStr">
        <is>
          <t>1915</t>
        </is>
      </c>
      <c r="O43" t="inlineStr">
        <is>
          <t>eng</t>
        </is>
      </c>
      <c r="P43" t="inlineStr">
        <is>
          <t>enk</t>
        </is>
      </c>
      <c r="R43" t="inlineStr">
        <is>
          <t xml:space="preserve">PB </t>
        </is>
      </c>
      <c r="S43" t="n">
        <v>18</v>
      </c>
      <c r="T43" t="n">
        <v>18</v>
      </c>
      <c r="U43" t="inlineStr">
        <is>
          <t>2009-09-15</t>
        </is>
      </c>
      <c r="V43" t="inlineStr">
        <is>
          <t>2009-09-15</t>
        </is>
      </c>
      <c r="W43" t="inlineStr">
        <is>
          <t>1992-08-04</t>
        </is>
      </c>
      <c r="X43" t="inlineStr">
        <is>
          <t>1992-08-04</t>
        </is>
      </c>
      <c r="Y43" t="n">
        <v>26</v>
      </c>
      <c r="Z43" t="n">
        <v>21</v>
      </c>
      <c r="AA43" t="n">
        <v>26</v>
      </c>
      <c r="AB43" t="n">
        <v>1</v>
      </c>
      <c r="AC43" t="n">
        <v>1</v>
      </c>
      <c r="AD43" t="n">
        <v>8</v>
      </c>
      <c r="AE43" t="n">
        <v>8</v>
      </c>
      <c r="AF43" t="n">
        <v>1</v>
      </c>
      <c r="AG43" t="n">
        <v>1</v>
      </c>
      <c r="AH43" t="n">
        <v>1</v>
      </c>
      <c r="AI43" t="n">
        <v>1</v>
      </c>
      <c r="AJ43" t="n">
        <v>8</v>
      </c>
      <c r="AK43" t="n">
        <v>8</v>
      </c>
      <c r="AL43" t="n">
        <v>0</v>
      </c>
      <c r="AM43" t="n">
        <v>0</v>
      </c>
      <c r="AN43" t="n">
        <v>0</v>
      </c>
      <c r="AO43" t="n">
        <v>0</v>
      </c>
      <c r="AP43" t="inlineStr">
        <is>
          <t>Yes</t>
        </is>
      </c>
      <c r="AQ43" t="inlineStr">
        <is>
          <t>No</t>
        </is>
      </c>
      <c r="AR43">
        <f>HYPERLINK("http://catalog.hathitrust.org/Record/100858948","HathiTrust Record")</f>
        <v/>
      </c>
      <c r="AS43">
        <f>HYPERLINK("https://creighton-primo.hosted.exlibrisgroup.com/primo-explore/search?tab=default_tab&amp;search_scope=EVERYTHING&amp;vid=01CRU&amp;lang=en_US&amp;offset=0&amp;query=any,contains,991004160469702656","Catalog Record")</f>
        <v/>
      </c>
      <c r="AT43">
        <f>HYPERLINK("http://www.worldcat.org/oclc/2550061","WorldCat Record")</f>
        <v/>
      </c>
      <c r="AU43" t="inlineStr">
        <is>
          <t>5109438:eng</t>
        </is>
      </c>
      <c r="AV43" t="inlineStr">
        <is>
          <t>2550061</t>
        </is>
      </c>
      <c r="AW43" t="inlineStr">
        <is>
          <t>991004160469702656</t>
        </is>
      </c>
      <c r="AX43" t="inlineStr">
        <is>
          <t>991004160469702656</t>
        </is>
      </c>
      <c r="AY43" t="inlineStr">
        <is>
          <t>2256712680002656</t>
        </is>
      </c>
      <c r="AZ43" t="inlineStr">
        <is>
          <t>BOOK</t>
        </is>
      </c>
      <c r="BC43" t="inlineStr">
        <is>
          <t>32285001240661</t>
        </is>
      </c>
      <c r="BD43" t="inlineStr">
        <is>
          <t>893235122</t>
        </is>
      </c>
    </row>
    <row r="44">
      <c r="A44" t="inlineStr">
        <is>
          <t>No</t>
        </is>
      </c>
      <c r="B44" t="inlineStr">
        <is>
          <t>PB1429 .I75 1999</t>
        </is>
      </c>
      <c r="C44" t="inlineStr">
        <is>
          <t>0                      PB 1429000I  75          1999</t>
        </is>
      </c>
      <c r="D44" t="inlineStr">
        <is>
          <t>Irish Americans : a versified company / compiled, edited, and annotated by Richard Demeter.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L44" t="inlineStr">
        <is>
          <t>Pasadena, Calif. : Cranford Press, c1999.</t>
        </is>
      </c>
      <c r="M44" t="inlineStr">
        <is>
          <t>1999</t>
        </is>
      </c>
      <c r="N44" t="inlineStr">
        <is>
          <t>1st ed.</t>
        </is>
      </c>
      <c r="O44" t="inlineStr">
        <is>
          <t>eng</t>
        </is>
      </c>
      <c r="P44" t="inlineStr">
        <is>
          <t>cau</t>
        </is>
      </c>
      <c r="R44" t="inlineStr">
        <is>
          <t xml:space="preserve">PB </t>
        </is>
      </c>
      <c r="S44" t="n">
        <v>4</v>
      </c>
      <c r="T44" t="n">
        <v>4</v>
      </c>
      <c r="U44" t="inlineStr">
        <is>
          <t>2000-08-23</t>
        </is>
      </c>
      <c r="V44" t="inlineStr">
        <is>
          <t>2000-08-23</t>
        </is>
      </c>
      <c r="W44" t="inlineStr">
        <is>
          <t>2000-07-31</t>
        </is>
      </c>
      <c r="X44" t="inlineStr">
        <is>
          <t>2000-07-31</t>
        </is>
      </c>
      <c r="Y44" t="n">
        <v>352</v>
      </c>
      <c r="Z44" t="n">
        <v>325</v>
      </c>
      <c r="AA44" t="n">
        <v>332</v>
      </c>
      <c r="AB44" t="n">
        <v>3</v>
      </c>
      <c r="AC44" t="n">
        <v>3</v>
      </c>
      <c r="AD44" t="n">
        <v>31</v>
      </c>
      <c r="AE44" t="n">
        <v>31</v>
      </c>
      <c r="AF44" t="n">
        <v>13</v>
      </c>
      <c r="AG44" t="n">
        <v>13</v>
      </c>
      <c r="AH44" t="n">
        <v>7</v>
      </c>
      <c r="AI44" t="n">
        <v>7</v>
      </c>
      <c r="AJ44" t="n">
        <v>18</v>
      </c>
      <c r="AK44" t="n">
        <v>18</v>
      </c>
      <c r="AL44" t="n">
        <v>2</v>
      </c>
      <c r="AM44" t="n">
        <v>2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HYPERLINK("http://catalog.hathitrust.org/Record/003495167","HathiTrust Record")</f>
        <v/>
      </c>
      <c r="AS44">
        <f>HYPERLINK("https://creighton-primo.hosted.exlibrisgroup.com/primo-explore/search?tab=default_tab&amp;search_scope=EVERYTHING&amp;vid=01CRU&amp;lang=en_US&amp;offset=0&amp;query=any,contains,991003228579702656","Catalog Record")</f>
        <v/>
      </c>
      <c r="AT44">
        <f>HYPERLINK("http://www.worldcat.org/oclc/44514205","WorldCat Record")</f>
        <v/>
      </c>
      <c r="AU44" t="inlineStr">
        <is>
          <t>34057368:eng</t>
        </is>
      </c>
      <c r="AV44" t="inlineStr">
        <is>
          <t>44514205</t>
        </is>
      </c>
      <c r="AW44" t="inlineStr">
        <is>
          <t>991003228579702656</t>
        </is>
      </c>
      <c r="AX44" t="inlineStr">
        <is>
          <t>991003228579702656</t>
        </is>
      </c>
      <c r="AY44" t="inlineStr">
        <is>
          <t>2263660380002656</t>
        </is>
      </c>
      <c r="AZ44" t="inlineStr">
        <is>
          <t>BOOK</t>
        </is>
      </c>
      <c r="BB44" t="inlineStr">
        <is>
          <t>9780964825345</t>
        </is>
      </c>
      <c r="BC44" t="inlineStr">
        <is>
          <t>32285003689212</t>
        </is>
      </c>
      <c r="BD44" t="inlineStr">
        <is>
          <t>893434777</t>
        </is>
      </c>
    </row>
    <row r="45">
      <c r="A45" t="inlineStr">
        <is>
          <t>No</t>
        </is>
      </c>
      <c r="B45" t="inlineStr">
        <is>
          <t>PB1511 .M3</t>
        </is>
      </c>
      <c r="C45" t="inlineStr">
        <is>
          <t>0                      PB 1511000M  3</t>
        </is>
      </c>
      <c r="D45" t="inlineStr">
        <is>
          <t>Language, education, and social processes in a Gaelic community / Kenneth Mackinnon.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MacKinnon, Kenneth, 1933-</t>
        </is>
      </c>
      <c r="L45" t="inlineStr">
        <is>
          <t>London ; Boston : Routledge and Kegan Paul, 1977.</t>
        </is>
      </c>
      <c r="M45" t="inlineStr">
        <is>
          <t>1977</t>
        </is>
      </c>
      <c r="O45" t="inlineStr">
        <is>
          <t>eng</t>
        </is>
      </c>
      <c r="P45" t="inlineStr">
        <is>
          <t>enk</t>
        </is>
      </c>
      <c r="Q45" t="inlineStr">
        <is>
          <t>Routledge direct editions</t>
        </is>
      </c>
      <c r="R45" t="inlineStr">
        <is>
          <t xml:space="preserve">PB </t>
        </is>
      </c>
      <c r="S45" t="n">
        <v>1</v>
      </c>
      <c r="T45" t="n">
        <v>1</v>
      </c>
      <c r="U45" t="inlineStr">
        <is>
          <t>2005-11-10</t>
        </is>
      </c>
      <c r="V45" t="inlineStr">
        <is>
          <t>2005-11-10</t>
        </is>
      </c>
      <c r="W45" t="inlineStr">
        <is>
          <t>1997-09-11</t>
        </is>
      </c>
      <c r="X45" t="inlineStr">
        <is>
          <t>1997-09-11</t>
        </is>
      </c>
      <c r="Y45" t="n">
        <v>289</v>
      </c>
      <c r="Z45" t="n">
        <v>176</v>
      </c>
      <c r="AA45" t="n">
        <v>184</v>
      </c>
      <c r="AB45" t="n">
        <v>3</v>
      </c>
      <c r="AC45" t="n">
        <v>3</v>
      </c>
      <c r="AD45" t="n">
        <v>6</v>
      </c>
      <c r="AE45" t="n">
        <v>6</v>
      </c>
      <c r="AF45" t="n">
        <v>1</v>
      </c>
      <c r="AG45" t="n">
        <v>1</v>
      </c>
      <c r="AH45" t="n">
        <v>0</v>
      </c>
      <c r="AI45" t="n">
        <v>0</v>
      </c>
      <c r="AJ45" t="n">
        <v>3</v>
      </c>
      <c r="AK45" t="n">
        <v>3</v>
      </c>
      <c r="AL45" t="n">
        <v>2</v>
      </c>
      <c r="AM45" t="n">
        <v>2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HYPERLINK("http://catalog.hathitrust.org/Record/000250849","HathiTrust Record")</f>
        <v/>
      </c>
      <c r="AS45">
        <f>HYPERLINK("https://creighton-primo.hosted.exlibrisgroup.com/primo-explore/search?tab=default_tab&amp;search_scope=EVERYTHING&amp;vid=01CRU&amp;lang=en_US&amp;offset=0&amp;query=any,contains,991004310779702656","Catalog Record")</f>
        <v/>
      </c>
      <c r="AT45">
        <f>HYPERLINK("http://www.worldcat.org/oclc/2993278","WorldCat Record")</f>
        <v/>
      </c>
      <c r="AU45" t="inlineStr">
        <is>
          <t>7324148:eng</t>
        </is>
      </c>
      <c r="AV45" t="inlineStr">
        <is>
          <t>2993278</t>
        </is>
      </c>
      <c r="AW45" t="inlineStr">
        <is>
          <t>991004310779702656</t>
        </is>
      </c>
      <c r="AX45" t="inlineStr">
        <is>
          <t>991004310779702656</t>
        </is>
      </c>
      <c r="AY45" t="inlineStr">
        <is>
          <t>2257140960002656</t>
        </is>
      </c>
      <c r="AZ45" t="inlineStr">
        <is>
          <t>BOOK</t>
        </is>
      </c>
      <c r="BB45" t="inlineStr">
        <is>
          <t>9780710084668</t>
        </is>
      </c>
      <c r="BC45" t="inlineStr">
        <is>
          <t>32285003213567</t>
        </is>
      </c>
      <c r="BD45" t="inlineStr">
        <is>
          <t>893624582</t>
        </is>
      </c>
    </row>
    <row r="46">
      <c r="A46" t="inlineStr">
        <is>
          <t>No</t>
        </is>
      </c>
      <c r="B46" t="inlineStr">
        <is>
          <t>PB1523 .G5 1902</t>
        </is>
      </c>
      <c r="C46" t="inlineStr">
        <is>
          <t>0                      PB 1523000G  5           1902</t>
        </is>
      </c>
      <c r="D46" t="inlineStr">
        <is>
          <t>The elements of Gaelic grammar : based on the work of Rev. Alexander Stewart, D.D. / by H. Cameron Gillies, M.D.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Gillies, H. Cameron (Hugh Cameron)</t>
        </is>
      </c>
      <c r="L46" t="inlineStr">
        <is>
          <t>London : D. Nutt, 1902.</t>
        </is>
      </c>
      <c r="M46" t="inlineStr">
        <is>
          <t>1902</t>
        </is>
      </c>
      <c r="N46" t="inlineStr">
        <is>
          <t>2d ed., with appendix.</t>
        </is>
      </c>
      <c r="O46" t="inlineStr">
        <is>
          <t>eng</t>
        </is>
      </c>
      <c r="P46" t="inlineStr">
        <is>
          <t>enk</t>
        </is>
      </c>
      <c r="R46" t="inlineStr">
        <is>
          <t xml:space="preserve">PB </t>
        </is>
      </c>
      <c r="S46" t="n">
        <v>5</v>
      </c>
      <c r="T46" t="n">
        <v>5</v>
      </c>
      <c r="U46" t="inlineStr">
        <is>
          <t>2009-09-15</t>
        </is>
      </c>
      <c r="V46" t="inlineStr">
        <is>
          <t>2009-09-15</t>
        </is>
      </c>
      <c r="W46" t="inlineStr">
        <is>
          <t>1995-04-11</t>
        </is>
      </c>
      <c r="X46" t="inlineStr">
        <is>
          <t>1995-04-11</t>
        </is>
      </c>
      <c r="Y46" t="n">
        <v>32</v>
      </c>
      <c r="Z46" t="n">
        <v>14</v>
      </c>
      <c r="AA46" t="n">
        <v>33</v>
      </c>
      <c r="AB46" t="n">
        <v>1</v>
      </c>
      <c r="AC46" t="n">
        <v>1</v>
      </c>
      <c r="AD46" t="n">
        <v>2</v>
      </c>
      <c r="AE46" t="n">
        <v>2</v>
      </c>
      <c r="AF46" t="n">
        <v>0</v>
      </c>
      <c r="AG46" t="n">
        <v>0</v>
      </c>
      <c r="AH46" t="n">
        <v>2</v>
      </c>
      <c r="AI46" t="n">
        <v>2</v>
      </c>
      <c r="AJ46" t="n">
        <v>1</v>
      </c>
      <c r="AK46" t="n">
        <v>1</v>
      </c>
      <c r="AL46" t="n">
        <v>0</v>
      </c>
      <c r="AM46" t="n">
        <v>0</v>
      </c>
      <c r="AN46" t="n">
        <v>0</v>
      </c>
      <c r="AO46" t="n">
        <v>0</v>
      </c>
      <c r="AP46" t="inlineStr">
        <is>
          <t>No</t>
        </is>
      </c>
      <c r="AQ46" t="inlineStr">
        <is>
          <t>No</t>
        </is>
      </c>
      <c r="AS46">
        <f>HYPERLINK("https://creighton-primo.hosted.exlibrisgroup.com/primo-explore/search?tab=default_tab&amp;search_scope=EVERYTHING&amp;vid=01CRU&amp;lang=en_US&amp;offset=0&amp;query=any,contains,991004918559702656","Catalog Record")</f>
        <v/>
      </c>
      <c r="AT46">
        <f>HYPERLINK("http://www.worldcat.org/oclc/6037978","WorldCat Record")</f>
        <v/>
      </c>
      <c r="AU46" t="inlineStr">
        <is>
          <t>2287004379:eng</t>
        </is>
      </c>
      <c r="AV46" t="inlineStr">
        <is>
          <t>6037978</t>
        </is>
      </c>
      <c r="AW46" t="inlineStr">
        <is>
          <t>991004918559702656</t>
        </is>
      </c>
      <c r="AX46" t="inlineStr">
        <is>
          <t>991004918559702656</t>
        </is>
      </c>
      <c r="AY46" t="inlineStr">
        <is>
          <t>2261267860002656</t>
        </is>
      </c>
      <c r="AZ46" t="inlineStr">
        <is>
          <t>BOOK</t>
        </is>
      </c>
      <c r="BC46" t="inlineStr">
        <is>
          <t>32285002026242</t>
        </is>
      </c>
      <c r="BD46" t="inlineStr">
        <is>
          <t>893241972</t>
        </is>
      </c>
    </row>
    <row r="47">
      <c r="A47" t="inlineStr">
        <is>
          <t>No</t>
        </is>
      </c>
      <c r="B47" t="inlineStr">
        <is>
          <t>PB1607 .T5 1990</t>
        </is>
      </c>
      <c r="C47" t="inlineStr">
        <is>
          <t>0                      PB 1607000T  5           1990</t>
        </is>
      </c>
      <c r="D47" t="inlineStr">
        <is>
          <t>An introduction to Gaelic poetry / Derick Thomson.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Yes</t>
        </is>
      </c>
      <c r="J47" t="inlineStr">
        <is>
          <t>0</t>
        </is>
      </c>
      <c r="K47" t="inlineStr">
        <is>
          <t>Thomson, Derick S.</t>
        </is>
      </c>
      <c r="L47" t="inlineStr">
        <is>
          <t>Edinburgh : Edinburgh University Press, 1989, c1990.</t>
        </is>
      </c>
      <c r="M47" t="inlineStr">
        <is>
          <t>1989</t>
        </is>
      </c>
      <c r="N47" t="inlineStr">
        <is>
          <t>2nd ed.</t>
        </is>
      </c>
      <c r="O47" t="inlineStr">
        <is>
          <t>eng</t>
        </is>
      </c>
      <c r="P47" t="inlineStr">
        <is>
          <t>stk</t>
        </is>
      </c>
      <c r="R47" t="inlineStr">
        <is>
          <t xml:space="preserve">PB </t>
        </is>
      </c>
      <c r="S47" t="n">
        <v>1</v>
      </c>
      <c r="T47" t="n">
        <v>1</v>
      </c>
      <c r="U47" t="inlineStr">
        <is>
          <t>1992-07-15</t>
        </is>
      </c>
      <c r="V47" t="inlineStr">
        <is>
          <t>1992-07-15</t>
        </is>
      </c>
      <c r="W47" t="inlineStr">
        <is>
          <t>1991-04-03</t>
        </is>
      </c>
      <c r="X47" t="inlineStr">
        <is>
          <t>1991-04-03</t>
        </is>
      </c>
      <c r="Y47" t="n">
        <v>130</v>
      </c>
      <c r="Z47" t="n">
        <v>83</v>
      </c>
      <c r="AA47" t="n">
        <v>610</v>
      </c>
      <c r="AB47" t="n">
        <v>1</v>
      </c>
      <c r="AC47" t="n">
        <v>3</v>
      </c>
      <c r="AD47" t="n">
        <v>1</v>
      </c>
      <c r="AE47" t="n">
        <v>29</v>
      </c>
      <c r="AF47" t="n">
        <v>0</v>
      </c>
      <c r="AG47" t="n">
        <v>14</v>
      </c>
      <c r="AH47" t="n">
        <v>0</v>
      </c>
      <c r="AI47" t="n">
        <v>9</v>
      </c>
      <c r="AJ47" t="n">
        <v>1</v>
      </c>
      <c r="AK47" t="n">
        <v>15</v>
      </c>
      <c r="AL47" t="n">
        <v>0</v>
      </c>
      <c r="AM47" t="n">
        <v>2</v>
      </c>
      <c r="AN47" t="n">
        <v>0</v>
      </c>
      <c r="AO47" t="n">
        <v>0</v>
      </c>
      <c r="AP47" t="inlineStr">
        <is>
          <t>No</t>
        </is>
      </c>
      <c r="AQ47" t="inlineStr">
        <is>
          <t>Yes</t>
        </is>
      </c>
      <c r="AR47">
        <f>HYPERLINK("http://catalog.hathitrust.org/Record/002432452","HathiTrust Record")</f>
        <v/>
      </c>
      <c r="AS47">
        <f>HYPERLINK("https://creighton-primo.hosted.exlibrisgroup.com/primo-explore/search?tab=default_tab&amp;search_scope=EVERYTHING&amp;vid=01CRU&amp;lang=en_US&amp;offset=0&amp;query=any,contains,991001584349702656","Catalog Record")</f>
        <v/>
      </c>
      <c r="AT47">
        <f>HYPERLINK("http://www.worldcat.org/oclc/24248815","WorldCat Record")</f>
        <v/>
      </c>
      <c r="AU47" t="inlineStr">
        <is>
          <t>1806466:eng</t>
        </is>
      </c>
      <c r="AV47" t="inlineStr">
        <is>
          <t>24248815</t>
        </is>
      </c>
      <c r="AW47" t="inlineStr">
        <is>
          <t>991001584349702656</t>
        </is>
      </c>
      <c r="AX47" t="inlineStr">
        <is>
          <t>991001584349702656</t>
        </is>
      </c>
      <c r="AY47" t="inlineStr">
        <is>
          <t>2271238230002656</t>
        </is>
      </c>
      <c r="AZ47" t="inlineStr">
        <is>
          <t>BOOK</t>
        </is>
      </c>
      <c r="BB47" t="inlineStr">
        <is>
          <t>9780748601271</t>
        </is>
      </c>
      <c r="BC47" t="inlineStr">
        <is>
          <t>32285000565324</t>
        </is>
      </c>
      <c r="BD47" t="inlineStr">
        <is>
          <t>893791519</t>
        </is>
      </c>
    </row>
    <row r="48">
      <c r="A48" t="inlineStr">
        <is>
          <t>No</t>
        </is>
      </c>
      <c r="B48" t="inlineStr">
        <is>
          <t>PB1645 .C313 1997</t>
        </is>
      </c>
      <c r="C48" t="inlineStr">
        <is>
          <t>0                      PB 1645000C  313         1997</t>
        </is>
      </c>
      <c r="D48" t="inlineStr">
        <is>
          <t>Charms of the Gaels : hymns and incantations : with illustrative notes on words, rites and customs, dying and obsolete : orally collected in the Highlands and islands of Scotland / by Alexander Carmichael.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Carmichael, Alexander, 1832-1912. Carmina Gadelica. English.</t>
        </is>
      </c>
      <c r="L48" t="inlineStr">
        <is>
          <t>Hudson, NY : Lindisfarne Press, 1997.</t>
        </is>
      </c>
      <c r="M48" t="inlineStr">
        <is>
          <t>1997</t>
        </is>
      </c>
      <c r="N48" t="inlineStr">
        <is>
          <t>Reprinted with revisions.</t>
        </is>
      </c>
      <c r="O48" t="inlineStr">
        <is>
          <t>eng</t>
        </is>
      </c>
      <c r="P48" t="inlineStr">
        <is>
          <t>nyu</t>
        </is>
      </c>
      <c r="R48" t="inlineStr">
        <is>
          <t xml:space="preserve">PB </t>
        </is>
      </c>
      <c r="S48" t="n">
        <v>1</v>
      </c>
      <c r="T48" t="n">
        <v>1</v>
      </c>
      <c r="U48" t="inlineStr">
        <is>
          <t>2004-01-31</t>
        </is>
      </c>
      <c r="V48" t="inlineStr">
        <is>
          <t>2004-01-31</t>
        </is>
      </c>
      <c r="W48" t="inlineStr">
        <is>
          <t>2000-03-23</t>
        </is>
      </c>
      <c r="X48" t="inlineStr">
        <is>
          <t>2000-03-23</t>
        </is>
      </c>
      <c r="Y48" t="n">
        <v>13</v>
      </c>
      <c r="Z48" t="n">
        <v>13</v>
      </c>
      <c r="AA48" t="n">
        <v>80</v>
      </c>
      <c r="AB48" t="n">
        <v>1</v>
      </c>
      <c r="AC48" t="n">
        <v>1</v>
      </c>
      <c r="AD48" t="n">
        <v>2</v>
      </c>
      <c r="AE48" t="n">
        <v>10</v>
      </c>
      <c r="AF48" t="n">
        <v>0</v>
      </c>
      <c r="AG48" t="n">
        <v>3</v>
      </c>
      <c r="AH48" t="n">
        <v>0</v>
      </c>
      <c r="AI48" t="n">
        <v>3</v>
      </c>
      <c r="AJ48" t="n">
        <v>2</v>
      </c>
      <c r="AK48" t="n">
        <v>7</v>
      </c>
      <c r="AL48" t="n">
        <v>0</v>
      </c>
      <c r="AM48" t="n">
        <v>0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HYPERLINK("https://creighton-primo.hosted.exlibrisgroup.com/primo-explore/search?tab=default_tab&amp;search_scope=EVERYTHING&amp;vid=01CRU&amp;lang=en_US&amp;offset=0&amp;query=any,contains,991002926449702656","Catalog Record")</f>
        <v/>
      </c>
      <c r="AT48">
        <f>HYPERLINK("http://www.worldcat.org/oclc/38892951","WorldCat Record")</f>
        <v/>
      </c>
      <c r="AU48" t="inlineStr">
        <is>
          <t>8908494657:eng</t>
        </is>
      </c>
      <c r="AV48" t="inlineStr">
        <is>
          <t>38892951</t>
        </is>
      </c>
      <c r="AW48" t="inlineStr">
        <is>
          <t>991002926449702656</t>
        </is>
      </c>
      <c r="AX48" t="inlineStr">
        <is>
          <t>991002926449702656</t>
        </is>
      </c>
      <c r="AY48" t="inlineStr">
        <is>
          <t>2268818590002656</t>
        </is>
      </c>
      <c r="AZ48" t="inlineStr">
        <is>
          <t>BOOK</t>
        </is>
      </c>
      <c r="BB48" t="inlineStr">
        <is>
          <t>9780940262508</t>
        </is>
      </c>
      <c r="BC48" t="inlineStr">
        <is>
          <t>32285003673588</t>
        </is>
      </c>
      <c r="BD48" t="inlineStr">
        <is>
          <t>893517939</t>
        </is>
      </c>
    </row>
    <row r="49">
      <c r="A49" t="inlineStr">
        <is>
          <t>No</t>
        </is>
      </c>
      <c r="B49" t="inlineStr">
        <is>
          <t>PB1645 .C3213 1996</t>
        </is>
      </c>
      <c r="C49" t="inlineStr">
        <is>
          <t>0                      PB 1645000C  3213        1996</t>
        </is>
      </c>
      <c r="D49" t="inlineStr">
        <is>
          <t>Celtic prayers / translated by Alexander Carmichael ; edited by Trace Murphy.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L49" t="inlineStr">
        <is>
          <t>New York : Image, Doubleday, 1996.</t>
        </is>
      </c>
      <c r="M49" t="inlineStr">
        <is>
          <t>1996</t>
        </is>
      </c>
      <c r="N49" t="inlineStr">
        <is>
          <t>1st Image Books ed.</t>
        </is>
      </c>
      <c r="O49" t="inlineStr">
        <is>
          <t>eng</t>
        </is>
      </c>
      <c r="P49" t="inlineStr">
        <is>
          <t>nyu</t>
        </is>
      </c>
      <c r="R49" t="inlineStr">
        <is>
          <t xml:space="preserve">PB </t>
        </is>
      </c>
      <c r="S49" t="n">
        <v>4</v>
      </c>
      <c r="T49" t="n">
        <v>4</v>
      </c>
      <c r="U49" t="inlineStr">
        <is>
          <t>2007-12-11</t>
        </is>
      </c>
      <c r="V49" t="inlineStr">
        <is>
          <t>2007-12-11</t>
        </is>
      </c>
      <c r="W49" t="inlineStr">
        <is>
          <t>1996-09-04</t>
        </is>
      </c>
      <c r="X49" t="inlineStr">
        <is>
          <t>1996-09-04</t>
        </is>
      </c>
      <c r="Y49" t="n">
        <v>31</v>
      </c>
      <c r="Z49" t="n">
        <v>26</v>
      </c>
      <c r="AA49" t="n">
        <v>90</v>
      </c>
      <c r="AB49" t="n">
        <v>1</v>
      </c>
      <c r="AC49" t="n">
        <v>1</v>
      </c>
      <c r="AD49" t="n">
        <v>1</v>
      </c>
      <c r="AE49" t="n">
        <v>5</v>
      </c>
      <c r="AF49" t="n">
        <v>0</v>
      </c>
      <c r="AG49" t="n">
        <v>1</v>
      </c>
      <c r="AH49" t="n">
        <v>0</v>
      </c>
      <c r="AI49" t="n">
        <v>1</v>
      </c>
      <c r="AJ49" t="n">
        <v>1</v>
      </c>
      <c r="AK49" t="n">
        <v>5</v>
      </c>
      <c r="AL49" t="n">
        <v>0</v>
      </c>
      <c r="AM49" t="n">
        <v>0</v>
      </c>
      <c r="AN49" t="n">
        <v>0</v>
      </c>
      <c r="AO49" t="n">
        <v>0</v>
      </c>
      <c r="AP49" t="inlineStr">
        <is>
          <t>No</t>
        </is>
      </c>
      <c r="AQ49" t="inlineStr">
        <is>
          <t>No</t>
        </is>
      </c>
      <c r="AS49">
        <f>HYPERLINK("https://creighton-primo.hosted.exlibrisgroup.com/primo-explore/search?tab=default_tab&amp;search_scope=EVERYTHING&amp;vid=01CRU&amp;lang=en_US&amp;offset=0&amp;query=any,contains,991002576289702656","Catalog Record")</f>
        <v/>
      </c>
      <c r="AT49">
        <f>HYPERLINK("http://www.worldcat.org/oclc/33664765","WorldCat Record")</f>
        <v/>
      </c>
      <c r="AU49" t="inlineStr">
        <is>
          <t>1809707513:eng</t>
        </is>
      </c>
      <c r="AV49" t="inlineStr">
        <is>
          <t>33664765</t>
        </is>
      </c>
      <c r="AW49" t="inlineStr">
        <is>
          <t>991002576289702656</t>
        </is>
      </c>
      <c r="AX49" t="inlineStr">
        <is>
          <t>991002576289702656</t>
        </is>
      </c>
      <c r="AY49" t="inlineStr">
        <is>
          <t>2259114010002656</t>
        </is>
      </c>
      <c r="AZ49" t="inlineStr">
        <is>
          <t>BOOK</t>
        </is>
      </c>
      <c r="BB49" t="inlineStr">
        <is>
          <t>9780385482417</t>
        </is>
      </c>
      <c r="BC49" t="inlineStr">
        <is>
          <t>32285002294394</t>
        </is>
      </c>
      <c r="BD49" t="inlineStr">
        <is>
          <t>893622445</t>
        </is>
      </c>
    </row>
    <row r="50">
      <c r="A50" t="inlineStr">
        <is>
          <t>No</t>
        </is>
      </c>
      <c r="B50" t="inlineStr">
        <is>
          <t>PB1645 .F579 1998</t>
        </is>
      </c>
      <c r="C50" t="inlineStr">
        <is>
          <t>0                      PB 1645000F  579         1998</t>
        </is>
      </c>
      <c r="D50" t="inlineStr">
        <is>
          <t>A contemporary Celtic prayer book / William John Fitzgerald ; foreword by Joyce Rupp.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Fitzgerald, William John.</t>
        </is>
      </c>
      <c r="L50" t="inlineStr">
        <is>
          <t>Maryland : ACTA Publications, 1998.</t>
        </is>
      </c>
      <c r="M50" t="inlineStr">
        <is>
          <t>1998</t>
        </is>
      </c>
      <c r="O50" t="inlineStr">
        <is>
          <t>eng</t>
        </is>
      </c>
      <c r="P50" t="inlineStr">
        <is>
          <t>mdu</t>
        </is>
      </c>
      <c r="R50" t="inlineStr">
        <is>
          <t xml:space="preserve">PB </t>
        </is>
      </c>
      <c r="S50" t="n">
        <v>2</v>
      </c>
      <c r="T50" t="n">
        <v>2</v>
      </c>
      <c r="U50" t="inlineStr">
        <is>
          <t>2010-01-25</t>
        </is>
      </c>
      <c r="V50" t="inlineStr">
        <is>
          <t>2010-01-25</t>
        </is>
      </c>
      <c r="W50" t="inlineStr">
        <is>
          <t>1998-12-09</t>
        </is>
      </c>
      <c r="X50" t="inlineStr">
        <is>
          <t>1998-12-09</t>
        </is>
      </c>
      <c r="Y50" t="n">
        <v>61</v>
      </c>
      <c r="Z50" t="n">
        <v>61</v>
      </c>
      <c r="AA50" t="n">
        <v>85</v>
      </c>
      <c r="AB50" t="n">
        <v>2</v>
      </c>
      <c r="AC50" t="n">
        <v>2</v>
      </c>
      <c r="AD50" t="n">
        <v>1</v>
      </c>
      <c r="AE50" t="n">
        <v>1</v>
      </c>
      <c r="AF50" t="n">
        <v>0</v>
      </c>
      <c r="AG50" t="n">
        <v>0</v>
      </c>
      <c r="AH50" t="n">
        <v>1</v>
      </c>
      <c r="AI50" t="n">
        <v>1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inlineStr">
        <is>
          <t>No</t>
        </is>
      </c>
      <c r="AQ50" t="inlineStr">
        <is>
          <t>No</t>
        </is>
      </c>
      <c r="AS50">
        <f>HYPERLINK("https://creighton-primo.hosted.exlibrisgroup.com/primo-explore/search?tab=default_tab&amp;search_scope=EVERYTHING&amp;vid=01CRU&amp;lang=en_US&amp;offset=0&amp;query=any,contains,991002994079702656","Catalog Record")</f>
        <v/>
      </c>
      <c r="AT50">
        <f>HYPERLINK("http://www.worldcat.org/oclc/40456789","WorldCat Record")</f>
        <v/>
      </c>
      <c r="AU50" t="inlineStr">
        <is>
          <t>15580675:eng</t>
        </is>
      </c>
      <c r="AV50" t="inlineStr">
        <is>
          <t>40456789</t>
        </is>
      </c>
      <c r="AW50" t="inlineStr">
        <is>
          <t>991002994079702656</t>
        </is>
      </c>
      <c r="AX50" t="inlineStr">
        <is>
          <t>991002994079702656</t>
        </is>
      </c>
      <c r="AY50" t="inlineStr">
        <is>
          <t>2270952530002656</t>
        </is>
      </c>
      <c r="AZ50" t="inlineStr">
        <is>
          <t>BOOK</t>
        </is>
      </c>
      <c r="BB50" t="inlineStr">
        <is>
          <t>9780879461898</t>
        </is>
      </c>
      <c r="BC50" t="inlineStr">
        <is>
          <t>32285003505301</t>
        </is>
      </c>
      <c r="BD50" t="inlineStr">
        <is>
          <t>893887013</t>
        </is>
      </c>
    </row>
    <row r="51">
      <c r="A51" t="inlineStr">
        <is>
          <t>No</t>
        </is>
      </c>
      <c r="B51" t="inlineStr">
        <is>
          <t>PB1648.M328 A26 1990</t>
        </is>
      </c>
      <c r="C51" t="inlineStr">
        <is>
          <t>0                      PB 1648000M  328                A  26          1990</t>
        </is>
      </c>
      <c r="D51" t="inlineStr">
        <is>
          <t>O choille gu Bearradh / Somhairle MacGill-Eain = From wood to ridge : collected poems in Gaelic and English / Sorley MacLean.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MacGill-Eain, Somhairle, 1911-1996.</t>
        </is>
      </c>
      <c r="L51" t="inlineStr">
        <is>
          <t>Manchester : Carcanet, 1990.</t>
        </is>
      </c>
      <c r="M51" t="inlineStr">
        <is>
          <t>1990</t>
        </is>
      </c>
      <c r="N51" t="inlineStr">
        <is>
          <t>Rev. ed.</t>
        </is>
      </c>
      <c r="O51" t="inlineStr">
        <is>
          <t>eng</t>
        </is>
      </c>
      <c r="P51" t="inlineStr">
        <is>
          <t>enk</t>
        </is>
      </c>
      <c r="R51" t="inlineStr">
        <is>
          <t xml:space="preserve">PB </t>
        </is>
      </c>
      <c r="S51" t="n">
        <v>0</v>
      </c>
      <c r="T51" t="n">
        <v>0</v>
      </c>
      <c r="U51" t="inlineStr">
        <is>
          <t>2009-02-13</t>
        </is>
      </c>
      <c r="V51" t="inlineStr">
        <is>
          <t>2009-02-13</t>
        </is>
      </c>
      <c r="W51" t="inlineStr">
        <is>
          <t>1991-03-21</t>
        </is>
      </c>
      <c r="X51" t="inlineStr">
        <is>
          <t>1991-03-21</t>
        </is>
      </c>
      <c r="Y51" t="n">
        <v>69</v>
      </c>
      <c r="Z51" t="n">
        <v>52</v>
      </c>
      <c r="AA51" t="n">
        <v>54</v>
      </c>
      <c r="AB51" t="n">
        <v>1</v>
      </c>
      <c r="AC51" t="n">
        <v>1</v>
      </c>
      <c r="AD51" t="n">
        <v>3</v>
      </c>
      <c r="AE51" t="n">
        <v>3</v>
      </c>
      <c r="AF51" t="n">
        <v>1</v>
      </c>
      <c r="AG51" t="n">
        <v>1</v>
      </c>
      <c r="AH51" t="n">
        <v>1</v>
      </c>
      <c r="AI51" t="n">
        <v>1</v>
      </c>
      <c r="AJ51" t="n">
        <v>2</v>
      </c>
      <c r="AK51" t="n">
        <v>2</v>
      </c>
      <c r="AL51" t="n">
        <v>0</v>
      </c>
      <c r="AM51" t="n">
        <v>0</v>
      </c>
      <c r="AN51" t="n">
        <v>0</v>
      </c>
      <c r="AO51" t="n">
        <v>0</v>
      </c>
      <c r="AP51" t="inlineStr">
        <is>
          <t>No</t>
        </is>
      </c>
      <c r="AQ51" t="inlineStr">
        <is>
          <t>No</t>
        </is>
      </c>
      <c r="AS51">
        <f>HYPERLINK("https://creighton-primo.hosted.exlibrisgroup.com/primo-explore/search?tab=default_tab&amp;search_scope=EVERYTHING&amp;vid=01CRU&amp;lang=en_US&amp;offset=0&amp;query=any,contains,991001810689702656","Catalog Record")</f>
        <v/>
      </c>
      <c r="AT51">
        <f>HYPERLINK("http://www.worldcat.org/oclc/22734658","WorldCat Record")</f>
        <v/>
      </c>
      <c r="AU51" t="inlineStr">
        <is>
          <t>137894765:eng</t>
        </is>
      </c>
      <c r="AV51" t="inlineStr">
        <is>
          <t>22734658</t>
        </is>
      </c>
      <c r="AW51" t="inlineStr">
        <is>
          <t>991001810689702656</t>
        </is>
      </c>
      <c r="AX51" t="inlineStr">
        <is>
          <t>991001810689702656</t>
        </is>
      </c>
      <c r="AY51" t="inlineStr">
        <is>
          <t>2254832360002656</t>
        </is>
      </c>
      <c r="AZ51" t="inlineStr">
        <is>
          <t>BOOK</t>
        </is>
      </c>
      <c r="BB51" t="inlineStr">
        <is>
          <t>9780856358449</t>
        </is>
      </c>
      <c r="BC51" t="inlineStr">
        <is>
          <t>32285000512797</t>
        </is>
      </c>
      <c r="BD51" t="inlineStr">
        <is>
          <t>893779103</t>
        </is>
      </c>
    </row>
    <row r="52">
      <c r="A52" t="inlineStr">
        <is>
          <t>No</t>
        </is>
      </c>
      <c r="B52" t="inlineStr">
        <is>
          <t>PB2363.M2 J6 2000</t>
        </is>
      </c>
      <c r="C52" t="inlineStr">
        <is>
          <t>0                      PB 2363000M  2                  J  6           2000</t>
        </is>
      </c>
      <c r="D52" t="inlineStr">
        <is>
          <t>The Mabinogion / translated by Gwyn Jones and Thomas Jones, with an introduction by Gwyn Jones and a preface by John Updike.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Mabinogion. English.</t>
        </is>
      </c>
      <c r="L52" t="inlineStr">
        <is>
          <t>London : Everyman, 2000.</t>
        </is>
      </c>
      <c r="M52" t="inlineStr">
        <is>
          <t>2000</t>
        </is>
      </c>
      <c r="N52" t="inlineStr">
        <is>
          <t>Revised ed. 1993 / revised by Gwyn Jones and Mair Jones, with a new preface (2000)</t>
        </is>
      </c>
      <c r="O52" t="inlineStr">
        <is>
          <t>eng</t>
        </is>
      </c>
      <c r="P52" t="inlineStr">
        <is>
          <t>enk</t>
        </is>
      </c>
      <c r="Q52" t="inlineStr">
        <is>
          <t>Everyman's library ; 168</t>
        </is>
      </c>
      <c r="R52" t="inlineStr">
        <is>
          <t xml:space="preserve">PB </t>
        </is>
      </c>
      <c r="S52" t="n">
        <v>3</v>
      </c>
      <c r="T52" t="n">
        <v>3</v>
      </c>
      <c r="U52" t="inlineStr">
        <is>
          <t>2003-10-16</t>
        </is>
      </c>
      <c r="V52" t="inlineStr">
        <is>
          <t>2003-10-16</t>
        </is>
      </c>
      <c r="W52" t="inlineStr">
        <is>
          <t>2003-10-16</t>
        </is>
      </c>
      <c r="X52" t="inlineStr">
        <is>
          <t>2003-10-16</t>
        </is>
      </c>
      <c r="Y52" t="n">
        <v>67</v>
      </c>
      <c r="Z52" t="n">
        <v>20</v>
      </c>
      <c r="AA52" t="n">
        <v>52</v>
      </c>
      <c r="AB52" t="n">
        <v>3</v>
      </c>
      <c r="AC52" t="n">
        <v>3</v>
      </c>
      <c r="AD52" t="n">
        <v>3</v>
      </c>
      <c r="AE52" t="n">
        <v>3</v>
      </c>
      <c r="AF52" t="n">
        <v>1</v>
      </c>
      <c r="AG52" t="n">
        <v>1</v>
      </c>
      <c r="AH52" t="n">
        <v>0</v>
      </c>
      <c r="AI52" t="n">
        <v>0</v>
      </c>
      <c r="AJ52" t="n">
        <v>0</v>
      </c>
      <c r="AK52" t="n">
        <v>0</v>
      </c>
      <c r="AL52" t="n">
        <v>2</v>
      </c>
      <c r="AM52" t="n">
        <v>2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HYPERLINK("https://creighton-primo.hosted.exlibrisgroup.com/primo-explore/search?tab=default_tab&amp;search_scope=EVERYTHING&amp;vid=01CRU&amp;lang=en_US&amp;offset=0&amp;query=any,contains,991004153229702656","Catalog Record")</f>
        <v/>
      </c>
      <c r="AT52">
        <f>HYPERLINK("http://www.worldcat.org/oclc/47057050","WorldCat Record")</f>
        <v/>
      </c>
      <c r="AU52" t="inlineStr">
        <is>
          <t>4927275732:eng</t>
        </is>
      </c>
      <c r="AV52" t="inlineStr">
        <is>
          <t>47057050</t>
        </is>
      </c>
      <c r="AW52" t="inlineStr">
        <is>
          <t>991004153229702656</t>
        </is>
      </c>
      <c r="AX52" t="inlineStr">
        <is>
          <t>991004153229702656</t>
        </is>
      </c>
      <c r="AY52" t="inlineStr">
        <is>
          <t>2268462950002656</t>
        </is>
      </c>
      <c r="AZ52" t="inlineStr">
        <is>
          <t>BOOK</t>
        </is>
      </c>
      <c r="BB52" t="inlineStr">
        <is>
          <t>9781857151688</t>
        </is>
      </c>
      <c r="BC52" t="inlineStr">
        <is>
          <t>32285004789318</t>
        </is>
      </c>
      <c r="BD52" t="inlineStr">
        <is>
          <t>893324994</t>
        </is>
      </c>
    </row>
    <row r="53">
      <c r="A53" t="inlineStr">
        <is>
          <t>No</t>
        </is>
      </c>
      <c r="B53" t="inlineStr">
        <is>
          <t>PB35 .H345 1993</t>
        </is>
      </c>
      <c r="C53" t="inlineStr">
        <is>
          <t>0                      PB 0035000H  345         1993</t>
        </is>
      </c>
      <c r="D53" t="inlineStr">
        <is>
          <t>Teaching language in context / Alice Omaggio Hadley.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Hadley, Alice Omaggio, 1947-</t>
        </is>
      </c>
      <c r="L53" t="inlineStr">
        <is>
          <t>Boston, Mass. : Heinle &amp; Heinle, c1993.</t>
        </is>
      </c>
      <c r="M53" t="inlineStr">
        <is>
          <t>1993</t>
        </is>
      </c>
      <c r="N53" t="inlineStr">
        <is>
          <t>2nd ed.</t>
        </is>
      </c>
      <c r="O53" t="inlineStr">
        <is>
          <t>eng</t>
        </is>
      </c>
      <c r="P53" t="inlineStr">
        <is>
          <t>mau</t>
        </is>
      </c>
      <c r="R53" t="inlineStr">
        <is>
          <t xml:space="preserve">PB </t>
        </is>
      </c>
      <c r="S53" t="n">
        <v>6</v>
      </c>
      <c r="T53" t="n">
        <v>6</v>
      </c>
      <c r="U53" t="inlineStr">
        <is>
          <t>2005-10-11</t>
        </is>
      </c>
      <c r="V53" t="inlineStr">
        <is>
          <t>2005-10-11</t>
        </is>
      </c>
      <c r="W53" t="inlineStr">
        <is>
          <t>1997-02-14</t>
        </is>
      </c>
      <c r="X53" t="inlineStr">
        <is>
          <t>1997-02-14</t>
        </is>
      </c>
      <c r="Y53" t="n">
        <v>364</v>
      </c>
      <c r="Z53" t="n">
        <v>284</v>
      </c>
      <c r="AA53" t="n">
        <v>551</v>
      </c>
      <c r="AB53" t="n">
        <v>3</v>
      </c>
      <c r="AC53" t="n">
        <v>5</v>
      </c>
      <c r="AD53" t="n">
        <v>14</v>
      </c>
      <c r="AE53" t="n">
        <v>34</v>
      </c>
      <c r="AF53" t="n">
        <v>7</v>
      </c>
      <c r="AG53" t="n">
        <v>20</v>
      </c>
      <c r="AH53" t="n">
        <v>3</v>
      </c>
      <c r="AI53" t="n">
        <v>4</v>
      </c>
      <c r="AJ53" t="n">
        <v>6</v>
      </c>
      <c r="AK53" t="n">
        <v>14</v>
      </c>
      <c r="AL53" t="n">
        <v>2</v>
      </c>
      <c r="AM53" t="n">
        <v>4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HYPERLINK("http://catalog.hathitrust.org/Record/002736947","HathiTrust Record")</f>
        <v/>
      </c>
      <c r="AS53">
        <f>HYPERLINK("https://creighton-primo.hosted.exlibrisgroup.com/primo-explore/search?tab=default_tab&amp;search_scope=EVERYTHING&amp;vid=01CRU&amp;lang=en_US&amp;offset=0&amp;query=any,contains,991002218109702656","Catalog Record")</f>
        <v/>
      </c>
      <c r="AT53">
        <f>HYPERLINK("http://www.worldcat.org/oclc/28573324","WorldCat Record")</f>
        <v/>
      </c>
      <c r="AU53" t="inlineStr">
        <is>
          <t>4927838062:eng</t>
        </is>
      </c>
      <c r="AV53" t="inlineStr">
        <is>
          <t>28573324</t>
        </is>
      </c>
      <c r="AW53" t="inlineStr">
        <is>
          <t>991002218109702656</t>
        </is>
      </c>
      <c r="AX53" t="inlineStr">
        <is>
          <t>991002218109702656</t>
        </is>
      </c>
      <c r="AY53" t="inlineStr">
        <is>
          <t>2259779350002656</t>
        </is>
      </c>
      <c r="AZ53" t="inlineStr">
        <is>
          <t>BOOK</t>
        </is>
      </c>
      <c r="BB53" t="inlineStr">
        <is>
          <t>9780838440674</t>
        </is>
      </c>
      <c r="BC53" t="inlineStr">
        <is>
          <t>32285002431640</t>
        </is>
      </c>
      <c r="BD53" t="inlineStr">
        <is>
          <t>893347250</t>
        </is>
      </c>
    </row>
    <row r="54">
      <c r="A54" t="inlineStr">
        <is>
          <t>No</t>
        </is>
      </c>
      <c r="B54" t="inlineStr">
        <is>
          <t>PB35 .I57 1992</t>
        </is>
      </c>
      <c r="C54" t="inlineStr">
        <is>
          <t>0                      PB 0035000I  57          1992</t>
        </is>
      </c>
      <c r="D54" t="inlineStr">
        <is>
          <t>Introduction to scholarship in modern languages and literatures / edited by Joseph Gibaldi.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L54" t="inlineStr">
        <is>
          <t>New York : Modern Language Association of America, 1992.</t>
        </is>
      </c>
      <c r="M54" t="inlineStr">
        <is>
          <t>1992</t>
        </is>
      </c>
      <c r="N54" t="inlineStr">
        <is>
          <t>2nd ed.</t>
        </is>
      </c>
      <c r="O54" t="inlineStr">
        <is>
          <t>eng</t>
        </is>
      </c>
      <c r="P54" t="inlineStr">
        <is>
          <t>nyu</t>
        </is>
      </c>
      <c r="R54" t="inlineStr">
        <is>
          <t xml:space="preserve">PB </t>
        </is>
      </c>
      <c r="S54" t="n">
        <v>1</v>
      </c>
      <c r="T54" t="n">
        <v>1</v>
      </c>
      <c r="U54" t="inlineStr">
        <is>
          <t>2008-08-11</t>
        </is>
      </c>
      <c r="V54" t="inlineStr">
        <is>
          <t>2008-08-11</t>
        </is>
      </c>
      <c r="W54" t="inlineStr">
        <is>
          <t>2008-08-11</t>
        </is>
      </c>
      <c r="X54" t="inlineStr">
        <is>
          <t>2008-08-11</t>
        </is>
      </c>
      <c r="Y54" t="n">
        <v>707</v>
      </c>
      <c r="Z54" t="n">
        <v>601</v>
      </c>
      <c r="AA54" t="n">
        <v>738</v>
      </c>
      <c r="AB54" t="n">
        <v>6</v>
      </c>
      <c r="AC54" t="n">
        <v>6</v>
      </c>
      <c r="AD54" t="n">
        <v>37</v>
      </c>
      <c r="AE54" t="n">
        <v>39</v>
      </c>
      <c r="AF54" t="n">
        <v>13</v>
      </c>
      <c r="AG54" t="n">
        <v>14</v>
      </c>
      <c r="AH54" t="n">
        <v>8</v>
      </c>
      <c r="AI54" t="n">
        <v>10</v>
      </c>
      <c r="AJ54" t="n">
        <v>19</v>
      </c>
      <c r="AK54" t="n">
        <v>20</v>
      </c>
      <c r="AL54" t="n">
        <v>5</v>
      </c>
      <c r="AM54" t="n">
        <v>5</v>
      </c>
      <c r="AN54" t="n">
        <v>0</v>
      </c>
      <c r="AO54" t="n">
        <v>0</v>
      </c>
      <c r="AP54" t="inlineStr">
        <is>
          <t>No</t>
        </is>
      </c>
      <c r="AQ54" t="inlineStr">
        <is>
          <t>No</t>
        </is>
      </c>
      <c r="AS54">
        <f>HYPERLINK("https://creighton-primo.hosted.exlibrisgroup.com/primo-explore/search?tab=default_tab&amp;search_scope=EVERYTHING&amp;vid=01CRU&amp;lang=en_US&amp;offset=0&amp;query=any,contains,991005043899702656","Catalog Record")</f>
        <v/>
      </c>
      <c r="AT54">
        <f>HYPERLINK("http://www.worldcat.org/oclc/25008548","WorldCat Record")</f>
        <v/>
      </c>
      <c r="AU54" t="inlineStr">
        <is>
          <t>54430028:eng</t>
        </is>
      </c>
      <c r="AV54" t="inlineStr">
        <is>
          <t>25008548</t>
        </is>
      </c>
      <c r="AW54" t="inlineStr">
        <is>
          <t>991005043899702656</t>
        </is>
      </c>
      <c r="AX54" t="inlineStr">
        <is>
          <t>991005043899702656</t>
        </is>
      </c>
      <c r="AY54" t="inlineStr">
        <is>
          <t>2268937530002656</t>
        </is>
      </c>
      <c r="AZ54" t="inlineStr">
        <is>
          <t>BOOK</t>
        </is>
      </c>
      <c r="BB54" t="inlineStr">
        <is>
          <t>9780873523851</t>
        </is>
      </c>
      <c r="BC54" t="inlineStr">
        <is>
          <t>32285005452494</t>
        </is>
      </c>
      <c r="BD54" t="inlineStr">
        <is>
          <t>893870426</t>
        </is>
      </c>
    </row>
    <row r="55">
      <c r="A55" t="inlineStr">
        <is>
          <t>No</t>
        </is>
      </c>
      <c r="B55" t="inlineStr">
        <is>
          <t>PB35 .T43 1983</t>
        </is>
      </c>
      <c r="C55" t="inlineStr">
        <is>
          <t>0                      PB 0035000T  43          1983</t>
        </is>
      </c>
      <c r="D55" t="inlineStr">
        <is>
          <t>Teaching modern languages / edited by G. Richardson.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L55" t="inlineStr">
        <is>
          <t>London : Croom Helm ; New York : Nichols Pub. Co., 1983.</t>
        </is>
      </c>
      <c r="M55" t="inlineStr">
        <is>
          <t>1983</t>
        </is>
      </c>
      <c r="O55" t="inlineStr">
        <is>
          <t>eng</t>
        </is>
      </c>
      <c r="P55" t="inlineStr">
        <is>
          <t>enk</t>
        </is>
      </c>
      <c r="R55" t="inlineStr">
        <is>
          <t xml:space="preserve">PB </t>
        </is>
      </c>
      <c r="S55" t="n">
        <v>1</v>
      </c>
      <c r="T55" t="n">
        <v>1</v>
      </c>
      <c r="U55" t="inlineStr">
        <is>
          <t>2005-10-11</t>
        </is>
      </c>
      <c r="V55" t="inlineStr">
        <is>
          <t>2005-10-11</t>
        </is>
      </c>
      <c r="W55" t="inlineStr">
        <is>
          <t>1993-04-14</t>
        </is>
      </c>
      <c r="X55" t="inlineStr">
        <is>
          <t>1993-04-14</t>
        </is>
      </c>
      <c r="Y55" t="n">
        <v>478</v>
      </c>
      <c r="Z55" t="n">
        <v>368</v>
      </c>
      <c r="AA55" t="n">
        <v>379</v>
      </c>
      <c r="AB55" t="n">
        <v>2</v>
      </c>
      <c r="AC55" t="n">
        <v>2</v>
      </c>
      <c r="AD55" t="n">
        <v>13</v>
      </c>
      <c r="AE55" t="n">
        <v>13</v>
      </c>
      <c r="AF55" t="n">
        <v>6</v>
      </c>
      <c r="AG55" t="n">
        <v>6</v>
      </c>
      <c r="AH55" t="n">
        <v>1</v>
      </c>
      <c r="AI55" t="n">
        <v>1</v>
      </c>
      <c r="AJ55" t="n">
        <v>7</v>
      </c>
      <c r="AK55" t="n">
        <v>7</v>
      </c>
      <c r="AL55" t="n">
        <v>1</v>
      </c>
      <c r="AM55" t="n">
        <v>1</v>
      </c>
      <c r="AN55" t="n">
        <v>0</v>
      </c>
      <c r="AO55" t="n">
        <v>0</v>
      </c>
      <c r="AP55" t="inlineStr">
        <is>
          <t>No</t>
        </is>
      </c>
      <c r="AQ55" t="inlineStr">
        <is>
          <t>No</t>
        </is>
      </c>
      <c r="AS55">
        <f>HYPERLINK("https://creighton-primo.hosted.exlibrisgroup.com/primo-explore/search?tab=default_tab&amp;search_scope=EVERYTHING&amp;vid=01CRU&amp;lang=en_US&amp;offset=0&amp;query=any,contains,991000185349702656","Catalog Record")</f>
        <v/>
      </c>
      <c r="AT55">
        <f>HYPERLINK("http://www.worldcat.org/oclc/9393433","WorldCat Record")</f>
        <v/>
      </c>
      <c r="AU55" t="inlineStr">
        <is>
          <t>355894025:eng</t>
        </is>
      </c>
      <c r="AV55" t="inlineStr">
        <is>
          <t>9393433</t>
        </is>
      </c>
      <c r="AW55" t="inlineStr">
        <is>
          <t>991000185349702656</t>
        </is>
      </c>
      <c r="AX55" t="inlineStr">
        <is>
          <t>991000185349702656</t>
        </is>
      </c>
      <c r="AY55" t="inlineStr">
        <is>
          <t>2265988270002656</t>
        </is>
      </c>
      <c r="AZ55" t="inlineStr">
        <is>
          <t>BOOK</t>
        </is>
      </c>
      <c r="BB55" t="inlineStr">
        <is>
          <t>9780893971571</t>
        </is>
      </c>
      <c r="BC55" t="inlineStr">
        <is>
          <t>32285001639573</t>
        </is>
      </c>
      <c r="BD55" t="inlineStr">
        <is>
          <t>893607733</t>
        </is>
      </c>
    </row>
    <row r="56">
      <c r="A56" t="inlineStr">
        <is>
          <t>No</t>
        </is>
      </c>
      <c r="B56" t="inlineStr">
        <is>
          <t>PB38.U6 S5</t>
        </is>
      </c>
      <c r="C56" t="inlineStr">
        <is>
          <t>0                      PB 0038000U  6                  S  5</t>
        </is>
      </c>
      <c r="D56" t="inlineStr">
        <is>
          <t>The tongue-tied American : confronting the foreign language crisis / by Paul Simon.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Simon, Paul, 1928-2003.</t>
        </is>
      </c>
      <c r="L56" t="inlineStr">
        <is>
          <t>New York : Continuum, c1980.</t>
        </is>
      </c>
      <c r="M56" t="inlineStr">
        <is>
          <t>1980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PB </t>
        </is>
      </c>
      <c r="S56" t="n">
        <v>3</v>
      </c>
      <c r="T56" t="n">
        <v>3</v>
      </c>
      <c r="U56" t="inlineStr">
        <is>
          <t>1996-02-22</t>
        </is>
      </c>
      <c r="V56" t="inlineStr">
        <is>
          <t>1996-02-22</t>
        </is>
      </c>
      <c r="W56" t="inlineStr">
        <is>
          <t>1993-04-14</t>
        </is>
      </c>
      <c r="X56" t="inlineStr">
        <is>
          <t>1993-04-14</t>
        </is>
      </c>
      <c r="Y56" t="n">
        <v>1021</v>
      </c>
      <c r="Z56" t="n">
        <v>982</v>
      </c>
      <c r="AA56" t="n">
        <v>1077</v>
      </c>
      <c r="AB56" t="n">
        <v>11</v>
      </c>
      <c r="AC56" t="n">
        <v>11</v>
      </c>
      <c r="AD56" t="n">
        <v>37</v>
      </c>
      <c r="AE56" t="n">
        <v>40</v>
      </c>
      <c r="AF56" t="n">
        <v>17</v>
      </c>
      <c r="AG56" t="n">
        <v>18</v>
      </c>
      <c r="AH56" t="n">
        <v>8</v>
      </c>
      <c r="AI56" t="n">
        <v>8</v>
      </c>
      <c r="AJ56" t="n">
        <v>16</v>
      </c>
      <c r="AK56" t="n">
        <v>17</v>
      </c>
      <c r="AL56" t="n">
        <v>7</v>
      </c>
      <c r="AM56" t="n">
        <v>7</v>
      </c>
      <c r="AN56" t="n">
        <v>0</v>
      </c>
      <c r="AO56" t="n">
        <v>1</v>
      </c>
      <c r="AP56" t="inlineStr">
        <is>
          <t>No</t>
        </is>
      </c>
      <c r="AQ56" t="inlineStr">
        <is>
          <t>Yes</t>
        </is>
      </c>
      <c r="AR56">
        <f>HYPERLINK("http://catalog.hathitrust.org/Record/000732144","HathiTrust Record")</f>
        <v/>
      </c>
      <c r="AS56">
        <f>HYPERLINK("https://creighton-primo.hosted.exlibrisgroup.com/primo-explore/search?tab=default_tab&amp;search_scope=EVERYTHING&amp;vid=01CRU&amp;lang=en_US&amp;offset=0&amp;query=any,contains,991004984509702656","Catalog Record")</f>
        <v/>
      </c>
      <c r="AT56">
        <f>HYPERLINK("http://www.worldcat.org/oclc/6446854","WorldCat Record")</f>
        <v/>
      </c>
      <c r="AU56" t="inlineStr">
        <is>
          <t>292082641:eng</t>
        </is>
      </c>
      <c r="AV56" t="inlineStr">
        <is>
          <t>6446854</t>
        </is>
      </c>
      <c r="AW56" t="inlineStr">
        <is>
          <t>991004984509702656</t>
        </is>
      </c>
      <c r="AX56" t="inlineStr">
        <is>
          <t>991004984509702656</t>
        </is>
      </c>
      <c r="AY56" t="inlineStr">
        <is>
          <t>2255946660002656</t>
        </is>
      </c>
      <c r="AZ56" t="inlineStr">
        <is>
          <t>BOOK</t>
        </is>
      </c>
      <c r="BB56" t="inlineStr">
        <is>
          <t>9780826400222</t>
        </is>
      </c>
      <c r="BC56" t="inlineStr">
        <is>
          <t>32285001639615</t>
        </is>
      </c>
      <c r="BD56" t="inlineStr">
        <is>
          <t>893344477</t>
        </is>
      </c>
    </row>
    <row r="57">
      <c r="A57" t="inlineStr">
        <is>
          <t>No</t>
        </is>
      </c>
      <c r="B57" t="inlineStr">
        <is>
          <t>PB6 .M45 1941</t>
        </is>
      </c>
      <c r="C57" t="inlineStr">
        <is>
          <t>0                      PB 0006000M  45          1941</t>
        </is>
      </c>
      <c r="D57" t="inlineStr">
        <is>
          <t>A graded Spanish word book / compiled by Milton A. Buchanan.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L57" t="inlineStr">
        <is>
          <t>Toronto : University of Toronto Press, 1929 [reprinted 1941].</t>
        </is>
      </c>
      <c r="M57" t="inlineStr">
        <is>
          <t>1941</t>
        </is>
      </c>
      <c r="N57" t="inlineStr">
        <is>
          <t>3rd ed.</t>
        </is>
      </c>
      <c r="O57" t="inlineStr">
        <is>
          <t>eng</t>
        </is>
      </c>
      <c r="P57" t="inlineStr">
        <is>
          <t>onc</t>
        </is>
      </c>
      <c r="Q57" t="inlineStr">
        <is>
          <t>American and Candadian committees on modern languages. Publications ; volume III.</t>
        </is>
      </c>
      <c r="R57" t="inlineStr">
        <is>
          <t xml:space="preserve">PB </t>
        </is>
      </c>
      <c r="S57" t="n">
        <v>0</v>
      </c>
      <c r="T57" t="n">
        <v>0</v>
      </c>
      <c r="U57" t="inlineStr">
        <is>
          <t>2003-07-08</t>
        </is>
      </c>
      <c r="V57" t="inlineStr">
        <is>
          <t>2003-07-08</t>
        </is>
      </c>
      <c r="W57" t="inlineStr">
        <is>
          <t>1997-09-10</t>
        </is>
      </c>
      <c r="X57" t="inlineStr">
        <is>
          <t>1997-09-10</t>
        </is>
      </c>
      <c r="Y57" t="n">
        <v>16</v>
      </c>
      <c r="Z57" t="n">
        <v>13</v>
      </c>
      <c r="AA57" t="n">
        <v>123</v>
      </c>
      <c r="AB57" t="n">
        <v>2</v>
      </c>
      <c r="AC57" t="n">
        <v>4</v>
      </c>
      <c r="AD57" t="n">
        <v>1</v>
      </c>
      <c r="AE57" t="n">
        <v>4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1</v>
      </c>
      <c r="AL57" t="n">
        <v>1</v>
      </c>
      <c r="AM57" t="n">
        <v>3</v>
      </c>
      <c r="AN57" t="n">
        <v>0</v>
      </c>
      <c r="AO57" t="n">
        <v>0</v>
      </c>
      <c r="AP57" t="inlineStr">
        <is>
          <t>No</t>
        </is>
      </c>
      <c r="AQ57" t="inlineStr">
        <is>
          <t>No</t>
        </is>
      </c>
      <c r="AR57">
        <f>HYPERLINK("http://catalog.hathitrust.org/Record/101005483","HathiTrust Record")</f>
        <v/>
      </c>
      <c r="AS57">
        <f>HYPERLINK("https://creighton-primo.hosted.exlibrisgroup.com/primo-explore/search?tab=default_tab&amp;search_scope=EVERYTHING&amp;vid=01CRU&amp;lang=en_US&amp;offset=0&amp;query=any,contains,991000727409702656","Catalog Record")</f>
        <v/>
      </c>
      <c r="AT57">
        <f>HYPERLINK("http://www.worldcat.org/oclc/12709468","WorldCat Record")</f>
        <v/>
      </c>
      <c r="AU57" t="inlineStr">
        <is>
          <t>1956634:eng</t>
        </is>
      </c>
      <c r="AV57" t="inlineStr">
        <is>
          <t>12709468</t>
        </is>
      </c>
      <c r="AW57" t="inlineStr">
        <is>
          <t>991000727409702656</t>
        </is>
      </c>
      <c r="AX57" t="inlineStr">
        <is>
          <t>991000727409702656</t>
        </is>
      </c>
      <c r="AY57" t="inlineStr">
        <is>
          <t>2271468060002656</t>
        </is>
      </c>
      <c r="AZ57" t="inlineStr">
        <is>
          <t>BOOK</t>
        </is>
      </c>
      <c r="BC57" t="inlineStr">
        <is>
          <t>32285003213062</t>
        </is>
      </c>
      <c r="BD57" t="inlineStr">
        <is>
          <t>893225251</t>
        </is>
      </c>
    </row>
    <row r="58">
      <c r="A58" t="inlineStr">
        <is>
          <t>No</t>
        </is>
      </c>
      <c r="B58" t="inlineStr">
        <is>
          <t>PC1111 .M722 1920</t>
        </is>
      </c>
      <c r="C58" t="inlineStr">
        <is>
          <t>0                      PC 1111000M  722         1920</t>
        </is>
      </c>
      <c r="D58" t="inlineStr">
        <is>
          <t>An elementary grammar of the Italian language / by A. Marinoni.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Marinoni, A. (Antonio), 1879-1944.</t>
        </is>
      </c>
      <c r="L58" t="inlineStr">
        <is>
          <t>New York : Brentano's, [1920]</t>
        </is>
      </c>
      <c r="M58" t="inlineStr">
        <is>
          <t>1920</t>
        </is>
      </c>
      <c r="O58" t="inlineStr">
        <is>
          <t>eng</t>
        </is>
      </c>
      <c r="P58" t="inlineStr">
        <is>
          <t>nyu</t>
        </is>
      </c>
      <c r="R58" t="inlineStr">
        <is>
          <t xml:space="preserve">PC </t>
        </is>
      </c>
      <c r="S58" t="n">
        <v>7</v>
      </c>
      <c r="T58" t="n">
        <v>7</v>
      </c>
      <c r="U58" t="inlineStr">
        <is>
          <t>2009-07-09</t>
        </is>
      </c>
      <c r="V58" t="inlineStr">
        <is>
          <t>2009-07-09</t>
        </is>
      </c>
      <c r="W58" t="inlineStr">
        <is>
          <t>1991-10-23</t>
        </is>
      </c>
      <c r="X58" t="inlineStr">
        <is>
          <t>1991-10-23</t>
        </is>
      </c>
      <c r="Y58" t="n">
        <v>25</v>
      </c>
      <c r="Z58" t="n">
        <v>25</v>
      </c>
      <c r="AA58" t="n">
        <v>48</v>
      </c>
      <c r="AB58" t="n">
        <v>1</v>
      </c>
      <c r="AC58" t="n">
        <v>1</v>
      </c>
      <c r="AD58" t="n">
        <v>2</v>
      </c>
      <c r="AE58" t="n">
        <v>4</v>
      </c>
      <c r="AF58" t="n">
        <v>1</v>
      </c>
      <c r="AG58" t="n">
        <v>2</v>
      </c>
      <c r="AH58" t="n">
        <v>0</v>
      </c>
      <c r="AI58" t="n">
        <v>0</v>
      </c>
      <c r="AJ58" t="n">
        <v>1</v>
      </c>
      <c r="AK58" t="n">
        <v>2</v>
      </c>
      <c r="AL58" t="n">
        <v>0</v>
      </c>
      <c r="AM58" t="n">
        <v>0</v>
      </c>
      <c r="AN58" t="n">
        <v>0</v>
      </c>
      <c r="AO58" t="n">
        <v>0</v>
      </c>
      <c r="AP58" t="inlineStr">
        <is>
          <t>Yes</t>
        </is>
      </c>
      <c r="AQ58" t="inlineStr">
        <is>
          <t>No</t>
        </is>
      </c>
      <c r="AR58">
        <f>HYPERLINK("http://catalog.hathitrust.org/Record/100414515","HathiTrust Record")</f>
        <v/>
      </c>
      <c r="AS58">
        <f>HYPERLINK("https://creighton-primo.hosted.exlibrisgroup.com/primo-explore/search?tab=default_tab&amp;search_scope=EVERYTHING&amp;vid=01CRU&amp;lang=en_US&amp;offset=0&amp;query=any,contains,991005372089702656","Catalog Record")</f>
        <v/>
      </c>
      <c r="AT58">
        <f>HYPERLINK("http://www.worldcat.org/oclc/4066529","WorldCat Record")</f>
        <v/>
      </c>
      <c r="AU58" t="inlineStr">
        <is>
          <t>47081370:eng</t>
        </is>
      </c>
      <c r="AV58" t="inlineStr">
        <is>
          <t>4066529</t>
        </is>
      </c>
      <c r="AW58" t="inlineStr">
        <is>
          <t>991005372089702656</t>
        </is>
      </c>
      <c r="AX58" t="inlineStr">
        <is>
          <t>991005372089702656</t>
        </is>
      </c>
      <c r="AY58" t="inlineStr">
        <is>
          <t>2268608060002656</t>
        </is>
      </c>
      <c r="AZ58" t="inlineStr">
        <is>
          <t>BOOK</t>
        </is>
      </c>
      <c r="BC58" t="inlineStr">
        <is>
          <t>32285000776822</t>
        </is>
      </c>
      <c r="BD58" t="inlineStr">
        <is>
          <t>893236743</t>
        </is>
      </c>
    </row>
    <row r="59">
      <c r="A59" t="inlineStr">
        <is>
          <t>No</t>
        </is>
      </c>
      <c r="B59" t="inlineStr">
        <is>
          <t>PC1111 .R87 1941</t>
        </is>
      </c>
      <c r="C59" t="inlineStr">
        <is>
          <t>0                      PC 1111000R  87          1941</t>
        </is>
      </c>
      <c r="D59" t="inlineStr">
        <is>
          <t>Second year Italian / by Joseph Louis Russo.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Russo, Joseph Louis, 1884-1971.</t>
        </is>
      </c>
      <c r="L59" t="inlineStr">
        <is>
          <t>Boston ; New York [etc.] : D.C. Heath and company, [c1941]</t>
        </is>
      </c>
      <c r="M59" t="inlineStr">
        <is>
          <t>1941</t>
        </is>
      </c>
      <c r="O59" t="inlineStr">
        <is>
          <t>eng</t>
        </is>
      </c>
      <c r="P59" t="inlineStr">
        <is>
          <t>mau</t>
        </is>
      </c>
      <c r="Q59" t="inlineStr">
        <is>
          <t>Heath's modern language series</t>
        </is>
      </c>
      <c r="R59" t="inlineStr">
        <is>
          <t xml:space="preserve">PC </t>
        </is>
      </c>
      <c r="S59" t="n">
        <v>5</v>
      </c>
      <c r="T59" t="n">
        <v>5</v>
      </c>
      <c r="U59" t="inlineStr">
        <is>
          <t>2005-07-29</t>
        </is>
      </c>
      <c r="V59" t="inlineStr">
        <is>
          <t>2005-07-29</t>
        </is>
      </c>
      <c r="W59" t="inlineStr">
        <is>
          <t>1993-04-15</t>
        </is>
      </c>
      <c r="X59" t="inlineStr">
        <is>
          <t>1993-04-15</t>
        </is>
      </c>
      <c r="Y59" t="n">
        <v>63</v>
      </c>
      <c r="Z59" t="n">
        <v>43</v>
      </c>
      <c r="AA59" t="n">
        <v>45</v>
      </c>
      <c r="AB59" t="n">
        <v>1</v>
      </c>
      <c r="AC59" t="n">
        <v>1</v>
      </c>
      <c r="AD59" t="n">
        <v>3</v>
      </c>
      <c r="AE59" t="n">
        <v>3</v>
      </c>
      <c r="AF59" t="n">
        <v>2</v>
      </c>
      <c r="AG59" t="n">
        <v>2</v>
      </c>
      <c r="AH59" t="n">
        <v>0</v>
      </c>
      <c r="AI59" t="n">
        <v>0</v>
      </c>
      <c r="AJ59" t="n">
        <v>3</v>
      </c>
      <c r="AK59" t="n">
        <v>3</v>
      </c>
      <c r="AL59" t="n">
        <v>0</v>
      </c>
      <c r="AM59" t="n">
        <v>0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R59">
        <f>HYPERLINK("http://catalog.hathitrust.org/Record/101849567","HathiTrust Record")</f>
        <v/>
      </c>
      <c r="AS59">
        <f>HYPERLINK("https://creighton-primo.hosted.exlibrisgroup.com/primo-explore/search?tab=default_tab&amp;search_scope=EVERYTHING&amp;vid=01CRU&amp;lang=en_US&amp;offset=0&amp;query=any,contains,991003957529702656","Catalog Record")</f>
        <v/>
      </c>
      <c r="AT59">
        <f>HYPERLINK("http://www.worldcat.org/oclc/1971080","WorldCat Record")</f>
        <v/>
      </c>
      <c r="AU59" t="inlineStr">
        <is>
          <t>2704485:eng</t>
        </is>
      </c>
      <c r="AV59" t="inlineStr">
        <is>
          <t>1971080</t>
        </is>
      </c>
      <c r="AW59" t="inlineStr">
        <is>
          <t>991003957529702656</t>
        </is>
      </c>
      <c r="AX59" t="inlineStr">
        <is>
          <t>991003957529702656</t>
        </is>
      </c>
      <c r="AY59" t="inlineStr">
        <is>
          <t>2265064320002656</t>
        </is>
      </c>
      <c r="AZ59" t="inlineStr">
        <is>
          <t>BOOK</t>
        </is>
      </c>
      <c r="BC59" t="inlineStr">
        <is>
          <t>32285001645091</t>
        </is>
      </c>
      <c r="BD59" t="inlineStr">
        <is>
          <t>893435708</t>
        </is>
      </c>
    </row>
    <row r="60">
      <c r="A60" t="inlineStr">
        <is>
          <t>No</t>
        </is>
      </c>
      <c r="B60" t="inlineStr">
        <is>
          <t>PC1111 .W5</t>
        </is>
      </c>
      <c r="C60" t="inlineStr">
        <is>
          <t>0                      PC 1111000W  5</t>
        </is>
      </c>
      <c r="D60" t="inlineStr">
        <is>
          <t>First Italian book / by Ernest Hatch Wilkins.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Wilkins, Ernest Hatch, 1880-1966.</t>
        </is>
      </c>
      <c r="L60" t="inlineStr">
        <is>
          <t>Boston : D.C. Heath ; Chicago, Ill. : The University of Chicago press, [c1920]</t>
        </is>
      </c>
      <c r="M60" t="inlineStr">
        <is>
          <t>1920</t>
        </is>
      </c>
      <c r="O60" t="inlineStr">
        <is>
          <t>eng</t>
        </is>
      </c>
      <c r="P60" t="inlineStr">
        <is>
          <t>ilu</t>
        </is>
      </c>
      <c r="Q60" t="inlineStr">
        <is>
          <t>The University of Chicago Italian series</t>
        </is>
      </c>
      <c r="R60" t="inlineStr">
        <is>
          <t xml:space="preserve">PC </t>
        </is>
      </c>
      <c r="S60" t="n">
        <v>12</v>
      </c>
      <c r="T60" t="n">
        <v>12</v>
      </c>
      <c r="U60" t="inlineStr">
        <is>
          <t>2005-07-29</t>
        </is>
      </c>
      <c r="V60" t="inlineStr">
        <is>
          <t>2005-07-29</t>
        </is>
      </c>
      <c r="W60" t="inlineStr">
        <is>
          <t>1992-05-07</t>
        </is>
      </c>
      <c r="X60" t="inlineStr">
        <is>
          <t>1992-05-07</t>
        </is>
      </c>
      <c r="Y60" t="n">
        <v>53</v>
      </c>
      <c r="Z60" t="n">
        <v>52</v>
      </c>
      <c r="AA60" t="n">
        <v>78</v>
      </c>
      <c r="AB60" t="n">
        <v>1</v>
      </c>
      <c r="AC60" t="n">
        <v>2</v>
      </c>
      <c r="AD60" t="n">
        <v>1</v>
      </c>
      <c r="AE60" t="n">
        <v>4</v>
      </c>
      <c r="AF60" t="n">
        <v>0</v>
      </c>
      <c r="AG60" t="n">
        <v>0</v>
      </c>
      <c r="AH60" t="n">
        <v>1</v>
      </c>
      <c r="AI60" t="n">
        <v>2</v>
      </c>
      <c r="AJ60" t="n">
        <v>0</v>
      </c>
      <c r="AK60" t="n">
        <v>1</v>
      </c>
      <c r="AL60" t="n">
        <v>0</v>
      </c>
      <c r="AM60" t="n">
        <v>1</v>
      </c>
      <c r="AN60" t="n">
        <v>0</v>
      </c>
      <c r="AO60" t="n">
        <v>0</v>
      </c>
      <c r="AP60" t="inlineStr">
        <is>
          <t>Yes</t>
        </is>
      </c>
      <c r="AQ60" t="inlineStr">
        <is>
          <t>No</t>
        </is>
      </c>
      <c r="AR60">
        <f>HYPERLINK("http://catalog.hathitrust.org/Record/008015203","HathiTrust Record")</f>
        <v/>
      </c>
      <c r="AS60">
        <f>HYPERLINK("https://creighton-primo.hosted.exlibrisgroup.com/primo-explore/search?tab=default_tab&amp;search_scope=EVERYTHING&amp;vid=01CRU&amp;lang=en_US&amp;offset=0&amp;query=any,contains,991005370269702656","Catalog Record")</f>
        <v/>
      </c>
      <c r="AT60">
        <f>HYPERLINK("http://www.worldcat.org/oclc/2821711","WorldCat Record")</f>
        <v/>
      </c>
      <c r="AU60" t="inlineStr">
        <is>
          <t>6276386:eng</t>
        </is>
      </c>
      <c r="AV60" t="inlineStr">
        <is>
          <t>2821711</t>
        </is>
      </c>
      <c r="AW60" t="inlineStr">
        <is>
          <t>991005370269702656</t>
        </is>
      </c>
      <c r="AX60" t="inlineStr">
        <is>
          <t>991005370269702656</t>
        </is>
      </c>
      <c r="AY60" t="inlineStr">
        <is>
          <t>2263152530002656</t>
        </is>
      </c>
      <c r="AZ60" t="inlineStr">
        <is>
          <t>BOOK</t>
        </is>
      </c>
      <c r="BC60" t="inlineStr">
        <is>
          <t>32285001094415</t>
        </is>
      </c>
      <c r="BD60" t="inlineStr">
        <is>
          <t>893351171</t>
        </is>
      </c>
    </row>
    <row r="61">
      <c r="A61" t="inlineStr">
        <is>
          <t>No</t>
        </is>
      </c>
      <c r="B61" t="inlineStr">
        <is>
          <t>PC1112 .T65</t>
        </is>
      </c>
      <c r="C61" t="inlineStr">
        <is>
          <t>0                      PC 1112000T  65</t>
        </is>
      </c>
      <c r="D61" t="inlineStr">
        <is>
          <t>Idioma in prospettiva secondo corso d'Italiano / Vincenzo Traversa ; Profili da Ii Gattopardo.</t>
        </is>
      </c>
      <c r="F61" t="inlineStr">
        <is>
          <t>No</t>
        </is>
      </c>
      <c r="G61" t="inlineStr">
        <is>
          <t>1</t>
        </is>
      </c>
      <c r="H61" t="inlineStr">
        <is>
          <t>Yes</t>
        </is>
      </c>
      <c r="I61" t="inlineStr">
        <is>
          <t>No</t>
        </is>
      </c>
      <c r="J61" t="inlineStr">
        <is>
          <t>0</t>
        </is>
      </c>
      <c r="K61" t="inlineStr">
        <is>
          <t>Traversa, Vincenzo, 1923-</t>
        </is>
      </c>
      <c r="L61" t="inlineStr">
        <is>
          <t>New York : Harper &amp; Row, 1969.</t>
        </is>
      </c>
      <c r="M61" t="inlineStr">
        <is>
          <t>1969</t>
        </is>
      </c>
      <c r="O61" t="inlineStr">
        <is>
          <t>ita</t>
        </is>
      </c>
      <c r="P61" t="inlineStr">
        <is>
          <t>nyu</t>
        </is>
      </c>
      <c r="R61" t="inlineStr">
        <is>
          <t xml:space="preserve">PC </t>
        </is>
      </c>
      <c r="S61" t="n">
        <v>0</v>
      </c>
      <c r="T61" t="n">
        <v>1</v>
      </c>
      <c r="V61" t="inlineStr">
        <is>
          <t>2005-07-05</t>
        </is>
      </c>
      <c r="W61" t="inlineStr">
        <is>
          <t>1997-09-11</t>
        </is>
      </c>
      <c r="X61" t="inlineStr">
        <is>
          <t>1997-09-11</t>
        </is>
      </c>
      <c r="Y61" t="n">
        <v>48</v>
      </c>
      <c r="Z61" t="n">
        <v>42</v>
      </c>
      <c r="AA61" t="n">
        <v>42</v>
      </c>
      <c r="AB61" t="n">
        <v>1</v>
      </c>
      <c r="AC61" t="n">
        <v>1</v>
      </c>
      <c r="AD61" t="n">
        <v>5</v>
      </c>
      <c r="AE61" t="n">
        <v>5</v>
      </c>
      <c r="AF61" t="n">
        <v>1</v>
      </c>
      <c r="AG61" t="n">
        <v>1</v>
      </c>
      <c r="AH61" t="n">
        <v>2</v>
      </c>
      <c r="AI61" t="n">
        <v>2</v>
      </c>
      <c r="AJ61" t="n">
        <v>3</v>
      </c>
      <c r="AK61" t="n">
        <v>3</v>
      </c>
      <c r="AL61" t="n">
        <v>0</v>
      </c>
      <c r="AM61" t="n">
        <v>0</v>
      </c>
      <c r="AN61" t="n">
        <v>0</v>
      </c>
      <c r="AO61" t="n">
        <v>0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HYPERLINK("https://creighton-primo.hosted.exlibrisgroup.com/primo-explore/search?tab=default_tab&amp;search_scope=EVERYTHING&amp;vid=01CRU&amp;lang=en_US&amp;offset=0&amp;query=any,contains,991004402179702656","Catalog Record")</f>
        <v/>
      </c>
      <c r="AT61">
        <f>HYPERLINK("http://www.worldcat.org/oclc/3307914","WorldCat Record")</f>
        <v/>
      </c>
      <c r="AU61" t="inlineStr">
        <is>
          <t>1152062863:ita</t>
        </is>
      </c>
      <c r="AV61" t="inlineStr">
        <is>
          <t>3307914</t>
        </is>
      </c>
      <c r="AW61" t="inlineStr">
        <is>
          <t>991004402179702656</t>
        </is>
      </c>
      <c r="AX61" t="inlineStr">
        <is>
          <t>991004402179702656</t>
        </is>
      </c>
      <c r="AY61" t="inlineStr">
        <is>
          <t>2267782400002656</t>
        </is>
      </c>
      <c r="AZ61" t="inlineStr">
        <is>
          <t>BOOK</t>
        </is>
      </c>
      <c r="BC61" t="inlineStr">
        <is>
          <t>32285003213922</t>
        </is>
      </c>
      <c r="BD61" t="inlineStr">
        <is>
          <t>893411489</t>
        </is>
      </c>
    </row>
    <row r="62">
      <c r="A62" t="inlineStr">
        <is>
          <t>No</t>
        </is>
      </c>
      <c r="B62" t="inlineStr">
        <is>
          <t>PC1112 .T65</t>
        </is>
      </c>
      <c r="C62" t="inlineStr">
        <is>
          <t>0                      PC 1112000T  65</t>
        </is>
      </c>
      <c r="D62" t="inlineStr">
        <is>
          <t>Idioma in prospettiva secondo corso d'Italiano / Vincenzo Traversa ; Profili da Ii Gattopardo.</t>
        </is>
      </c>
      <c r="F62" t="inlineStr">
        <is>
          <t>No</t>
        </is>
      </c>
      <c r="G62" t="inlineStr">
        <is>
          <t>1</t>
        </is>
      </c>
      <c r="H62" t="inlineStr">
        <is>
          <t>Yes</t>
        </is>
      </c>
      <c r="I62" t="inlineStr">
        <is>
          <t>No</t>
        </is>
      </c>
      <c r="J62" t="inlineStr">
        <is>
          <t>0</t>
        </is>
      </c>
      <c r="K62" t="inlineStr">
        <is>
          <t>Traversa, Vincenzo, 1923-</t>
        </is>
      </c>
      <c r="L62" t="inlineStr">
        <is>
          <t>New York : Harper &amp; Row, 1969.</t>
        </is>
      </c>
      <c r="M62" t="inlineStr">
        <is>
          <t>1969</t>
        </is>
      </c>
      <c r="O62" t="inlineStr">
        <is>
          <t>ita</t>
        </is>
      </c>
      <c r="P62" t="inlineStr">
        <is>
          <t>nyu</t>
        </is>
      </c>
      <c r="R62" t="inlineStr">
        <is>
          <t xml:space="preserve">PC </t>
        </is>
      </c>
      <c r="S62" t="n">
        <v>1</v>
      </c>
      <c r="T62" t="n">
        <v>1</v>
      </c>
      <c r="U62" t="inlineStr">
        <is>
          <t>2005-07-05</t>
        </is>
      </c>
      <c r="V62" t="inlineStr">
        <is>
          <t>2005-07-05</t>
        </is>
      </c>
      <c r="W62" t="inlineStr">
        <is>
          <t>1997-09-11</t>
        </is>
      </c>
      <c r="X62" t="inlineStr">
        <is>
          <t>1997-09-11</t>
        </is>
      </c>
      <c r="Y62" t="n">
        <v>48</v>
      </c>
      <c r="Z62" t="n">
        <v>42</v>
      </c>
      <c r="AA62" t="n">
        <v>42</v>
      </c>
      <c r="AB62" t="n">
        <v>1</v>
      </c>
      <c r="AC62" t="n">
        <v>1</v>
      </c>
      <c r="AD62" t="n">
        <v>5</v>
      </c>
      <c r="AE62" t="n">
        <v>5</v>
      </c>
      <c r="AF62" t="n">
        <v>1</v>
      </c>
      <c r="AG62" t="n">
        <v>1</v>
      </c>
      <c r="AH62" t="n">
        <v>2</v>
      </c>
      <c r="AI62" t="n">
        <v>2</v>
      </c>
      <c r="AJ62" t="n">
        <v>3</v>
      </c>
      <c r="AK62" t="n">
        <v>3</v>
      </c>
      <c r="AL62" t="n">
        <v>0</v>
      </c>
      <c r="AM62" t="n">
        <v>0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HYPERLINK("https://creighton-primo.hosted.exlibrisgroup.com/primo-explore/search?tab=default_tab&amp;search_scope=EVERYTHING&amp;vid=01CRU&amp;lang=en_US&amp;offset=0&amp;query=any,contains,991004402179702656","Catalog Record")</f>
        <v/>
      </c>
      <c r="AT62">
        <f>HYPERLINK("http://www.worldcat.org/oclc/3307914","WorldCat Record")</f>
        <v/>
      </c>
      <c r="AU62" t="inlineStr">
        <is>
          <t>1152062863:ita</t>
        </is>
      </c>
      <c r="AV62" t="inlineStr">
        <is>
          <t>3307914</t>
        </is>
      </c>
      <c r="AW62" t="inlineStr">
        <is>
          <t>991004402179702656</t>
        </is>
      </c>
      <c r="AX62" t="inlineStr">
        <is>
          <t>991004402179702656</t>
        </is>
      </c>
      <c r="AY62" t="inlineStr">
        <is>
          <t>2267782400002656</t>
        </is>
      </c>
      <c r="AZ62" t="inlineStr">
        <is>
          <t>BOOK</t>
        </is>
      </c>
      <c r="BC62" t="inlineStr">
        <is>
          <t>32285003213914</t>
        </is>
      </c>
      <c r="BD62" t="inlineStr">
        <is>
          <t>893411488</t>
        </is>
      </c>
    </row>
    <row r="63">
      <c r="A63" t="inlineStr">
        <is>
          <t>No</t>
        </is>
      </c>
      <c r="B63" t="inlineStr">
        <is>
          <t>PC1112.5 .J3 1960</t>
        </is>
      </c>
      <c r="C63" t="inlineStr">
        <is>
          <t>0                      PC 1112500J  3           1960</t>
        </is>
      </c>
      <c r="D63" t="inlineStr">
        <is>
          <t>Italian made simple / by Eugene Jackson and Joseph Lopreato.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Jackson, Eugene.</t>
        </is>
      </c>
      <c r="L63" t="inlineStr">
        <is>
          <t>New York : Made Simple Books ; distributed to the book trade by Doubleday &amp; Company ; Garden City, N.Y., [1960]</t>
        </is>
      </c>
      <c r="M63" t="inlineStr">
        <is>
          <t>1960</t>
        </is>
      </c>
      <c r="O63" t="inlineStr">
        <is>
          <t>eng</t>
        </is>
      </c>
      <c r="P63" t="inlineStr">
        <is>
          <t xml:space="preserve">xx </t>
        </is>
      </c>
      <c r="Q63" t="inlineStr">
        <is>
          <t>The Made simple books</t>
        </is>
      </c>
      <c r="R63" t="inlineStr">
        <is>
          <t xml:space="preserve">PC </t>
        </is>
      </c>
      <c r="S63" t="n">
        <v>21</v>
      </c>
      <c r="T63" t="n">
        <v>21</v>
      </c>
      <c r="U63" t="inlineStr">
        <is>
          <t>2008-03-29</t>
        </is>
      </c>
      <c r="V63" t="inlineStr">
        <is>
          <t>2008-03-29</t>
        </is>
      </c>
      <c r="W63" t="inlineStr">
        <is>
          <t>1991-10-18</t>
        </is>
      </c>
      <c r="X63" t="inlineStr">
        <is>
          <t>1991-10-18</t>
        </is>
      </c>
      <c r="Y63" t="n">
        <v>294</v>
      </c>
      <c r="Z63" t="n">
        <v>282</v>
      </c>
      <c r="AA63" t="n">
        <v>380</v>
      </c>
      <c r="AB63" t="n">
        <v>2</v>
      </c>
      <c r="AC63" t="n">
        <v>2</v>
      </c>
      <c r="AD63" t="n">
        <v>4</v>
      </c>
      <c r="AE63" t="n">
        <v>4</v>
      </c>
      <c r="AF63" t="n">
        <v>2</v>
      </c>
      <c r="AG63" t="n">
        <v>2</v>
      </c>
      <c r="AH63" t="n">
        <v>0</v>
      </c>
      <c r="AI63" t="n">
        <v>0</v>
      </c>
      <c r="AJ63" t="n">
        <v>3</v>
      </c>
      <c r="AK63" t="n">
        <v>3</v>
      </c>
      <c r="AL63" t="n">
        <v>0</v>
      </c>
      <c r="AM63" t="n">
        <v>0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HYPERLINK("https://creighton-primo.hosted.exlibrisgroup.com/primo-explore/search?tab=default_tab&amp;search_scope=EVERYTHING&amp;vid=01CRU&amp;lang=en_US&amp;offset=0&amp;query=any,contains,991005369899702656","Catalog Record")</f>
        <v/>
      </c>
      <c r="AT63">
        <f>HYPERLINK("http://www.worldcat.org/oclc/1268892","WorldCat Record")</f>
        <v/>
      </c>
      <c r="AU63" t="inlineStr">
        <is>
          <t>181446:eng</t>
        </is>
      </c>
      <c r="AV63" t="inlineStr">
        <is>
          <t>1268892</t>
        </is>
      </c>
      <c r="AW63" t="inlineStr">
        <is>
          <t>991005369899702656</t>
        </is>
      </c>
      <c r="AX63" t="inlineStr">
        <is>
          <t>991005369899702656</t>
        </is>
      </c>
      <c r="AY63" t="inlineStr">
        <is>
          <t>2260377340002656</t>
        </is>
      </c>
      <c r="AZ63" t="inlineStr">
        <is>
          <t>BOOK</t>
        </is>
      </c>
      <c r="BC63" t="inlineStr">
        <is>
          <t>32285000776814</t>
        </is>
      </c>
      <c r="BD63" t="inlineStr">
        <is>
          <t>893345094</t>
        </is>
      </c>
    </row>
    <row r="64">
      <c r="A64" t="inlineStr">
        <is>
          <t>No</t>
        </is>
      </c>
      <c r="B64" t="inlineStr">
        <is>
          <t>PC1117 .M26 1996</t>
        </is>
      </c>
      <c r="C64" t="inlineStr">
        <is>
          <t>0                      PC 1117000M  26          1996</t>
        </is>
      </c>
      <c r="D64" t="inlineStr">
        <is>
          <t>Made in Italy : letture verso il 2000 : testo per l'insegnamento della civiltà e della cultura italiana nei corsi di livello intermedio / Daniela Alessandroni, Sabrina Cittadini.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Alessandroni, Daniela.</t>
        </is>
      </c>
      <c r="L64" t="inlineStr">
        <is>
          <t>Perugia : Guerra, 1996.</t>
        </is>
      </c>
      <c r="M64" t="inlineStr">
        <is>
          <t>1996</t>
        </is>
      </c>
      <c r="O64" t="inlineStr">
        <is>
          <t>ita</t>
        </is>
      </c>
      <c r="P64" t="inlineStr">
        <is>
          <t xml:space="preserve">it </t>
        </is>
      </c>
      <c r="R64" t="inlineStr">
        <is>
          <t xml:space="preserve">PC </t>
        </is>
      </c>
      <c r="S64" t="n">
        <v>10</v>
      </c>
      <c r="T64" t="n">
        <v>10</v>
      </c>
      <c r="U64" t="inlineStr">
        <is>
          <t>2009-04-08</t>
        </is>
      </c>
      <c r="V64" t="inlineStr">
        <is>
          <t>2009-04-08</t>
        </is>
      </c>
      <c r="W64" t="inlineStr">
        <is>
          <t>2007-03-13</t>
        </is>
      </c>
      <c r="X64" t="inlineStr">
        <is>
          <t>2007-03-13</t>
        </is>
      </c>
      <c r="Y64" t="n">
        <v>35</v>
      </c>
      <c r="Z64" t="n">
        <v>16</v>
      </c>
      <c r="AA64" t="n">
        <v>16</v>
      </c>
      <c r="AB64" t="n">
        <v>1</v>
      </c>
      <c r="AC64" t="n">
        <v>1</v>
      </c>
      <c r="AD64" t="n">
        <v>1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1</v>
      </c>
      <c r="AL64" t="n">
        <v>0</v>
      </c>
      <c r="AM64" t="n">
        <v>0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HYPERLINK("https://creighton-primo.hosted.exlibrisgroup.com/primo-explore/search?tab=default_tab&amp;search_scope=EVERYTHING&amp;vid=01CRU&amp;lang=en_US&amp;offset=0&amp;query=any,contains,991005029809702656","Catalog Record")</f>
        <v/>
      </c>
      <c r="AT64">
        <f>HYPERLINK("http://www.worldcat.org/oclc/35915044","WorldCat Record")</f>
        <v/>
      </c>
      <c r="AU64" t="inlineStr">
        <is>
          <t>476897454:ita</t>
        </is>
      </c>
      <c r="AV64" t="inlineStr">
        <is>
          <t>35915044</t>
        </is>
      </c>
      <c r="AW64" t="inlineStr">
        <is>
          <t>991005029809702656</t>
        </is>
      </c>
      <c r="AX64" t="inlineStr">
        <is>
          <t>991005029809702656</t>
        </is>
      </c>
      <c r="AY64" t="inlineStr">
        <is>
          <t>2260868170002656</t>
        </is>
      </c>
      <c r="AZ64" t="inlineStr">
        <is>
          <t>BOOK</t>
        </is>
      </c>
      <c r="BB64" t="inlineStr">
        <is>
          <t>9788877151902</t>
        </is>
      </c>
      <c r="BC64" t="inlineStr">
        <is>
          <t>32285005281125</t>
        </is>
      </c>
      <c r="BD64" t="inlineStr">
        <is>
          <t>893344538</t>
        </is>
      </c>
    </row>
    <row r="65">
      <c r="A65" t="inlineStr">
        <is>
          <t>No</t>
        </is>
      </c>
      <c r="B65" t="inlineStr">
        <is>
          <t>PC1127.A7 A53 2006</t>
        </is>
      </c>
      <c r="C65" t="inlineStr">
        <is>
          <t>0                      PC 1127000A  7                  A  53          2006</t>
        </is>
      </c>
      <c r="D65" t="inlineStr">
        <is>
          <t>L'italiano attraverso la storia dell'arte / Maddalena Angelino, Elena Ballarin.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Angelino, Maddalena.</t>
        </is>
      </c>
      <c r="L65" t="inlineStr">
        <is>
          <t>Perugia : Guerra, 2006.</t>
        </is>
      </c>
      <c r="M65" t="inlineStr">
        <is>
          <t>2006</t>
        </is>
      </c>
      <c r="O65" t="inlineStr">
        <is>
          <t>ita</t>
        </is>
      </c>
      <c r="P65" t="inlineStr">
        <is>
          <t xml:space="preserve">it </t>
        </is>
      </c>
      <c r="R65" t="inlineStr">
        <is>
          <t xml:space="preserve">PC </t>
        </is>
      </c>
      <c r="S65" t="n">
        <v>6</v>
      </c>
      <c r="T65" t="n">
        <v>6</v>
      </c>
      <c r="U65" t="inlineStr">
        <is>
          <t>2010-03-08</t>
        </is>
      </c>
      <c r="V65" t="inlineStr">
        <is>
          <t>2010-03-08</t>
        </is>
      </c>
      <c r="W65" t="inlineStr">
        <is>
          <t>2007-04-25</t>
        </is>
      </c>
      <c r="X65" t="inlineStr">
        <is>
          <t>2007-04-25</t>
        </is>
      </c>
      <c r="Y65" t="n">
        <v>34</v>
      </c>
      <c r="Z65" t="n">
        <v>20</v>
      </c>
      <c r="AA65" t="n">
        <v>21</v>
      </c>
      <c r="AB65" t="n">
        <v>1</v>
      </c>
      <c r="AC65" t="n">
        <v>1</v>
      </c>
      <c r="AD65" t="n">
        <v>2</v>
      </c>
      <c r="AE65" t="n">
        <v>2</v>
      </c>
      <c r="AF65" t="n">
        <v>1</v>
      </c>
      <c r="AG65" t="n">
        <v>1</v>
      </c>
      <c r="AH65" t="n">
        <v>1</v>
      </c>
      <c r="AI65" t="n">
        <v>1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HYPERLINK("https://creighton-primo.hosted.exlibrisgroup.com/primo-explore/search?tab=default_tab&amp;search_scope=EVERYTHING&amp;vid=01CRU&amp;lang=en_US&amp;offset=0&amp;query=any,contains,991005046579702656","Catalog Record")</f>
        <v/>
      </c>
      <c r="AT65">
        <f>HYPERLINK("http://www.worldcat.org/oclc/77557183","WorldCat Record")</f>
        <v/>
      </c>
      <c r="AU65" t="inlineStr">
        <is>
          <t>368583127:ita</t>
        </is>
      </c>
      <c r="AV65" t="inlineStr">
        <is>
          <t>77557183</t>
        </is>
      </c>
      <c r="AW65" t="inlineStr">
        <is>
          <t>991005046579702656</t>
        </is>
      </c>
      <c r="AX65" t="inlineStr">
        <is>
          <t>991005046579702656</t>
        </is>
      </c>
      <c r="AY65" t="inlineStr">
        <is>
          <t>2264633060002656</t>
        </is>
      </c>
      <c r="AZ65" t="inlineStr">
        <is>
          <t>BOOK</t>
        </is>
      </c>
      <c r="BB65" t="inlineStr">
        <is>
          <t>9788877159304</t>
        </is>
      </c>
      <c r="BC65" t="inlineStr">
        <is>
          <t>32285005284392</t>
        </is>
      </c>
      <c r="BD65" t="inlineStr">
        <is>
          <t>893700952</t>
        </is>
      </c>
    </row>
    <row r="66">
      <c r="A66" t="inlineStr">
        <is>
          <t>No</t>
        </is>
      </c>
      <c r="B66" t="inlineStr">
        <is>
          <t>PC1127.H5 C3</t>
        </is>
      </c>
      <c r="C66" t="inlineStr">
        <is>
          <t>0                      PC 1127000H  5                  C  3</t>
        </is>
      </c>
      <c r="D66" t="inlineStr">
        <is>
          <t>The Italian heritage.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Cantarella, Michele, 1899-1988.</t>
        </is>
      </c>
      <c r="L66" t="inlineStr">
        <is>
          <t>[New York] : Holt, [1959]</t>
        </is>
      </c>
      <c r="M66" t="inlineStr">
        <is>
          <t>1959</t>
        </is>
      </c>
      <c r="O66" t="inlineStr">
        <is>
          <t>eng</t>
        </is>
      </c>
      <c r="P66" t="inlineStr">
        <is>
          <t>nyu</t>
        </is>
      </c>
      <c r="Q66" t="inlineStr">
        <is>
          <t>A Holt-Dryden book</t>
        </is>
      </c>
      <c r="R66" t="inlineStr">
        <is>
          <t xml:space="preserve">PC </t>
        </is>
      </c>
      <c r="S66" t="n">
        <v>3</v>
      </c>
      <c r="T66" t="n">
        <v>3</v>
      </c>
      <c r="U66" t="inlineStr">
        <is>
          <t>2000-05-11</t>
        </is>
      </c>
      <c r="V66" t="inlineStr">
        <is>
          <t>2000-05-11</t>
        </is>
      </c>
      <c r="W66" t="inlineStr">
        <is>
          <t>1991-09-05</t>
        </is>
      </c>
      <c r="X66" t="inlineStr">
        <is>
          <t>1991-09-05</t>
        </is>
      </c>
      <c r="Y66" t="n">
        <v>155</v>
      </c>
      <c r="Z66" t="n">
        <v>127</v>
      </c>
      <c r="AA66" t="n">
        <v>132</v>
      </c>
      <c r="AB66" t="n">
        <v>1</v>
      </c>
      <c r="AC66" t="n">
        <v>1</v>
      </c>
      <c r="AD66" t="n">
        <v>9</v>
      </c>
      <c r="AE66" t="n">
        <v>9</v>
      </c>
      <c r="AF66" t="n">
        <v>3</v>
      </c>
      <c r="AG66" t="n">
        <v>3</v>
      </c>
      <c r="AH66" t="n">
        <v>1</v>
      </c>
      <c r="AI66" t="n">
        <v>1</v>
      </c>
      <c r="AJ66" t="n">
        <v>6</v>
      </c>
      <c r="AK66" t="n">
        <v>6</v>
      </c>
      <c r="AL66" t="n">
        <v>0</v>
      </c>
      <c r="AM66" t="n">
        <v>0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HYPERLINK("https://creighton-primo.hosted.exlibrisgroup.com/primo-explore/search?tab=default_tab&amp;search_scope=EVERYTHING&amp;vid=01CRU&amp;lang=en_US&amp;offset=0&amp;query=any,contains,991005365409702656","Catalog Record")</f>
        <v/>
      </c>
      <c r="AT66">
        <f>HYPERLINK("http://www.worldcat.org/oclc/1812170","WorldCat Record")</f>
        <v/>
      </c>
      <c r="AU66" t="inlineStr">
        <is>
          <t>2584640:eng</t>
        </is>
      </c>
      <c r="AV66" t="inlineStr">
        <is>
          <t>1812170</t>
        </is>
      </c>
      <c r="AW66" t="inlineStr">
        <is>
          <t>991005365409702656</t>
        </is>
      </c>
      <c r="AX66" t="inlineStr">
        <is>
          <t>991005365409702656</t>
        </is>
      </c>
      <c r="AY66" t="inlineStr">
        <is>
          <t>2257474350002656</t>
        </is>
      </c>
      <c r="AZ66" t="inlineStr">
        <is>
          <t>BOOK</t>
        </is>
      </c>
      <c r="BC66" t="inlineStr">
        <is>
          <t>32285000736198</t>
        </is>
      </c>
      <c r="BD66" t="inlineStr">
        <is>
          <t>893332843</t>
        </is>
      </c>
    </row>
    <row r="67">
      <c r="A67" t="inlineStr">
        <is>
          <t>No</t>
        </is>
      </c>
      <c r="B67" t="inlineStr">
        <is>
          <t>PC1640 .H35 1963</t>
        </is>
      </c>
      <c r="C67" t="inlineStr">
        <is>
          <t>0                      PC 1640000H  35          1963</t>
        </is>
      </c>
      <c r="D67" t="inlineStr">
        <is>
          <t>Garzanti comprehensive Italian-English, English-Italian dictionary.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Hazon, Mario, 1885-</t>
        </is>
      </c>
      <c r="L67" t="inlineStr">
        <is>
          <t>New York : McGraw-Hill, [1963, c1961]</t>
        </is>
      </c>
      <c r="M67" t="inlineStr">
        <is>
          <t>1963</t>
        </is>
      </c>
      <c r="O67" t="inlineStr">
        <is>
          <t>eng</t>
        </is>
      </c>
      <c r="P67" t="inlineStr">
        <is>
          <t>nyu</t>
        </is>
      </c>
      <c r="R67" t="inlineStr">
        <is>
          <t xml:space="preserve">PC </t>
        </is>
      </c>
      <c r="S67" t="n">
        <v>3</v>
      </c>
      <c r="T67" t="n">
        <v>3</v>
      </c>
      <c r="U67" t="inlineStr">
        <is>
          <t>2007-09-06</t>
        </is>
      </c>
      <c r="V67" t="inlineStr">
        <is>
          <t>2007-09-06</t>
        </is>
      </c>
      <c r="W67" t="inlineStr">
        <is>
          <t>1998-01-26</t>
        </is>
      </c>
      <c r="X67" t="inlineStr">
        <is>
          <t>1998-01-26</t>
        </is>
      </c>
      <c r="Y67" t="n">
        <v>275</v>
      </c>
      <c r="Z67" t="n">
        <v>254</v>
      </c>
      <c r="AA67" t="n">
        <v>318</v>
      </c>
      <c r="AB67" t="n">
        <v>2</v>
      </c>
      <c r="AC67" t="n">
        <v>2</v>
      </c>
      <c r="AD67" t="n">
        <v>9</v>
      </c>
      <c r="AE67" t="n">
        <v>10</v>
      </c>
      <c r="AF67" t="n">
        <v>2</v>
      </c>
      <c r="AG67" t="n">
        <v>2</v>
      </c>
      <c r="AH67" t="n">
        <v>2</v>
      </c>
      <c r="AI67" t="n">
        <v>2</v>
      </c>
      <c r="AJ67" t="n">
        <v>5</v>
      </c>
      <c r="AK67" t="n">
        <v>6</v>
      </c>
      <c r="AL67" t="n">
        <v>1</v>
      </c>
      <c r="AM67" t="n">
        <v>1</v>
      </c>
      <c r="AN67" t="n">
        <v>0</v>
      </c>
      <c r="AO67" t="n">
        <v>0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HYPERLINK("https://creighton-primo.hosted.exlibrisgroup.com/primo-explore/search?tab=default_tab&amp;search_scope=EVERYTHING&amp;vid=01CRU&amp;lang=en_US&amp;offset=0&amp;query=any,contains,991001321459702656","Catalog Record")</f>
        <v/>
      </c>
      <c r="AT67">
        <f>HYPERLINK("http://www.worldcat.org/oclc/912791","WorldCat Record")</f>
        <v/>
      </c>
      <c r="AU67" t="inlineStr">
        <is>
          <t>33582842:eng</t>
        </is>
      </c>
      <c r="AV67" t="inlineStr">
        <is>
          <t>912791</t>
        </is>
      </c>
      <c r="AW67" t="inlineStr">
        <is>
          <t>991001321459702656</t>
        </is>
      </c>
      <c r="AX67" t="inlineStr">
        <is>
          <t>991001321459702656</t>
        </is>
      </c>
      <c r="AY67" t="inlineStr">
        <is>
          <t>2268501710002656</t>
        </is>
      </c>
      <c r="AZ67" t="inlineStr">
        <is>
          <t>BOOK</t>
        </is>
      </c>
      <c r="BC67" t="inlineStr">
        <is>
          <t>32285003326807</t>
        </is>
      </c>
      <c r="BD67" t="inlineStr">
        <is>
          <t>893496997</t>
        </is>
      </c>
    </row>
    <row r="68">
      <c r="A68" t="inlineStr">
        <is>
          <t>No</t>
        </is>
      </c>
      <c r="B68" t="inlineStr">
        <is>
          <t>PC2064.K5 A3 1996</t>
        </is>
      </c>
      <c r="C68" t="inlineStr">
        <is>
          <t>0                      PC 2064000K  5                  A  3           1996</t>
        </is>
      </c>
      <c r="D68" t="inlineStr">
        <is>
          <t>Ich will Zeugnis ablegen bis zum letzten / Victor Klemperer ; herausgegeben von Walter Nowojski ; unter Mitarbeit von Hadwig Klemperer.</t>
        </is>
      </c>
      <c r="E68" t="inlineStr">
        <is>
          <t>V.1</t>
        </is>
      </c>
      <c r="F68" t="inlineStr">
        <is>
          <t>Yes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Klemperer, Victor, 1881-1960.</t>
        </is>
      </c>
      <c r="L68" t="inlineStr">
        <is>
          <t>Berlin : Aufbau-Verlag, 1996, c1995</t>
        </is>
      </c>
      <c r="M68" t="inlineStr">
        <is>
          <t>1996</t>
        </is>
      </c>
      <c r="N68" t="inlineStr">
        <is>
          <t>8. Aufl.</t>
        </is>
      </c>
      <c r="O68" t="inlineStr">
        <is>
          <t>ger</t>
        </is>
      </c>
      <c r="P68" t="inlineStr">
        <is>
          <t xml:space="preserve">gw </t>
        </is>
      </c>
      <c r="R68" t="inlineStr">
        <is>
          <t xml:space="preserve">PC </t>
        </is>
      </c>
      <c r="S68" t="n">
        <v>1</v>
      </c>
      <c r="T68" t="n">
        <v>2</v>
      </c>
      <c r="U68" t="inlineStr">
        <is>
          <t>1999-02-18</t>
        </is>
      </c>
      <c r="V68" t="inlineStr">
        <is>
          <t>1999-02-18</t>
        </is>
      </c>
      <c r="W68" t="inlineStr">
        <is>
          <t>1997-08-11</t>
        </is>
      </c>
      <c r="X68" t="inlineStr">
        <is>
          <t>1997-08-11</t>
        </is>
      </c>
      <c r="Y68" t="n">
        <v>157</v>
      </c>
      <c r="Z68" t="n">
        <v>123</v>
      </c>
      <c r="AA68" t="n">
        <v>183</v>
      </c>
      <c r="AB68" t="n">
        <v>1</v>
      </c>
      <c r="AC68" t="n">
        <v>2</v>
      </c>
      <c r="AD68" t="n">
        <v>4</v>
      </c>
      <c r="AE68" t="n">
        <v>9</v>
      </c>
      <c r="AF68" t="n">
        <v>1</v>
      </c>
      <c r="AG68" t="n">
        <v>2</v>
      </c>
      <c r="AH68" t="n">
        <v>1</v>
      </c>
      <c r="AI68" t="n">
        <v>2</v>
      </c>
      <c r="AJ68" t="n">
        <v>3</v>
      </c>
      <c r="AK68" t="n">
        <v>6</v>
      </c>
      <c r="AL68" t="n">
        <v>0</v>
      </c>
      <c r="AM68" t="n">
        <v>1</v>
      </c>
      <c r="AN68" t="n">
        <v>0</v>
      </c>
      <c r="AO68" t="n">
        <v>0</v>
      </c>
      <c r="AP68" t="inlineStr">
        <is>
          <t>No</t>
        </is>
      </c>
      <c r="AQ68" t="inlineStr">
        <is>
          <t>Yes</t>
        </is>
      </c>
      <c r="AR68">
        <f>HYPERLINK("http://catalog.hathitrust.org/Record/007480866","HathiTrust Record")</f>
        <v/>
      </c>
      <c r="AS68">
        <f>HYPERLINK("https://creighton-primo.hosted.exlibrisgroup.com/primo-explore/search?tab=default_tab&amp;search_scope=EVERYTHING&amp;vid=01CRU&amp;lang=en_US&amp;offset=0&amp;query=any,contains,991002771159702656","Catalog Record")</f>
        <v/>
      </c>
      <c r="AT68">
        <f>HYPERLINK("http://www.worldcat.org/oclc/33361308","WorldCat Record")</f>
        <v/>
      </c>
      <c r="AU68" t="inlineStr">
        <is>
          <t>4915881482:ger</t>
        </is>
      </c>
      <c r="AV68" t="inlineStr">
        <is>
          <t>33361308</t>
        </is>
      </c>
      <c r="AW68" t="inlineStr">
        <is>
          <t>991002771159702656</t>
        </is>
      </c>
      <c r="AX68" t="inlineStr">
        <is>
          <t>991002771159702656</t>
        </is>
      </c>
      <c r="AY68" t="inlineStr">
        <is>
          <t>2261170360002656</t>
        </is>
      </c>
      <c r="AZ68" t="inlineStr">
        <is>
          <t>BOOK</t>
        </is>
      </c>
      <c r="BB68" t="inlineStr">
        <is>
          <t>9783351023409</t>
        </is>
      </c>
      <c r="BC68" t="inlineStr">
        <is>
          <t>32285003000931</t>
        </is>
      </c>
      <c r="BD68" t="inlineStr">
        <is>
          <t>893245612</t>
        </is>
      </c>
    </row>
    <row r="69">
      <c r="A69" t="inlineStr">
        <is>
          <t>No</t>
        </is>
      </c>
      <c r="B69" t="inlineStr">
        <is>
          <t>PC2064.K5 A3 1996</t>
        </is>
      </c>
      <c r="C69" t="inlineStr">
        <is>
          <t>0                      PC 2064000K  5                  A  3           1996</t>
        </is>
      </c>
      <c r="D69" t="inlineStr">
        <is>
          <t>Ich will Zeugnis ablegen bis zum letzten / Victor Klemperer ; herausgegeben von Walter Nowojski ; unter Mitarbeit von Hadwig Klemperer.</t>
        </is>
      </c>
      <c r="E69" t="inlineStr">
        <is>
          <t>V.2</t>
        </is>
      </c>
      <c r="F69" t="inlineStr">
        <is>
          <t>Yes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Klemperer, Victor, 1881-1960.</t>
        </is>
      </c>
      <c r="L69" t="inlineStr">
        <is>
          <t>Berlin : Aufbau-Verlag, 1996, c1995</t>
        </is>
      </c>
      <c r="M69" t="inlineStr">
        <is>
          <t>1996</t>
        </is>
      </c>
      <c r="N69" t="inlineStr">
        <is>
          <t>8. Aufl.</t>
        </is>
      </c>
      <c r="O69" t="inlineStr">
        <is>
          <t>ger</t>
        </is>
      </c>
      <c r="P69" t="inlineStr">
        <is>
          <t xml:space="preserve">gw </t>
        </is>
      </c>
      <c r="R69" t="inlineStr">
        <is>
          <t xml:space="preserve">PC </t>
        </is>
      </c>
      <c r="S69" t="n">
        <v>1</v>
      </c>
      <c r="T69" t="n">
        <v>2</v>
      </c>
      <c r="U69" t="inlineStr">
        <is>
          <t>1999-02-18</t>
        </is>
      </c>
      <c r="V69" t="inlineStr">
        <is>
          <t>1999-02-18</t>
        </is>
      </c>
      <c r="W69" t="inlineStr">
        <is>
          <t>1997-08-11</t>
        </is>
      </c>
      <c r="X69" t="inlineStr">
        <is>
          <t>1997-08-11</t>
        </is>
      </c>
      <c r="Y69" t="n">
        <v>157</v>
      </c>
      <c r="Z69" t="n">
        <v>123</v>
      </c>
      <c r="AA69" t="n">
        <v>183</v>
      </c>
      <c r="AB69" t="n">
        <v>1</v>
      </c>
      <c r="AC69" t="n">
        <v>2</v>
      </c>
      <c r="AD69" t="n">
        <v>4</v>
      </c>
      <c r="AE69" t="n">
        <v>9</v>
      </c>
      <c r="AF69" t="n">
        <v>1</v>
      </c>
      <c r="AG69" t="n">
        <v>2</v>
      </c>
      <c r="AH69" t="n">
        <v>1</v>
      </c>
      <c r="AI69" t="n">
        <v>2</v>
      </c>
      <c r="AJ69" t="n">
        <v>3</v>
      </c>
      <c r="AK69" t="n">
        <v>6</v>
      </c>
      <c r="AL69" t="n">
        <v>0</v>
      </c>
      <c r="AM69" t="n">
        <v>1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HYPERLINK("http://catalog.hathitrust.org/Record/007480866","HathiTrust Record")</f>
        <v/>
      </c>
      <c r="AS69">
        <f>HYPERLINK("https://creighton-primo.hosted.exlibrisgroup.com/primo-explore/search?tab=default_tab&amp;search_scope=EVERYTHING&amp;vid=01CRU&amp;lang=en_US&amp;offset=0&amp;query=any,contains,991002771159702656","Catalog Record")</f>
        <v/>
      </c>
      <c r="AT69">
        <f>HYPERLINK("http://www.worldcat.org/oclc/33361308","WorldCat Record")</f>
        <v/>
      </c>
      <c r="AU69" t="inlineStr">
        <is>
          <t>4915881482:ger</t>
        </is>
      </c>
      <c r="AV69" t="inlineStr">
        <is>
          <t>33361308</t>
        </is>
      </c>
      <c r="AW69" t="inlineStr">
        <is>
          <t>991002771159702656</t>
        </is>
      </c>
      <c r="AX69" t="inlineStr">
        <is>
          <t>991002771159702656</t>
        </is>
      </c>
      <c r="AY69" t="inlineStr">
        <is>
          <t>2261170360002656</t>
        </is>
      </c>
      <c r="AZ69" t="inlineStr">
        <is>
          <t>BOOK</t>
        </is>
      </c>
      <c r="BB69" t="inlineStr">
        <is>
          <t>9783351023409</t>
        </is>
      </c>
      <c r="BC69" t="inlineStr">
        <is>
          <t>32285003000949</t>
        </is>
      </c>
      <c r="BD69" t="inlineStr">
        <is>
          <t>893239470</t>
        </is>
      </c>
    </row>
    <row r="70">
      <c r="A70" t="inlineStr">
        <is>
          <t>No</t>
        </is>
      </c>
      <c r="B70" t="inlineStr">
        <is>
          <t>PC2075 .F6 1968</t>
        </is>
      </c>
      <c r="C70" t="inlineStr">
        <is>
          <t>0                      PC 2075000F  6           1968</t>
        </is>
      </c>
      <c r="D70" t="inlineStr">
        <is>
          <t>A concise history of the French language (phonology and morphology) [by] John Fox [and] Robin Wood.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Fox, John, 1925-</t>
        </is>
      </c>
      <c r="L70" t="inlineStr">
        <is>
          <t>Oxford, Blackwell, 1968.</t>
        </is>
      </c>
      <c r="M70" t="inlineStr">
        <is>
          <t>1968</t>
        </is>
      </c>
      <c r="O70" t="inlineStr">
        <is>
          <t>eng</t>
        </is>
      </c>
      <c r="P70" t="inlineStr">
        <is>
          <t>enk</t>
        </is>
      </c>
      <c r="R70" t="inlineStr">
        <is>
          <t xml:space="preserve">PC </t>
        </is>
      </c>
      <c r="S70" t="n">
        <v>1</v>
      </c>
      <c r="T70" t="n">
        <v>1</v>
      </c>
      <c r="U70" t="inlineStr">
        <is>
          <t>2003-01-18</t>
        </is>
      </c>
      <c r="V70" t="inlineStr">
        <is>
          <t>2003-01-18</t>
        </is>
      </c>
      <c r="W70" t="inlineStr">
        <is>
          <t>1997-09-11</t>
        </is>
      </c>
      <c r="X70" t="inlineStr">
        <is>
          <t>1997-09-11</t>
        </is>
      </c>
      <c r="Y70" t="n">
        <v>413</v>
      </c>
      <c r="Z70" t="n">
        <v>325</v>
      </c>
      <c r="AA70" t="n">
        <v>530</v>
      </c>
      <c r="AB70" t="n">
        <v>5</v>
      </c>
      <c r="AC70" t="n">
        <v>7</v>
      </c>
      <c r="AD70" t="n">
        <v>17</v>
      </c>
      <c r="AE70" t="n">
        <v>27</v>
      </c>
      <c r="AF70" t="n">
        <v>7</v>
      </c>
      <c r="AG70" t="n">
        <v>9</v>
      </c>
      <c r="AH70" t="n">
        <v>3</v>
      </c>
      <c r="AI70" t="n">
        <v>7</v>
      </c>
      <c r="AJ70" t="n">
        <v>8</v>
      </c>
      <c r="AK70" t="n">
        <v>12</v>
      </c>
      <c r="AL70" t="n">
        <v>4</v>
      </c>
      <c r="AM70" t="n">
        <v>6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HYPERLINK("https://creighton-primo.hosted.exlibrisgroup.com/primo-explore/search?tab=default_tab&amp;search_scope=EVERYTHING&amp;vid=01CRU&amp;lang=en_US&amp;offset=0&amp;query=any,contains,991000563729702656","Catalog Record")</f>
        <v/>
      </c>
      <c r="AT70">
        <f>HYPERLINK("http://www.worldcat.org/oclc/93662","WorldCat Record")</f>
        <v/>
      </c>
      <c r="AU70" t="inlineStr">
        <is>
          <t>1131124:eng</t>
        </is>
      </c>
      <c r="AV70" t="inlineStr">
        <is>
          <t>93662</t>
        </is>
      </c>
      <c r="AW70" t="inlineStr">
        <is>
          <t>991000563729702656</t>
        </is>
      </c>
      <c r="AX70" t="inlineStr">
        <is>
          <t>991000563729702656</t>
        </is>
      </c>
      <c r="AY70" t="inlineStr">
        <is>
          <t>2265707660002656</t>
        </is>
      </c>
      <c r="AZ70" t="inlineStr">
        <is>
          <t>BOOK</t>
        </is>
      </c>
      <c r="BB70" t="inlineStr">
        <is>
          <t>9780631117308</t>
        </is>
      </c>
      <c r="BC70" t="inlineStr">
        <is>
          <t>32285003214029</t>
        </is>
      </c>
      <c r="BD70" t="inlineStr">
        <is>
          <t>893601862</t>
        </is>
      </c>
    </row>
    <row r="71">
      <c r="A71" t="inlineStr">
        <is>
          <t>No</t>
        </is>
      </c>
      <c r="B71" t="inlineStr">
        <is>
          <t>PC2075 .P6 1952</t>
        </is>
      </c>
      <c r="C71" t="inlineStr">
        <is>
          <t>0                      PC 2075000P  6           1952</t>
        </is>
      </c>
      <c r="D71" t="inlineStr">
        <is>
          <t>From Latin to modern French, with especial consideration of Anglo-Norman; phonology and morphology.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Pope, Mildred K. (Mildred Katharine), 1872-1956.</t>
        </is>
      </c>
      <c r="L71" t="inlineStr">
        <is>
          <t>Manchester] Manchester University Press [1952]</t>
        </is>
      </c>
      <c r="M71" t="inlineStr">
        <is>
          <t>1952</t>
        </is>
      </c>
      <c r="N71" t="inlineStr">
        <is>
          <t>[2d, rev. ed.</t>
        </is>
      </c>
      <c r="O71" t="inlineStr">
        <is>
          <t>eng</t>
        </is>
      </c>
      <c r="P71" t="inlineStr">
        <is>
          <t>enk</t>
        </is>
      </c>
      <c r="Q71" t="inlineStr">
        <is>
          <t>Publications of the University of Manchester, no. 229. French series, no. 6</t>
        </is>
      </c>
      <c r="R71" t="inlineStr">
        <is>
          <t xml:space="preserve">PC </t>
        </is>
      </c>
      <c r="S71" t="n">
        <v>2</v>
      </c>
      <c r="T71" t="n">
        <v>2</v>
      </c>
      <c r="U71" t="inlineStr">
        <is>
          <t>2010-11-03</t>
        </is>
      </c>
      <c r="V71" t="inlineStr">
        <is>
          <t>2010-11-03</t>
        </is>
      </c>
      <c r="W71" t="inlineStr">
        <is>
          <t>1997-09-11</t>
        </is>
      </c>
      <c r="X71" t="inlineStr">
        <is>
          <t>1997-09-11</t>
        </is>
      </c>
      <c r="Y71" t="n">
        <v>296</v>
      </c>
      <c r="Z71" t="n">
        <v>248</v>
      </c>
      <c r="AA71" t="n">
        <v>545</v>
      </c>
      <c r="AB71" t="n">
        <v>2</v>
      </c>
      <c r="AC71" t="n">
        <v>6</v>
      </c>
      <c r="AD71" t="n">
        <v>10</v>
      </c>
      <c r="AE71" t="n">
        <v>30</v>
      </c>
      <c r="AF71" t="n">
        <v>3</v>
      </c>
      <c r="AG71" t="n">
        <v>10</v>
      </c>
      <c r="AH71" t="n">
        <v>2</v>
      </c>
      <c r="AI71" t="n">
        <v>6</v>
      </c>
      <c r="AJ71" t="n">
        <v>7</v>
      </c>
      <c r="AK71" t="n">
        <v>17</v>
      </c>
      <c r="AL71" t="n">
        <v>1</v>
      </c>
      <c r="AM71" t="n">
        <v>4</v>
      </c>
      <c r="AN71" t="n">
        <v>0</v>
      </c>
      <c r="AO71" t="n">
        <v>0</v>
      </c>
      <c r="AP71" t="inlineStr">
        <is>
          <t>No</t>
        </is>
      </c>
      <c r="AQ71" t="inlineStr">
        <is>
          <t>No</t>
        </is>
      </c>
      <c r="AR71">
        <f>HYPERLINK("http://catalog.hathitrust.org/Record/001789193","HathiTrust Record")</f>
        <v/>
      </c>
      <c r="AS71">
        <f>HYPERLINK("https://creighton-primo.hosted.exlibrisgroup.com/primo-explore/search?tab=default_tab&amp;search_scope=EVERYTHING&amp;vid=01CRU&amp;lang=en_US&amp;offset=0&amp;query=any,contains,991004668149702656","Catalog Record")</f>
        <v/>
      </c>
      <c r="AT71">
        <f>HYPERLINK("http://www.worldcat.org/oclc/4511938","WorldCat Record")</f>
        <v/>
      </c>
      <c r="AU71" t="inlineStr">
        <is>
          <t>196991420:eng</t>
        </is>
      </c>
      <c r="AV71" t="inlineStr">
        <is>
          <t>4511938</t>
        </is>
      </c>
      <c r="AW71" t="inlineStr">
        <is>
          <t>991004668149702656</t>
        </is>
      </c>
      <c r="AX71" t="inlineStr">
        <is>
          <t>991004668149702656</t>
        </is>
      </c>
      <c r="AY71" t="inlineStr">
        <is>
          <t>2271480650002656</t>
        </is>
      </c>
      <c r="AZ71" t="inlineStr">
        <is>
          <t>BOOK</t>
        </is>
      </c>
      <c r="BC71" t="inlineStr">
        <is>
          <t>32285003214052</t>
        </is>
      </c>
      <c r="BD71" t="inlineStr">
        <is>
          <t>893353489</t>
        </is>
      </c>
    </row>
    <row r="72">
      <c r="A72" t="inlineStr">
        <is>
          <t>No</t>
        </is>
      </c>
      <c r="B72" t="inlineStr">
        <is>
          <t>PC2101 .W3</t>
        </is>
      </c>
      <c r="C72" t="inlineStr">
        <is>
          <t>0                      PC 2101000W  3</t>
        </is>
      </c>
      <c r="D72" t="inlineStr">
        <is>
          <t>Grammaire du français classique et moderne [par] R.L. Wagner [et] J. Pinchon.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Wagner, Robert Léon.</t>
        </is>
      </c>
      <c r="L72" t="inlineStr">
        <is>
          <t>Paris, Hachette [1962]</t>
        </is>
      </c>
      <c r="M72" t="inlineStr">
        <is>
          <t>1962</t>
        </is>
      </c>
      <c r="O72" t="inlineStr">
        <is>
          <t>fre</t>
        </is>
      </c>
      <c r="P72" t="inlineStr">
        <is>
          <t xml:space="preserve">fr </t>
        </is>
      </c>
      <c r="R72" t="inlineStr">
        <is>
          <t xml:space="preserve">PC </t>
        </is>
      </c>
      <c r="S72" t="n">
        <v>5</v>
      </c>
      <c r="T72" t="n">
        <v>5</v>
      </c>
      <c r="U72" t="inlineStr">
        <is>
          <t>1999-10-25</t>
        </is>
      </c>
      <c r="V72" t="inlineStr">
        <is>
          <t>1999-10-25</t>
        </is>
      </c>
      <c r="W72" t="inlineStr">
        <is>
          <t>1997-09-11</t>
        </is>
      </c>
      <c r="X72" t="inlineStr">
        <is>
          <t>1997-09-11</t>
        </is>
      </c>
      <c r="Y72" t="n">
        <v>258</v>
      </c>
      <c r="Z72" t="n">
        <v>146</v>
      </c>
      <c r="AA72" t="n">
        <v>241</v>
      </c>
      <c r="AB72" t="n">
        <v>4</v>
      </c>
      <c r="AC72" t="n">
        <v>4</v>
      </c>
      <c r="AD72" t="n">
        <v>8</v>
      </c>
      <c r="AE72" t="n">
        <v>12</v>
      </c>
      <c r="AF72" t="n">
        <v>1</v>
      </c>
      <c r="AG72" t="n">
        <v>2</v>
      </c>
      <c r="AH72" t="n">
        <v>1</v>
      </c>
      <c r="AI72" t="n">
        <v>3</v>
      </c>
      <c r="AJ72" t="n">
        <v>3</v>
      </c>
      <c r="AK72" t="n">
        <v>5</v>
      </c>
      <c r="AL72" t="n">
        <v>3</v>
      </c>
      <c r="AM72" t="n">
        <v>3</v>
      </c>
      <c r="AN72" t="n">
        <v>0</v>
      </c>
      <c r="AO72" t="n">
        <v>0</v>
      </c>
      <c r="AP72" t="inlineStr">
        <is>
          <t>No</t>
        </is>
      </c>
      <c r="AQ72" t="inlineStr">
        <is>
          <t>Yes</t>
        </is>
      </c>
      <c r="AR72">
        <f>HYPERLINK("http://catalog.hathitrust.org/Record/001201379","HathiTrust Record")</f>
        <v/>
      </c>
      <c r="AS72">
        <f>HYPERLINK("https://creighton-primo.hosted.exlibrisgroup.com/primo-explore/search?tab=default_tab&amp;search_scope=EVERYTHING&amp;vid=01CRU&amp;lang=en_US&amp;offset=0&amp;query=any,contains,991005072399702656","Catalog Record")</f>
        <v/>
      </c>
      <c r="AT72">
        <f>HYPERLINK("http://www.worldcat.org/oclc/7050235","WorldCat Record")</f>
        <v/>
      </c>
      <c r="AU72" t="inlineStr">
        <is>
          <t>1782411:fre</t>
        </is>
      </c>
      <c r="AV72" t="inlineStr">
        <is>
          <t>7050235</t>
        </is>
      </c>
      <c r="AW72" t="inlineStr">
        <is>
          <t>991005072399702656</t>
        </is>
      </c>
      <c r="AX72" t="inlineStr">
        <is>
          <t>991005072399702656</t>
        </is>
      </c>
      <c r="AY72" t="inlineStr">
        <is>
          <t>2267850630002656</t>
        </is>
      </c>
      <c r="AZ72" t="inlineStr">
        <is>
          <t>BOOK</t>
        </is>
      </c>
      <c r="BC72" t="inlineStr">
        <is>
          <t>32285003214318</t>
        </is>
      </c>
      <c r="BD72" t="inlineStr">
        <is>
          <t>893795562</t>
        </is>
      </c>
    </row>
    <row r="73">
      <c r="A73" t="inlineStr">
        <is>
          <t>No</t>
        </is>
      </c>
      <c r="B73" t="inlineStr">
        <is>
          <t>PC2111 .B357</t>
        </is>
      </c>
      <c r="C73" t="inlineStr">
        <is>
          <t>0                      PC 2111000B  357</t>
        </is>
      </c>
      <c r="D73" t="inlineStr">
        <is>
          <t>French review grammar and composition, by Francis Brown Barton and Edward Hinman Sirich.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Barton, Francis Brown, 1886-1971.</t>
        </is>
      </c>
      <c r="L73" t="inlineStr">
        <is>
          <t>New York, F. S. Crofts &amp; co., 1928.</t>
        </is>
      </c>
      <c r="M73" t="inlineStr">
        <is>
          <t>1928</t>
        </is>
      </c>
      <c r="O73" t="inlineStr">
        <is>
          <t>eng</t>
        </is>
      </c>
      <c r="P73" t="inlineStr">
        <is>
          <t xml:space="preserve">xx </t>
        </is>
      </c>
      <c r="R73" t="inlineStr">
        <is>
          <t xml:space="preserve">PC </t>
        </is>
      </c>
      <c r="S73" t="n">
        <v>4</v>
      </c>
      <c r="T73" t="n">
        <v>4</v>
      </c>
      <c r="U73" t="inlineStr">
        <is>
          <t>1999-03-22</t>
        </is>
      </c>
      <c r="V73" t="inlineStr">
        <is>
          <t>1999-03-22</t>
        </is>
      </c>
      <c r="W73" t="inlineStr">
        <is>
          <t>1997-09-11</t>
        </is>
      </c>
      <c r="X73" t="inlineStr">
        <is>
          <t>1997-09-11</t>
        </is>
      </c>
      <c r="Y73" t="n">
        <v>42</v>
      </c>
      <c r="Z73" t="n">
        <v>42</v>
      </c>
      <c r="AA73" t="n">
        <v>45</v>
      </c>
      <c r="AB73" t="n">
        <v>2</v>
      </c>
      <c r="AC73" t="n">
        <v>2</v>
      </c>
      <c r="AD73" t="n">
        <v>5</v>
      </c>
      <c r="AE73" t="n">
        <v>5</v>
      </c>
      <c r="AF73" t="n">
        <v>0</v>
      </c>
      <c r="AG73" t="n">
        <v>0</v>
      </c>
      <c r="AH73" t="n">
        <v>1</v>
      </c>
      <c r="AI73" t="n">
        <v>1</v>
      </c>
      <c r="AJ73" t="n">
        <v>3</v>
      </c>
      <c r="AK73" t="n">
        <v>3</v>
      </c>
      <c r="AL73" t="n">
        <v>1</v>
      </c>
      <c r="AM73" t="n">
        <v>1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HYPERLINK("http://catalog.hathitrust.org/Record/100842478","HathiTrust Record")</f>
        <v/>
      </c>
      <c r="AS73">
        <f>HYPERLINK("https://creighton-primo.hosted.exlibrisgroup.com/primo-explore/search?tab=default_tab&amp;search_scope=EVERYTHING&amp;vid=01CRU&amp;lang=en_US&amp;offset=0&amp;query=any,contains,991004486229702656","Catalog Record")</f>
        <v/>
      </c>
      <c r="AT73">
        <f>HYPERLINK("http://www.worldcat.org/oclc/3646526","WorldCat Record")</f>
        <v/>
      </c>
      <c r="AU73" t="inlineStr">
        <is>
          <t>149175144:eng</t>
        </is>
      </c>
      <c r="AV73" t="inlineStr">
        <is>
          <t>3646526</t>
        </is>
      </c>
      <c r="AW73" t="inlineStr">
        <is>
          <t>991004486229702656</t>
        </is>
      </c>
      <c r="AX73" t="inlineStr">
        <is>
          <t>991004486229702656</t>
        </is>
      </c>
      <c r="AY73" t="inlineStr">
        <is>
          <t>2254836220002656</t>
        </is>
      </c>
      <c r="AZ73" t="inlineStr">
        <is>
          <t>BOOK</t>
        </is>
      </c>
      <c r="BC73" t="inlineStr">
        <is>
          <t>32285003214359</t>
        </is>
      </c>
      <c r="BD73" t="inlineStr">
        <is>
          <t>893519713</t>
        </is>
      </c>
    </row>
    <row r="74">
      <c r="A74" t="inlineStr">
        <is>
          <t>No</t>
        </is>
      </c>
      <c r="B74" t="inlineStr">
        <is>
          <t>PC2111 .B788</t>
        </is>
      </c>
      <c r="C74" t="inlineStr">
        <is>
          <t>0                      PC 2111000B  788</t>
        </is>
      </c>
      <c r="D74" t="inlineStr">
        <is>
          <t>French composition and conversation, with review grammar, by Joseph Brown, Jr., and Dwight Ingersoll Chapman.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Brown, Joseph, 1901-</t>
        </is>
      </c>
      <c r="L74" t="inlineStr">
        <is>
          <t>New York, London, Century [c1928]</t>
        </is>
      </c>
      <c r="M74" t="inlineStr">
        <is>
          <t>1928</t>
        </is>
      </c>
      <c r="O74" t="inlineStr">
        <is>
          <t>eng</t>
        </is>
      </c>
      <c r="P74" t="inlineStr">
        <is>
          <t>nyu</t>
        </is>
      </c>
      <c r="Q74" t="inlineStr">
        <is>
          <t>The Century modern language series</t>
        </is>
      </c>
      <c r="R74" t="inlineStr">
        <is>
          <t xml:space="preserve">PC </t>
        </is>
      </c>
      <c r="S74" t="n">
        <v>5</v>
      </c>
      <c r="T74" t="n">
        <v>5</v>
      </c>
      <c r="U74" t="inlineStr">
        <is>
          <t>1999-03-22</t>
        </is>
      </c>
      <c r="V74" t="inlineStr">
        <is>
          <t>1999-03-22</t>
        </is>
      </c>
      <c r="W74" t="inlineStr">
        <is>
          <t>1997-09-11</t>
        </is>
      </c>
      <c r="X74" t="inlineStr">
        <is>
          <t>1997-09-11</t>
        </is>
      </c>
      <c r="Y74" t="n">
        <v>39</v>
      </c>
      <c r="Z74" t="n">
        <v>37</v>
      </c>
      <c r="AA74" t="n">
        <v>38</v>
      </c>
      <c r="AB74" t="n">
        <v>1</v>
      </c>
      <c r="AC74" t="n">
        <v>1</v>
      </c>
      <c r="AD74" t="n">
        <v>3</v>
      </c>
      <c r="AE74" t="n">
        <v>3</v>
      </c>
      <c r="AF74" t="n">
        <v>0</v>
      </c>
      <c r="AG74" t="n">
        <v>0</v>
      </c>
      <c r="AH74" t="n">
        <v>0</v>
      </c>
      <c r="AI74" t="n">
        <v>0</v>
      </c>
      <c r="AJ74" t="n">
        <v>3</v>
      </c>
      <c r="AK74" t="n">
        <v>3</v>
      </c>
      <c r="AL74" t="n">
        <v>0</v>
      </c>
      <c r="AM74" t="n">
        <v>0</v>
      </c>
      <c r="AN74" t="n">
        <v>0</v>
      </c>
      <c r="AO74" t="n">
        <v>0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HYPERLINK("https://creighton-primo.hosted.exlibrisgroup.com/primo-explore/search?tab=default_tab&amp;search_scope=EVERYTHING&amp;vid=01CRU&amp;lang=en_US&amp;offset=0&amp;query=any,contains,991004558369702656","Catalog Record")</f>
        <v/>
      </c>
      <c r="AT74">
        <f>HYPERLINK("http://www.worldcat.org/oclc/3980845","WorldCat Record")</f>
        <v/>
      </c>
      <c r="AU74" t="inlineStr">
        <is>
          <t>1031300490:eng</t>
        </is>
      </c>
      <c r="AV74" t="inlineStr">
        <is>
          <t>3980845</t>
        </is>
      </c>
      <c r="AW74" t="inlineStr">
        <is>
          <t>991004558369702656</t>
        </is>
      </c>
      <c r="AX74" t="inlineStr">
        <is>
          <t>991004558369702656</t>
        </is>
      </c>
      <c r="AY74" t="inlineStr">
        <is>
          <t>2272078620002656</t>
        </is>
      </c>
      <c r="AZ74" t="inlineStr">
        <is>
          <t>BOOK</t>
        </is>
      </c>
      <c r="BC74" t="inlineStr">
        <is>
          <t>32285003214433</t>
        </is>
      </c>
      <c r="BD74" t="inlineStr">
        <is>
          <t>893719078</t>
        </is>
      </c>
    </row>
    <row r="75">
      <c r="A75" t="inlineStr">
        <is>
          <t>No</t>
        </is>
      </c>
      <c r="B75" t="inlineStr">
        <is>
          <t>PC2111 .H69 1973</t>
        </is>
      </c>
      <c r="C75" t="inlineStr">
        <is>
          <t>0                      PC 2111000H  69          1973</t>
        </is>
      </c>
      <c r="D75" t="inlineStr">
        <is>
          <t>L'essentiel de la grammaire française / Léon-Frano̧is Hoffmann.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Hoffmann, Léon-François.</t>
        </is>
      </c>
      <c r="L75" t="inlineStr">
        <is>
          <t>New York : Scribner, [1973]</t>
        </is>
      </c>
      <c r="M75" t="inlineStr">
        <is>
          <t>1973</t>
        </is>
      </c>
      <c r="N75" t="inlineStr">
        <is>
          <t>Deuxième édition.</t>
        </is>
      </c>
      <c r="O75" t="inlineStr">
        <is>
          <t>fre</t>
        </is>
      </c>
      <c r="P75" t="inlineStr">
        <is>
          <t xml:space="preserve">xx </t>
        </is>
      </c>
      <c r="Q75" t="inlineStr">
        <is>
          <t>The Scribner French series</t>
        </is>
      </c>
      <c r="R75" t="inlineStr">
        <is>
          <t xml:space="preserve">PC </t>
        </is>
      </c>
      <c r="S75" t="n">
        <v>1</v>
      </c>
      <c r="T75" t="n">
        <v>1</v>
      </c>
      <c r="U75" t="inlineStr">
        <is>
          <t>1998-04-06</t>
        </is>
      </c>
      <c r="V75" t="inlineStr">
        <is>
          <t>1998-04-06</t>
        </is>
      </c>
      <c r="W75" t="inlineStr">
        <is>
          <t>1992-07-20</t>
        </is>
      </c>
      <c r="X75" t="inlineStr">
        <is>
          <t>1992-07-20</t>
        </is>
      </c>
      <c r="Y75" t="n">
        <v>99</v>
      </c>
      <c r="Z75" t="n">
        <v>77</v>
      </c>
      <c r="AA75" t="n">
        <v>272</v>
      </c>
      <c r="AB75" t="n">
        <v>1</v>
      </c>
      <c r="AC75" t="n">
        <v>2</v>
      </c>
      <c r="AD75" t="n">
        <v>2</v>
      </c>
      <c r="AE75" t="n">
        <v>7</v>
      </c>
      <c r="AF75" t="n">
        <v>0</v>
      </c>
      <c r="AG75" t="n">
        <v>3</v>
      </c>
      <c r="AH75" t="n">
        <v>0</v>
      </c>
      <c r="AI75" t="n">
        <v>1</v>
      </c>
      <c r="AJ75" t="n">
        <v>2</v>
      </c>
      <c r="AK75" t="n">
        <v>4</v>
      </c>
      <c r="AL75" t="n">
        <v>0</v>
      </c>
      <c r="AM75" t="n">
        <v>1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HYPERLINK("http://catalog.hathitrust.org/Record/007114725","HathiTrust Record")</f>
        <v/>
      </c>
      <c r="AS75">
        <f>HYPERLINK("https://creighton-primo.hosted.exlibrisgroup.com/primo-explore/search?tab=default_tab&amp;search_scope=EVERYTHING&amp;vid=01CRU&amp;lang=en_US&amp;offset=0&amp;query=any,contains,991003889799702656","Catalog Record")</f>
        <v/>
      </c>
      <c r="AT75">
        <f>HYPERLINK("http://www.worldcat.org/oclc/1750170","WorldCat Record")</f>
        <v/>
      </c>
      <c r="AU75" t="inlineStr">
        <is>
          <t>348799364:fre</t>
        </is>
      </c>
      <c r="AV75" t="inlineStr">
        <is>
          <t>1750170</t>
        </is>
      </c>
      <c r="AW75" t="inlineStr">
        <is>
          <t>991003889799702656</t>
        </is>
      </c>
      <c r="AX75" t="inlineStr">
        <is>
          <t>991003889799702656</t>
        </is>
      </c>
      <c r="AY75" t="inlineStr">
        <is>
          <t>2255463510002656</t>
        </is>
      </c>
      <c r="AZ75" t="inlineStr">
        <is>
          <t>BOOK</t>
        </is>
      </c>
      <c r="BB75" t="inlineStr">
        <is>
          <t>9780684130866</t>
        </is>
      </c>
      <c r="BC75" t="inlineStr">
        <is>
          <t>32285001201390</t>
        </is>
      </c>
      <c r="BD75" t="inlineStr">
        <is>
          <t>893593020</t>
        </is>
      </c>
    </row>
    <row r="76">
      <c r="A76" t="inlineStr">
        <is>
          <t>No</t>
        </is>
      </c>
      <c r="B76" t="inlineStr">
        <is>
          <t>PC2111 .L52</t>
        </is>
      </c>
      <c r="C76" t="inlineStr">
        <is>
          <t>0                      PC 2111000L  52</t>
        </is>
      </c>
      <c r="D76" t="inlineStr">
        <is>
          <t>A modern French grammar : for secondary schools and colleges / by Philippe de La Rochelle.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La Rochelle, Philippe de, 1871-</t>
        </is>
      </c>
      <c r="L76" t="inlineStr">
        <is>
          <t>New York : Putnam, 1919</t>
        </is>
      </c>
      <c r="M76" t="inlineStr">
        <is>
          <t>1919</t>
        </is>
      </c>
      <c r="O76" t="inlineStr">
        <is>
          <t>eng</t>
        </is>
      </c>
      <c r="P76" t="inlineStr">
        <is>
          <t>nyu</t>
        </is>
      </c>
      <c r="R76" t="inlineStr">
        <is>
          <t xml:space="preserve">PC </t>
        </is>
      </c>
      <c r="S76" t="n">
        <v>6</v>
      </c>
      <c r="T76" t="n">
        <v>6</v>
      </c>
      <c r="U76" t="inlineStr">
        <is>
          <t>1999-02-05</t>
        </is>
      </c>
      <c r="V76" t="inlineStr">
        <is>
          <t>1999-02-05</t>
        </is>
      </c>
      <c r="W76" t="inlineStr">
        <is>
          <t>1997-09-11</t>
        </is>
      </c>
      <c r="X76" t="inlineStr">
        <is>
          <t>1997-09-11</t>
        </is>
      </c>
      <c r="Y76" t="n">
        <v>40</v>
      </c>
      <c r="Z76" t="n">
        <v>38</v>
      </c>
      <c r="AA76" t="n">
        <v>56</v>
      </c>
      <c r="AB76" t="n">
        <v>1</v>
      </c>
      <c r="AC76" t="n">
        <v>2</v>
      </c>
      <c r="AD76" t="n">
        <v>1</v>
      </c>
      <c r="AE76" t="n">
        <v>3</v>
      </c>
      <c r="AF76" t="n">
        <v>0</v>
      </c>
      <c r="AG76" t="n">
        <v>0</v>
      </c>
      <c r="AH76" t="n">
        <v>1</v>
      </c>
      <c r="AI76" t="n">
        <v>2</v>
      </c>
      <c r="AJ76" t="n">
        <v>1</v>
      </c>
      <c r="AK76" t="n">
        <v>1</v>
      </c>
      <c r="AL76" t="n">
        <v>0</v>
      </c>
      <c r="AM76" t="n">
        <v>1</v>
      </c>
      <c r="AN76" t="n">
        <v>0</v>
      </c>
      <c r="AO76" t="n">
        <v>0</v>
      </c>
      <c r="AP76" t="inlineStr">
        <is>
          <t>Yes</t>
        </is>
      </c>
      <c r="AQ76" t="inlineStr">
        <is>
          <t>No</t>
        </is>
      </c>
      <c r="AR76">
        <f>HYPERLINK("http://catalog.hathitrust.org/Record/001201304","HathiTrust Record")</f>
        <v/>
      </c>
      <c r="AS76">
        <f>HYPERLINK("https://creighton-primo.hosted.exlibrisgroup.com/primo-explore/search?tab=default_tab&amp;search_scope=EVERYTHING&amp;vid=01CRU&amp;lang=en_US&amp;offset=0&amp;query=any,contains,991005150089702656","Catalog Record")</f>
        <v/>
      </c>
      <c r="AT76">
        <f>HYPERLINK("http://www.worldcat.org/oclc/7725655","WorldCat Record")</f>
        <v/>
      </c>
      <c r="AU76" t="inlineStr">
        <is>
          <t>427580687:eng</t>
        </is>
      </c>
      <c r="AV76" t="inlineStr">
        <is>
          <t>7725655</t>
        </is>
      </c>
      <c r="AW76" t="inlineStr">
        <is>
          <t>991005150089702656</t>
        </is>
      </c>
      <c r="AX76" t="inlineStr">
        <is>
          <t>991005150089702656</t>
        </is>
      </c>
      <c r="AY76" t="inlineStr">
        <is>
          <t>2259346400002656</t>
        </is>
      </c>
      <c r="AZ76" t="inlineStr">
        <is>
          <t>BOOK</t>
        </is>
      </c>
      <c r="BC76" t="inlineStr">
        <is>
          <t>32285003214573</t>
        </is>
      </c>
      <c r="BD76" t="inlineStr">
        <is>
          <t>893600711</t>
        </is>
      </c>
    </row>
    <row r="77">
      <c r="A77" t="inlineStr">
        <is>
          <t>No</t>
        </is>
      </c>
      <c r="B77" t="inlineStr">
        <is>
          <t>PC2111 .L588</t>
        </is>
      </c>
      <c r="C77" t="inlineStr">
        <is>
          <t>0                      PC 2111000L  588</t>
        </is>
      </c>
      <c r="D77" t="inlineStr">
        <is>
          <t>Unified French course, an integrated course for beginners, by Irville C. Lecompte and Myrtle Violet Sundeen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LeCompte, Irville C., 1872-1957.</t>
        </is>
      </c>
      <c r="L77" t="inlineStr">
        <is>
          <t>Boston, D.C. Heath [c1937]</t>
        </is>
      </c>
      <c r="M77" t="inlineStr">
        <is>
          <t>1937</t>
        </is>
      </c>
      <c r="O77" t="inlineStr">
        <is>
          <t>eng</t>
        </is>
      </c>
      <c r="P77" t="inlineStr">
        <is>
          <t>___</t>
        </is>
      </c>
      <c r="Q77" t="inlineStr">
        <is>
          <t>Heath's modern language series</t>
        </is>
      </c>
      <c r="R77" t="inlineStr">
        <is>
          <t xml:space="preserve">PC </t>
        </is>
      </c>
      <c r="S77" t="n">
        <v>5</v>
      </c>
      <c r="T77" t="n">
        <v>5</v>
      </c>
      <c r="U77" t="inlineStr">
        <is>
          <t>2009-05-26</t>
        </is>
      </c>
      <c r="V77" t="inlineStr">
        <is>
          <t>2009-05-26</t>
        </is>
      </c>
      <c r="W77" t="inlineStr">
        <is>
          <t>1993-04-15</t>
        </is>
      </c>
      <c r="X77" t="inlineStr">
        <is>
          <t>1993-04-15</t>
        </is>
      </c>
      <c r="Y77" t="n">
        <v>51</v>
      </c>
      <c r="Z77" t="n">
        <v>45</v>
      </c>
      <c r="AA77" t="n">
        <v>45</v>
      </c>
      <c r="AB77" t="n">
        <v>1</v>
      </c>
      <c r="AC77" t="n">
        <v>1</v>
      </c>
      <c r="AD77" t="n">
        <v>1</v>
      </c>
      <c r="AE77" t="n">
        <v>1</v>
      </c>
      <c r="AF77" t="n">
        <v>0</v>
      </c>
      <c r="AG77" t="n">
        <v>0</v>
      </c>
      <c r="AH77" t="n">
        <v>1</v>
      </c>
      <c r="AI77" t="n">
        <v>1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inlineStr">
        <is>
          <t>No</t>
        </is>
      </c>
      <c r="AQ77" t="inlineStr">
        <is>
          <t>No</t>
        </is>
      </c>
      <c r="AS77">
        <f>HYPERLINK("https://creighton-primo.hosted.exlibrisgroup.com/primo-explore/search?tab=default_tab&amp;search_scope=EVERYTHING&amp;vid=01CRU&amp;lang=en_US&amp;offset=0&amp;query=any,contains,991003041399702656","Catalog Record")</f>
        <v/>
      </c>
      <c r="AT77">
        <f>HYPERLINK("http://www.worldcat.org/oclc/602652","WorldCat Record")</f>
        <v/>
      </c>
      <c r="AU77" t="inlineStr">
        <is>
          <t>422790248:eng</t>
        </is>
      </c>
      <c r="AV77" t="inlineStr">
        <is>
          <t>602652</t>
        </is>
      </c>
      <c r="AW77" t="inlineStr">
        <is>
          <t>991003041399702656</t>
        </is>
      </c>
      <c r="AX77" t="inlineStr">
        <is>
          <t>991003041399702656</t>
        </is>
      </c>
      <c r="AY77" t="inlineStr">
        <is>
          <t>2260037910002656</t>
        </is>
      </c>
      <c r="AZ77" t="inlineStr">
        <is>
          <t>BOOK</t>
        </is>
      </c>
      <c r="BC77" t="inlineStr">
        <is>
          <t>32285001645133</t>
        </is>
      </c>
      <c r="BD77" t="inlineStr">
        <is>
          <t>893698616</t>
        </is>
      </c>
    </row>
    <row r="78">
      <c r="A78" t="inlineStr">
        <is>
          <t>No</t>
        </is>
      </c>
      <c r="B78" t="inlineStr">
        <is>
          <t>PC2111 .L7</t>
        </is>
      </c>
      <c r="C78" t="inlineStr">
        <is>
          <t>0                      PC 2111000L  7</t>
        </is>
      </c>
      <c r="D78" t="inlineStr">
        <is>
          <t>French composition : a trip to Paris / by Moritz Levi.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Levi, Moritz, 1857-</t>
        </is>
      </c>
      <c r="L78" t="inlineStr">
        <is>
          <t>New York : Holt, c1916.</t>
        </is>
      </c>
      <c r="M78" t="inlineStr">
        <is>
          <t>1916</t>
        </is>
      </c>
      <c r="O78" t="inlineStr">
        <is>
          <t>eng</t>
        </is>
      </c>
      <c r="P78" t="inlineStr">
        <is>
          <t>nyu</t>
        </is>
      </c>
      <c r="R78" t="inlineStr">
        <is>
          <t xml:space="preserve">PC </t>
        </is>
      </c>
      <c r="S78" t="n">
        <v>2</v>
      </c>
      <c r="T78" t="n">
        <v>2</v>
      </c>
      <c r="U78" t="inlineStr">
        <is>
          <t>1997-10-08</t>
        </is>
      </c>
      <c r="V78" t="inlineStr">
        <is>
          <t>1997-10-08</t>
        </is>
      </c>
      <c r="W78" t="inlineStr">
        <is>
          <t>1992-03-12</t>
        </is>
      </c>
      <c r="X78" t="inlineStr">
        <is>
          <t>1992-03-12</t>
        </is>
      </c>
      <c r="Y78" t="n">
        <v>29</v>
      </c>
      <c r="Z78" t="n">
        <v>28</v>
      </c>
      <c r="AA78" t="n">
        <v>36</v>
      </c>
      <c r="AB78" t="n">
        <v>1</v>
      </c>
      <c r="AC78" t="n">
        <v>1</v>
      </c>
      <c r="AD78" t="n">
        <v>4</v>
      </c>
      <c r="AE78" t="n">
        <v>4</v>
      </c>
      <c r="AF78" t="n">
        <v>2</v>
      </c>
      <c r="AG78" t="n">
        <v>2</v>
      </c>
      <c r="AH78" t="n">
        <v>0</v>
      </c>
      <c r="AI78" t="n">
        <v>0</v>
      </c>
      <c r="AJ78" t="n">
        <v>3</v>
      </c>
      <c r="AK78" t="n">
        <v>3</v>
      </c>
      <c r="AL78" t="n">
        <v>0</v>
      </c>
      <c r="AM78" t="n">
        <v>0</v>
      </c>
      <c r="AN78" t="n">
        <v>0</v>
      </c>
      <c r="AO78" t="n">
        <v>0</v>
      </c>
      <c r="AP78" t="inlineStr">
        <is>
          <t>Yes</t>
        </is>
      </c>
      <c r="AQ78" t="inlineStr">
        <is>
          <t>No</t>
        </is>
      </c>
      <c r="AR78">
        <f>HYPERLINK("http://catalog.hathitrust.org/Record/001201310","HathiTrust Record")</f>
        <v/>
      </c>
      <c r="AS78">
        <f>HYPERLINK("https://creighton-primo.hosted.exlibrisgroup.com/primo-explore/search?tab=default_tab&amp;search_scope=EVERYTHING&amp;vid=01CRU&amp;lang=en_US&amp;offset=0&amp;query=any,contains,991000317899702656","Catalog Record")</f>
        <v/>
      </c>
      <c r="AT78">
        <f>HYPERLINK("http://www.worldcat.org/oclc/10126501","WorldCat Record")</f>
        <v/>
      </c>
      <c r="AU78" t="inlineStr">
        <is>
          <t>3355928:eng</t>
        </is>
      </c>
      <c r="AV78" t="inlineStr">
        <is>
          <t>10126501</t>
        </is>
      </c>
      <c r="AW78" t="inlineStr">
        <is>
          <t>991000317899702656</t>
        </is>
      </c>
      <c r="AX78" t="inlineStr">
        <is>
          <t>991000317899702656</t>
        </is>
      </c>
      <c r="AY78" t="inlineStr">
        <is>
          <t>2259210570002656</t>
        </is>
      </c>
      <c r="AZ78" t="inlineStr">
        <is>
          <t>BOOK</t>
        </is>
      </c>
      <c r="BC78" t="inlineStr">
        <is>
          <t>32285000998426</t>
        </is>
      </c>
      <c r="BD78" t="inlineStr">
        <is>
          <t>893802677</t>
        </is>
      </c>
    </row>
    <row r="79">
      <c r="A79" t="inlineStr">
        <is>
          <t>No</t>
        </is>
      </c>
      <c r="B79" t="inlineStr">
        <is>
          <t>PC2111 .P72 1963</t>
        </is>
      </c>
      <c r="C79" t="inlineStr">
        <is>
          <t>0                      PC 2111000P  72          1963</t>
        </is>
      </c>
      <c r="D79" t="inlineStr">
        <is>
          <t>Active review of French : selected patterns, vocabulary, and pronunciation problems for speakers of English / [by] Robert L. Politzer [and] Michio P. Hagiwara.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Politzer, Robert Louis, 1921-</t>
        </is>
      </c>
      <c r="L79" t="inlineStr">
        <is>
          <t>Boston : Ginn, [1963]</t>
        </is>
      </c>
      <c r="M79" t="inlineStr">
        <is>
          <t>1963</t>
        </is>
      </c>
      <c r="O79" t="inlineStr">
        <is>
          <t>eng</t>
        </is>
      </c>
      <c r="P79" t="inlineStr">
        <is>
          <t>mau</t>
        </is>
      </c>
      <c r="R79" t="inlineStr">
        <is>
          <t xml:space="preserve">PC </t>
        </is>
      </c>
      <c r="S79" t="n">
        <v>5</v>
      </c>
      <c r="T79" t="n">
        <v>5</v>
      </c>
      <c r="U79" t="inlineStr">
        <is>
          <t>2001-08-22</t>
        </is>
      </c>
      <c r="V79" t="inlineStr">
        <is>
          <t>2001-08-22</t>
        </is>
      </c>
      <c r="W79" t="inlineStr">
        <is>
          <t>1996-07-17</t>
        </is>
      </c>
      <c r="X79" t="inlineStr">
        <is>
          <t>1996-07-17</t>
        </is>
      </c>
      <c r="Y79" t="n">
        <v>66</v>
      </c>
      <c r="Z79" t="n">
        <v>50</v>
      </c>
      <c r="AA79" t="n">
        <v>70</v>
      </c>
      <c r="AB79" t="n">
        <v>1</v>
      </c>
      <c r="AC79" t="n">
        <v>1</v>
      </c>
      <c r="AD79" t="n">
        <v>2</v>
      </c>
      <c r="AE79" t="n">
        <v>2</v>
      </c>
      <c r="AF79" t="n">
        <v>1</v>
      </c>
      <c r="AG79" t="n">
        <v>1</v>
      </c>
      <c r="AH79" t="n">
        <v>0</v>
      </c>
      <c r="AI79" t="n">
        <v>0</v>
      </c>
      <c r="AJ79" t="n">
        <v>1</v>
      </c>
      <c r="AK79" t="n">
        <v>1</v>
      </c>
      <c r="AL79" t="n">
        <v>0</v>
      </c>
      <c r="AM79" t="n">
        <v>0</v>
      </c>
      <c r="AN79" t="n">
        <v>0</v>
      </c>
      <c r="AO79" t="n">
        <v>0</v>
      </c>
      <c r="AP79" t="inlineStr">
        <is>
          <t>No</t>
        </is>
      </c>
      <c r="AQ79" t="inlineStr">
        <is>
          <t>No</t>
        </is>
      </c>
      <c r="AS79">
        <f>HYPERLINK("https://creighton-primo.hosted.exlibrisgroup.com/primo-explore/search?tab=default_tab&amp;search_scope=EVERYTHING&amp;vid=01CRU&amp;lang=en_US&amp;offset=0&amp;query=any,contains,991003998839702656","Catalog Record")</f>
        <v/>
      </c>
      <c r="AT79">
        <f>HYPERLINK("http://www.worldcat.org/oclc/2069482","WorldCat Record")</f>
        <v/>
      </c>
      <c r="AU79" t="inlineStr">
        <is>
          <t>3873775:eng</t>
        </is>
      </c>
      <c r="AV79" t="inlineStr">
        <is>
          <t>2069482</t>
        </is>
      </c>
      <c r="AW79" t="inlineStr">
        <is>
          <t>991003998839702656</t>
        </is>
      </c>
      <c r="AX79" t="inlineStr">
        <is>
          <t>991003998839702656</t>
        </is>
      </c>
      <c r="AY79" t="inlineStr">
        <is>
          <t>2266069270002656</t>
        </is>
      </c>
      <c r="AZ79" t="inlineStr">
        <is>
          <t>BOOK</t>
        </is>
      </c>
      <c r="BC79" t="inlineStr">
        <is>
          <t>32285002213311</t>
        </is>
      </c>
      <c r="BD79" t="inlineStr">
        <is>
          <t>893525504</t>
        </is>
      </c>
    </row>
    <row r="80">
      <c r="A80" t="inlineStr">
        <is>
          <t>No</t>
        </is>
      </c>
      <c r="B80" t="inlineStr">
        <is>
          <t>PC2112 .J82 1983</t>
        </is>
      </c>
      <c r="C80" t="inlineStr">
        <is>
          <t>0                      PC 2112000J  82          1983</t>
        </is>
      </c>
      <c r="D80" t="inlineStr">
        <is>
          <t>A Reference grammar of modern French / Anne Judge, F.G. Healey.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Judge, Anne.</t>
        </is>
      </c>
      <c r="L80" t="inlineStr">
        <is>
          <t>London : Edward Arnold, 1983.</t>
        </is>
      </c>
      <c r="M80" t="inlineStr">
        <is>
          <t>1983</t>
        </is>
      </c>
      <c r="O80" t="inlineStr">
        <is>
          <t>eng</t>
        </is>
      </c>
      <c r="P80" t="inlineStr">
        <is>
          <t>enk</t>
        </is>
      </c>
      <c r="R80" t="inlineStr">
        <is>
          <t xml:space="preserve">PC </t>
        </is>
      </c>
      <c r="S80" t="n">
        <v>14</v>
      </c>
      <c r="T80" t="n">
        <v>14</v>
      </c>
      <c r="U80" t="inlineStr">
        <is>
          <t>2005-07-11</t>
        </is>
      </c>
      <c r="V80" t="inlineStr">
        <is>
          <t>2005-07-11</t>
        </is>
      </c>
      <c r="W80" t="inlineStr">
        <is>
          <t>1991-12-09</t>
        </is>
      </c>
      <c r="X80" t="inlineStr">
        <is>
          <t>1991-12-09</t>
        </is>
      </c>
      <c r="Y80" t="n">
        <v>426</v>
      </c>
      <c r="Z80" t="n">
        <v>294</v>
      </c>
      <c r="AA80" t="n">
        <v>555</v>
      </c>
      <c r="AB80" t="n">
        <v>3</v>
      </c>
      <c r="AC80" t="n">
        <v>5</v>
      </c>
      <c r="AD80" t="n">
        <v>19</v>
      </c>
      <c r="AE80" t="n">
        <v>28</v>
      </c>
      <c r="AF80" t="n">
        <v>6</v>
      </c>
      <c r="AG80" t="n">
        <v>10</v>
      </c>
      <c r="AH80" t="n">
        <v>5</v>
      </c>
      <c r="AI80" t="n">
        <v>6</v>
      </c>
      <c r="AJ80" t="n">
        <v>11</v>
      </c>
      <c r="AK80" t="n">
        <v>14</v>
      </c>
      <c r="AL80" t="n">
        <v>2</v>
      </c>
      <c r="AM80" t="n">
        <v>4</v>
      </c>
      <c r="AN80" t="n">
        <v>0</v>
      </c>
      <c r="AO80" t="n">
        <v>0</v>
      </c>
      <c r="AP80" t="inlineStr">
        <is>
          <t>No</t>
        </is>
      </c>
      <c r="AQ80" t="inlineStr">
        <is>
          <t>No</t>
        </is>
      </c>
      <c r="AS80">
        <f>HYPERLINK("https://creighton-primo.hosted.exlibrisgroup.com/primo-explore/search?tab=default_tab&amp;search_scope=EVERYTHING&amp;vid=01CRU&amp;lang=en_US&amp;offset=0&amp;query=any,contains,991000372799702656","Catalog Record")</f>
        <v/>
      </c>
      <c r="AT80">
        <f>HYPERLINK("http://www.worldcat.org/oclc/12586462","WorldCat Record")</f>
        <v/>
      </c>
      <c r="AU80" t="inlineStr">
        <is>
          <t>3197260:eng</t>
        </is>
      </c>
      <c r="AV80" t="inlineStr">
        <is>
          <t>12586462</t>
        </is>
      </c>
      <c r="AW80" t="inlineStr">
        <is>
          <t>991000372799702656</t>
        </is>
      </c>
      <c r="AX80" t="inlineStr">
        <is>
          <t>991000372799702656</t>
        </is>
      </c>
      <c r="AY80" t="inlineStr">
        <is>
          <t>2268903940002656</t>
        </is>
      </c>
      <c r="AZ80" t="inlineStr">
        <is>
          <t>BOOK</t>
        </is>
      </c>
      <c r="BB80" t="inlineStr">
        <is>
          <t>9780713162851</t>
        </is>
      </c>
      <c r="BC80" t="inlineStr">
        <is>
          <t>32285000829563</t>
        </is>
      </c>
      <c r="BD80" t="inlineStr">
        <is>
          <t>893413291</t>
        </is>
      </c>
    </row>
    <row r="81">
      <c r="A81" t="inlineStr">
        <is>
          <t>No</t>
        </is>
      </c>
      <c r="B81" t="inlineStr">
        <is>
          <t>PC2115 .K8</t>
        </is>
      </c>
      <c r="C81" t="inlineStr">
        <is>
          <t>0                      PC 2115000K  8</t>
        </is>
      </c>
      <c r="D81" t="inlineStr">
        <is>
          <t>French reading for beginners.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Kuhns, Oscar, 1856-1929, compiler.</t>
        </is>
      </c>
      <c r="L81" t="inlineStr">
        <is>
          <t>H. Holt and company, 1899.</t>
        </is>
      </c>
      <c r="M81" t="inlineStr">
        <is>
          <t>1899</t>
        </is>
      </c>
      <c r="O81" t="inlineStr">
        <is>
          <t>fre</t>
        </is>
      </c>
      <c r="P81" t="inlineStr">
        <is>
          <t xml:space="preserve">xx </t>
        </is>
      </c>
      <c r="R81" t="inlineStr">
        <is>
          <t xml:space="preserve">PC </t>
        </is>
      </c>
      <c r="S81" t="n">
        <v>4</v>
      </c>
      <c r="T81" t="n">
        <v>4</v>
      </c>
      <c r="U81" t="inlineStr">
        <is>
          <t>1999-03-22</t>
        </is>
      </c>
      <c r="V81" t="inlineStr">
        <is>
          <t>1999-03-22</t>
        </is>
      </c>
      <c r="W81" t="inlineStr">
        <is>
          <t>1997-09-15</t>
        </is>
      </c>
      <c r="X81" t="inlineStr">
        <is>
          <t>1997-09-15</t>
        </is>
      </c>
      <c r="Y81" t="n">
        <v>25</v>
      </c>
      <c r="Z81" t="n">
        <v>25</v>
      </c>
      <c r="AA81" t="n">
        <v>39</v>
      </c>
      <c r="AB81" t="n">
        <v>1</v>
      </c>
      <c r="AC81" t="n">
        <v>1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inlineStr">
        <is>
          <t>Yes</t>
        </is>
      </c>
      <c r="AQ81" t="inlineStr">
        <is>
          <t>No</t>
        </is>
      </c>
      <c r="AR81">
        <f>HYPERLINK("http://catalog.hathitrust.org/Record/006506773","HathiTrust Record")</f>
        <v/>
      </c>
      <c r="AS81">
        <f>HYPERLINK("https://creighton-primo.hosted.exlibrisgroup.com/primo-explore/search?tab=default_tab&amp;search_scope=EVERYTHING&amp;vid=01CRU&amp;lang=en_US&amp;offset=0&amp;query=any,contains,991002293119702656","Catalog Record")</f>
        <v/>
      </c>
      <c r="AT81">
        <f>HYPERLINK("http://www.worldcat.org/oclc/313876","WorldCat Record")</f>
        <v/>
      </c>
      <c r="AU81" t="inlineStr">
        <is>
          <t>2288281333:fre</t>
        </is>
      </c>
      <c r="AV81" t="inlineStr">
        <is>
          <t>313876</t>
        </is>
      </c>
      <c r="AW81" t="inlineStr">
        <is>
          <t>991002293119702656</t>
        </is>
      </c>
      <c r="AX81" t="inlineStr">
        <is>
          <t>991002293119702656</t>
        </is>
      </c>
      <c r="AY81" t="inlineStr">
        <is>
          <t>2269512410002656</t>
        </is>
      </c>
      <c r="AZ81" t="inlineStr">
        <is>
          <t>BOOK</t>
        </is>
      </c>
      <c r="BC81" t="inlineStr">
        <is>
          <t>32285003214656</t>
        </is>
      </c>
      <c r="BD81" t="inlineStr">
        <is>
          <t>893685199</t>
        </is>
      </c>
    </row>
    <row r="82">
      <c r="A82" t="inlineStr">
        <is>
          <t>No</t>
        </is>
      </c>
      <c r="B82" t="inlineStr">
        <is>
          <t>PC2117 .F82</t>
        </is>
      </c>
      <c r="C82" t="inlineStr">
        <is>
          <t>0                      PC 2117000F  82</t>
        </is>
      </c>
      <c r="D82" t="inlineStr">
        <is>
          <t>Quelques journées françaises / [par] Émile Frère [et] Robert Laborde.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Frère, Émile.</t>
        </is>
      </c>
      <c r="L82" t="inlineStr">
        <is>
          <t>Waltham, Mass. : Blaisdell Pub. Co., [1969]</t>
        </is>
      </c>
      <c r="M82" t="inlineStr">
        <is>
          <t>1969</t>
        </is>
      </c>
      <c r="O82" t="inlineStr">
        <is>
          <t>fre</t>
        </is>
      </c>
      <c r="P82" t="inlineStr">
        <is>
          <t>mau</t>
        </is>
      </c>
      <c r="Q82" t="inlineStr">
        <is>
          <t>A Blaisdell book in the modern languages</t>
        </is>
      </c>
      <c r="R82" t="inlineStr">
        <is>
          <t xml:space="preserve">PC </t>
        </is>
      </c>
      <c r="S82" t="n">
        <v>0</v>
      </c>
      <c r="T82" t="n">
        <v>0</v>
      </c>
      <c r="U82" t="inlineStr">
        <is>
          <t>2004-11-02</t>
        </is>
      </c>
      <c r="V82" t="inlineStr">
        <is>
          <t>2004-11-02</t>
        </is>
      </c>
      <c r="W82" t="inlineStr">
        <is>
          <t>1992-03-11</t>
        </is>
      </c>
      <c r="X82" t="inlineStr">
        <is>
          <t>1992-03-11</t>
        </is>
      </c>
      <c r="Y82" t="n">
        <v>20</v>
      </c>
      <c r="Z82" t="n">
        <v>16</v>
      </c>
      <c r="AA82" t="n">
        <v>16</v>
      </c>
      <c r="AB82" t="n">
        <v>2</v>
      </c>
      <c r="AC82" t="n">
        <v>2</v>
      </c>
      <c r="AD82" t="n">
        <v>1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  <c r="AL82" t="n">
        <v>1</v>
      </c>
      <c r="AM82" t="n">
        <v>1</v>
      </c>
      <c r="AN82" t="n">
        <v>0</v>
      </c>
      <c r="AO82" t="n">
        <v>0</v>
      </c>
      <c r="AP82" t="inlineStr">
        <is>
          <t>No</t>
        </is>
      </c>
      <c r="AQ82" t="inlineStr">
        <is>
          <t>No</t>
        </is>
      </c>
      <c r="AS82">
        <f>HYPERLINK("https://creighton-primo.hosted.exlibrisgroup.com/primo-explore/search?tab=default_tab&amp;search_scope=EVERYTHING&amp;vid=01CRU&amp;lang=en_US&amp;offset=0&amp;query=any,contains,991000057339702656","Catalog Record")</f>
        <v/>
      </c>
      <c r="AT82">
        <f>HYPERLINK("http://www.worldcat.org/oclc/23674","WorldCat Record")</f>
        <v/>
      </c>
      <c r="AU82" t="inlineStr">
        <is>
          <t>1145890:fre</t>
        </is>
      </c>
      <c r="AV82" t="inlineStr">
        <is>
          <t>23674</t>
        </is>
      </c>
      <c r="AW82" t="inlineStr">
        <is>
          <t>991000057339702656</t>
        </is>
      </c>
      <c r="AX82" t="inlineStr">
        <is>
          <t>991000057339702656</t>
        </is>
      </c>
      <c r="AY82" t="inlineStr">
        <is>
          <t>2267609980002656</t>
        </is>
      </c>
      <c r="AZ82" t="inlineStr">
        <is>
          <t>BOOK</t>
        </is>
      </c>
      <c r="BC82" t="inlineStr">
        <is>
          <t>32285000996511</t>
        </is>
      </c>
      <c r="BD82" t="inlineStr">
        <is>
          <t>893224695</t>
        </is>
      </c>
    </row>
    <row r="83">
      <c r="A83" t="inlineStr">
        <is>
          <t>No</t>
        </is>
      </c>
      <c r="B83" t="inlineStr">
        <is>
          <t>PC2117 .M61</t>
        </is>
      </c>
      <c r="C83" t="inlineStr">
        <is>
          <t>0                      PC 2117000M  61</t>
        </is>
      </c>
      <c r="D83" t="inlineStr">
        <is>
          <t>La belle France; a French reader for beginners, by Adolphe de Monvert; with illustrations prepared and arranged by Charles H. Munson.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Monvert, Adolphe de.</t>
        </is>
      </c>
      <c r="L83" t="inlineStr">
        <is>
          <t>Boston, New York [etc.] Allyn and Bacon [c1916]</t>
        </is>
      </c>
      <c r="M83" t="inlineStr">
        <is>
          <t>1916</t>
        </is>
      </c>
      <c r="O83" t="inlineStr">
        <is>
          <t>fre</t>
        </is>
      </c>
      <c r="P83" t="inlineStr">
        <is>
          <t>mau</t>
        </is>
      </c>
      <c r="R83" t="inlineStr">
        <is>
          <t xml:space="preserve">PC </t>
        </is>
      </c>
      <c r="S83" t="n">
        <v>2</v>
      </c>
      <c r="T83" t="n">
        <v>2</v>
      </c>
      <c r="U83" t="inlineStr">
        <is>
          <t>1995-11-08</t>
        </is>
      </c>
      <c r="V83" t="inlineStr">
        <is>
          <t>1995-11-08</t>
        </is>
      </c>
      <c r="W83" t="inlineStr">
        <is>
          <t>1992-02-10</t>
        </is>
      </c>
      <c r="X83" t="inlineStr">
        <is>
          <t>1992-02-10</t>
        </is>
      </c>
      <c r="Y83" t="n">
        <v>39</v>
      </c>
      <c r="Z83" t="n">
        <v>39</v>
      </c>
      <c r="AA83" t="n">
        <v>99</v>
      </c>
      <c r="AB83" t="n">
        <v>1</v>
      </c>
      <c r="AC83" t="n">
        <v>4</v>
      </c>
      <c r="AD83" t="n">
        <v>2</v>
      </c>
      <c r="AE83" t="n">
        <v>8</v>
      </c>
      <c r="AF83" t="n">
        <v>1</v>
      </c>
      <c r="AG83" t="n">
        <v>2</v>
      </c>
      <c r="AH83" t="n">
        <v>0</v>
      </c>
      <c r="AI83" t="n">
        <v>1</v>
      </c>
      <c r="AJ83" t="n">
        <v>1</v>
      </c>
      <c r="AK83" t="n">
        <v>4</v>
      </c>
      <c r="AL83" t="n">
        <v>0</v>
      </c>
      <c r="AM83" t="n">
        <v>3</v>
      </c>
      <c r="AN83" t="n">
        <v>0</v>
      </c>
      <c r="AO83" t="n">
        <v>0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HYPERLINK("https://creighton-primo.hosted.exlibrisgroup.com/primo-explore/search?tab=default_tab&amp;search_scope=EVERYTHING&amp;vid=01CRU&amp;lang=en_US&amp;offset=0&amp;query=any,contains,991004853799702656","Catalog Record")</f>
        <v/>
      </c>
      <c r="AT83">
        <f>HYPERLINK("http://www.worldcat.org/oclc/5654724","WorldCat Record")</f>
        <v/>
      </c>
      <c r="AU83" t="inlineStr">
        <is>
          <t>422806248:fre</t>
        </is>
      </c>
      <c r="AV83" t="inlineStr">
        <is>
          <t>5654724</t>
        </is>
      </c>
      <c r="AW83" t="inlineStr">
        <is>
          <t>991004853799702656</t>
        </is>
      </c>
      <c r="AX83" t="inlineStr">
        <is>
          <t>991004853799702656</t>
        </is>
      </c>
      <c r="AY83" t="inlineStr">
        <is>
          <t>2256469760002656</t>
        </is>
      </c>
      <c r="AZ83" t="inlineStr">
        <is>
          <t>BOOK</t>
        </is>
      </c>
      <c r="BC83" t="inlineStr">
        <is>
          <t>32285000954221</t>
        </is>
      </c>
      <c r="BD83" t="inlineStr">
        <is>
          <t>893526600</t>
        </is>
      </c>
    </row>
    <row r="84">
      <c r="A84" t="inlineStr">
        <is>
          <t>No</t>
        </is>
      </c>
      <c r="B84" t="inlineStr">
        <is>
          <t>PC2120.C6 B46 1982</t>
        </is>
      </c>
      <c r="C84" t="inlineStr">
        <is>
          <t>0                      PC 2120000C  6                  B  46          1982</t>
        </is>
      </c>
      <c r="D84" t="inlineStr">
        <is>
          <t>Le français économique et commercial / Mustapha K. Bénouis.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Bénouis, Mustapha K. (Mustapha Kemal)</t>
        </is>
      </c>
      <c r="L84" t="inlineStr">
        <is>
          <t>New York : Harcourt Brace Jovanovich, [c1982].</t>
        </is>
      </c>
      <c r="M84" t="inlineStr">
        <is>
          <t>1982</t>
        </is>
      </c>
      <c r="O84" t="inlineStr">
        <is>
          <t>fre</t>
        </is>
      </c>
      <c r="P84" t="inlineStr">
        <is>
          <t>nyu</t>
        </is>
      </c>
      <c r="R84" t="inlineStr">
        <is>
          <t xml:space="preserve">PC </t>
        </is>
      </c>
      <c r="S84" t="n">
        <v>5</v>
      </c>
      <c r="T84" t="n">
        <v>5</v>
      </c>
      <c r="U84" t="inlineStr">
        <is>
          <t>1998-02-19</t>
        </is>
      </c>
      <c r="V84" t="inlineStr">
        <is>
          <t>1998-02-19</t>
        </is>
      </c>
      <c r="W84" t="inlineStr">
        <is>
          <t>1993-04-15</t>
        </is>
      </c>
      <c r="X84" t="inlineStr">
        <is>
          <t>1993-04-15</t>
        </is>
      </c>
      <c r="Y84" t="n">
        <v>112</v>
      </c>
      <c r="Z84" t="n">
        <v>84</v>
      </c>
      <c r="AA84" t="n">
        <v>86</v>
      </c>
      <c r="AB84" t="n">
        <v>1</v>
      </c>
      <c r="AC84" t="n">
        <v>1</v>
      </c>
      <c r="AD84" t="n">
        <v>5</v>
      </c>
      <c r="AE84" t="n">
        <v>5</v>
      </c>
      <c r="AF84" t="n">
        <v>1</v>
      </c>
      <c r="AG84" t="n">
        <v>1</v>
      </c>
      <c r="AH84" t="n">
        <v>2</v>
      </c>
      <c r="AI84" t="n">
        <v>2</v>
      </c>
      <c r="AJ84" t="n">
        <v>5</v>
      </c>
      <c r="AK84" t="n">
        <v>5</v>
      </c>
      <c r="AL84" t="n">
        <v>0</v>
      </c>
      <c r="AM84" t="n">
        <v>0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HYPERLINK("http://catalog.hathitrust.org/Record/000773798","HathiTrust Record")</f>
        <v/>
      </c>
      <c r="AS84">
        <f>HYPERLINK("https://creighton-primo.hosted.exlibrisgroup.com/primo-explore/search?tab=default_tab&amp;search_scope=EVERYTHING&amp;vid=01CRU&amp;lang=en_US&amp;offset=0&amp;query=any,contains,991005224319702656","Catalog Record")</f>
        <v/>
      </c>
      <c r="AT84">
        <f>HYPERLINK("http://www.worldcat.org/oclc/8273869","WorldCat Record")</f>
        <v/>
      </c>
      <c r="AU84" t="inlineStr">
        <is>
          <t>355719578:fre</t>
        </is>
      </c>
      <c r="AV84" t="inlineStr">
        <is>
          <t>8273869</t>
        </is>
      </c>
      <c r="AW84" t="inlineStr">
        <is>
          <t>991005224319702656</t>
        </is>
      </c>
      <c r="AX84" t="inlineStr">
        <is>
          <t>991005224319702656</t>
        </is>
      </c>
      <c r="AY84" t="inlineStr">
        <is>
          <t>2272252440002656</t>
        </is>
      </c>
      <c r="AZ84" t="inlineStr">
        <is>
          <t>BOOK</t>
        </is>
      </c>
      <c r="BB84" t="inlineStr">
        <is>
          <t>9780155283008</t>
        </is>
      </c>
      <c r="BC84" t="inlineStr">
        <is>
          <t>32285001645166</t>
        </is>
      </c>
      <c r="BD84" t="inlineStr">
        <is>
          <t>893628631</t>
        </is>
      </c>
    </row>
    <row r="85">
      <c r="A85" t="inlineStr">
        <is>
          <t>No</t>
        </is>
      </c>
      <c r="B85" t="inlineStr">
        <is>
          <t>PC2120.C6 L446 1995</t>
        </is>
      </c>
      <c r="C85" t="inlineStr">
        <is>
          <t>0                      PC 2120000C  6                  L  446         1995</t>
        </is>
      </c>
      <c r="D85" t="inlineStr">
        <is>
          <t>Le nouveau French for business = Le Français des affaires : livret du professeur / Claude Le Goff.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Le Goff, Claude.</t>
        </is>
      </c>
      <c r="L85" t="inlineStr">
        <is>
          <t>Paris : Hatier/Didier, c1995.</t>
        </is>
      </c>
      <c r="M85" t="inlineStr">
        <is>
          <t>1995</t>
        </is>
      </c>
      <c r="O85" t="inlineStr">
        <is>
          <t>fre</t>
        </is>
      </c>
      <c r="P85" t="inlineStr">
        <is>
          <t xml:space="preserve">fr </t>
        </is>
      </c>
      <c r="R85" t="inlineStr">
        <is>
          <t xml:space="preserve">PC </t>
        </is>
      </c>
      <c r="S85" t="n">
        <v>1</v>
      </c>
      <c r="T85" t="n">
        <v>1</v>
      </c>
      <c r="U85" t="inlineStr">
        <is>
          <t>1999-12-02</t>
        </is>
      </c>
      <c r="V85" t="inlineStr">
        <is>
          <t>1999-12-02</t>
        </is>
      </c>
      <c r="W85" t="inlineStr">
        <is>
          <t>1999-01-25</t>
        </is>
      </c>
      <c r="X85" t="inlineStr">
        <is>
          <t>1999-01-25</t>
        </is>
      </c>
      <c r="Y85" t="n">
        <v>21</v>
      </c>
      <c r="Z85" t="n">
        <v>6</v>
      </c>
      <c r="AA85" t="n">
        <v>135</v>
      </c>
      <c r="AB85" t="n">
        <v>1</v>
      </c>
      <c r="AC85" t="n">
        <v>3</v>
      </c>
      <c r="AD85" t="n">
        <v>0</v>
      </c>
      <c r="AE85" t="n">
        <v>8</v>
      </c>
      <c r="AF85" t="n">
        <v>0</v>
      </c>
      <c r="AG85" t="n">
        <v>3</v>
      </c>
      <c r="AH85" t="n">
        <v>0</v>
      </c>
      <c r="AI85" t="n">
        <v>2</v>
      </c>
      <c r="AJ85" t="n">
        <v>0</v>
      </c>
      <c r="AK85" t="n">
        <v>4</v>
      </c>
      <c r="AL85" t="n">
        <v>0</v>
      </c>
      <c r="AM85" t="n">
        <v>2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HYPERLINK("https://creighton-primo.hosted.exlibrisgroup.com/primo-explore/search?tab=default_tab&amp;search_scope=EVERYTHING&amp;vid=01CRU&amp;lang=en_US&amp;offset=0&amp;query=any,contains,991003001819702656","Catalog Record")</f>
        <v/>
      </c>
      <c r="AT85">
        <f>HYPERLINK("http://www.worldcat.org/oclc/40670383","WorldCat Record")</f>
        <v/>
      </c>
      <c r="AU85" t="inlineStr">
        <is>
          <t>3860177950:fre</t>
        </is>
      </c>
      <c r="AV85" t="inlineStr">
        <is>
          <t>40670383</t>
        </is>
      </c>
      <c r="AW85" t="inlineStr">
        <is>
          <t>991003001819702656</t>
        </is>
      </c>
      <c r="AX85" t="inlineStr">
        <is>
          <t>991003001819702656</t>
        </is>
      </c>
      <c r="AY85" t="inlineStr">
        <is>
          <t>2268335160002656</t>
        </is>
      </c>
      <c r="AZ85" t="inlineStr">
        <is>
          <t>BOOK</t>
        </is>
      </c>
      <c r="BB85" t="inlineStr">
        <is>
          <t>9782278044108</t>
        </is>
      </c>
      <c r="BC85" t="inlineStr">
        <is>
          <t>32285003219598</t>
        </is>
      </c>
      <c r="BD85" t="inlineStr">
        <is>
          <t>893623026</t>
        </is>
      </c>
    </row>
    <row r="86">
      <c r="A86" t="inlineStr">
        <is>
          <t>No</t>
        </is>
      </c>
      <c r="B86" t="inlineStr">
        <is>
          <t>PC2127.F7 C6 1999</t>
        </is>
      </c>
      <c r="C86" t="inlineStr">
        <is>
          <t>0                      PC 2127000F  7                  C  6           1999</t>
        </is>
      </c>
      <c r="D86" t="inlineStr">
        <is>
          <t>Ensemble. Culture et société / Raymond F. Comeau, Normand J. Lamoureux, Marie-Paule Tranvouez.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Comeau, Raymond F.</t>
        </is>
      </c>
      <c r="L86" t="inlineStr">
        <is>
          <t>Fort Worth ; London : Holt, Reinhart and Winston, c1999.</t>
        </is>
      </c>
      <c r="M86" t="inlineStr">
        <is>
          <t>1999</t>
        </is>
      </c>
      <c r="N86" t="inlineStr">
        <is>
          <t>6e éd.</t>
        </is>
      </c>
      <c r="O86" t="inlineStr">
        <is>
          <t>eng</t>
        </is>
      </c>
      <c r="P86" t="inlineStr">
        <is>
          <t>enk</t>
        </is>
      </c>
      <c r="R86" t="inlineStr">
        <is>
          <t xml:space="preserve">PC </t>
        </is>
      </c>
      <c r="S86" t="n">
        <v>5</v>
      </c>
      <c r="T86" t="n">
        <v>5</v>
      </c>
      <c r="U86" t="inlineStr">
        <is>
          <t>2008-09-23</t>
        </is>
      </c>
      <c r="V86" t="inlineStr">
        <is>
          <t>2008-09-23</t>
        </is>
      </c>
      <c r="W86" t="inlineStr">
        <is>
          <t>1999-04-29</t>
        </is>
      </c>
      <c r="X86" t="inlineStr">
        <is>
          <t>1999-04-29</t>
        </is>
      </c>
      <c r="Y86" t="n">
        <v>44</v>
      </c>
      <c r="Z86" t="n">
        <v>28</v>
      </c>
      <c r="AA86" t="n">
        <v>49</v>
      </c>
      <c r="AB86" t="n">
        <v>1</v>
      </c>
      <c r="AC86" t="n">
        <v>1</v>
      </c>
      <c r="AD86" t="n">
        <v>2</v>
      </c>
      <c r="AE86" t="n">
        <v>2</v>
      </c>
      <c r="AF86" t="n">
        <v>0</v>
      </c>
      <c r="AG86" t="n">
        <v>0</v>
      </c>
      <c r="AH86" t="n">
        <v>1</v>
      </c>
      <c r="AI86" t="n">
        <v>1</v>
      </c>
      <c r="AJ86" t="n">
        <v>2</v>
      </c>
      <c r="AK86" t="n">
        <v>2</v>
      </c>
      <c r="AL86" t="n">
        <v>0</v>
      </c>
      <c r="AM86" t="n">
        <v>0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HYPERLINK("https://creighton-primo.hosted.exlibrisgroup.com/primo-explore/search?tab=default_tab&amp;search_scope=EVERYTHING&amp;vid=01CRU&amp;lang=en_US&amp;offset=0&amp;query=any,contains,991003023149702656","Catalog Record")</f>
        <v/>
      </c>
      <c r="AT86">
        <f>HYPERLINK("http://www.worldcat.org/oclc/41528453","WorldCat Record")</f>
        <v/>
      </c>
      <c r="AU86" t="inlineStr">
        <is>
          <t>3769310645:eng</t>
        </is>
      </c>
      <c r="AV86" t="inlineStr">
        <is>
          <t>41528453</t>
        </is>
      </c>
      <c r="AW86" t="inlineStr">
        <is>
          <t>991003023149702656</t>
        </is>
      </c>
      <c r="AX86" t="inlineStr">
        <is>
          <t>991003023149702656</t>
        </is>
      </c>
      <c r="AY86" t="inlineStr">
        <is>
          <t>2260781910002656</t>
        </is>
      </c>
      <c r="AZ86" t="inlineStr">
        <is>
          <t>BOOK</t>
        </is>
      </c>
      <c r="BB86" t="inlineStr">
        <is>
          <t>9780030222467</t>
        </is>
      </c>
      <c r="BC86" t="inlineStr">
        <is>
          <t>32285003557807</t>
        </is>
      </c>
      <c r="BD86" t="inlineStr">
        <is>
          <t>893692304</t>
        </is>
      </c>
    </row>
    <row r="87">
      <c r="A87" t="inlineStr">
        <is>
          <t>No</t>
        </is>
      </c>
      <c r="B87" t="inlineStr">
        <is>
          <t>PC2129.E5 G46 1992</t>
        </is>
      </c>
      <c r="C87" t="inlineStr">
        <is>
          <t>0                      PC 2129000E  5                  G  46          1992</t>
        </is>
      </c>
      <c r="D87" t="inlineStr">
        <is>
          <t>A la française : correct French for English speakers / Marie Gontier Geno.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Geno, Marie Gontier.</t>
        </is>
      </c>
      <c r="L87" t="inlineStr">
        <is>
          <t>London ; New York : University Press of America, c1992.</t>
        </is>
      </c>
      <c r="M87" t="inlineStr">
        <is>
          <t>1992</t>
        </is>
      </c>
      <c r="O87" t="inlineStr">
        <is>
          <t>fre</t>
        </is>
      </c>
      <c r="P87" t="inlineStr">
        <is>
          <t>mdu</t>
        </is>
      </c>
      <c r="R87" t="inlineStr">
        <is>
          <t xml:space="preserve">PC </t>
        </is>
      </c>
      <c r="S87" t="n">
        <v>9</v>
      </c>
      <c r="T87" t="n">
        <v>9</v>
      </c>
      <c r="U87" t="inlineStr">
        <is>
          <t>2003-02-26</t>
        </is>
      </c>
      <c r="V87" t="inlineStr">
        <is>
          <t>2003-02-26</t>
        </is>
      </c>
      <c r="W87" t="inlineStr">
        <is>
          <t>1996-06-24</t>
        </is>
      </c>
      <c r="X87" t="inlineStr">
        <is>
          <t>1996-06-24</t>
        </is>
      </c>
      <c r="Y87" t="n">
        <v>132</v>
      </c>
      <c r="Z87" t="n">
        <v>120</v>
      </c>
      <c r="AA87" t="n">
        <v>145</v>
      </c>
      <c r="AB87" t="n">
        <v>3</v>
      </c>
      <c r="AC87" t="n">
        <v>3</v>
      </c>
      <c r="AD87" t="n">
        <v>7</v>
      </c>
      <c r="AE87" t="n">
        <v>8</v>
      </c>
      <c r="AF87" t="n">
        <v>1</v>
      </c>
      <c r="AG87" t="n">
        <v>2</v>
      </c>
      <c r="AH87" t="n">
        <v>2</v>
      </c>
      <c r="AI87" t="n">
        <v>2</v>
      </c>
      <c r="AJ87" t="n">
        <v>4</v>
      </c>
      <c r="AK87" t="n">
        <v>4</v>
      </c>
      <c r="AL87" t="n">
        <v>2</v>
      </c>
      <c r="AM87" t="n">
        <v>2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HYPERLINK("https://creighton-primo.hosted.exlibrisgroup.com/primo-explore/search?tab=default_tab&amp;search_scope=EVERYTHING&amp;vid=01CRU&amp;lang=en_US&amp;offset=0&amp;query=any,contains,991002034989702656","Catalog Record")</f>
        <v/>
      </c>
      <c r="AT87">
        <f>HYPERLINK("http://www.worldcat.org/oclc/25915496","WorldCat Record")</f>
        <v/>
      </c>
      <c r="AU87" t="inlineStr">
        <is>
          <t>28542317:fre</t>
        </is>
      </c>
      <c r="AV87" t="inlineStr">
        <is>
          <t>25915496</t>
        </is>
      </c>
      <c r="AW87" t="inlineStr">
        <is>
          <t>991002034989702656</t>
        </is>
      </c>
      <c r="AX87" t="inlineStr">
        <is>
          <t>991002034989702656</t>
        </is>
      </c>
      <c r="AY87" t="inlineStr">
        <is>
          <t>2269926060002656</t>
        </is>
      </c>
      <c r="AZ87" t="inlineStr">
        <is>
          <t>BOOK</t>
        </is>
      </c>
      <c r="BB87" t="inlineStr">
        <is>
          <t>9780819187376</t>
        </is>
      </c>
      <c r="BC87" t="inlineStr">
        <is>
          <t>32285002172459</t>
        </is>
      </c>
      <c r="BD87" t="inlineStr">
        <is>
          <t>893232484</t>
        </is>
      </c>
    </row>
    <row r="88">
      <c r="A88" t="inlineStr">
        <is>
          <t>No</t>
        </is>
      </c>
      <c r="B88" t="inlineStr">
        <is>
          <t>PC2129.E5 H445 1997</t>
        </is>
      </c>
      <c r="C88" t="inlineStr">
        <is>
          <t>0                      PC 2129000E  5                  H  445         1997</t>
        </is>
      </c>
      <c r="D88" t="inlineStr">
        <is>
          <t>Barron's 1001 pitfalls in French / Annie Heminway, James H. Grew, Daniel D. Olivier.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Heminway, Annie.</t>
        </is>
      </c>
      <c r="L88" t="inlineStr">
        <is>
          <t>Hauppage, N.Y. : Barron's Educational Series, Inc., c1997.</t>
        </is>
      </c>
      <c r="M88" t="inlineStr">
        <is>
          <t>1997</t>
        </is>
      </c>
      <c r="N88" t="inlineStr">
        <is>
          <t>3rd ed.</t>
        </is>
      </c>
      <c r="O88" t="inlineStr">
        <is>
          <t>eng</t>
        </is>
      </c>
      <c r="P88" t="inlineStr">
        <is>
          <t>nyu</t>
        </is>
      </c>
      <c r="R88" t="inlineStr">
        <is>
          <t xml:space="preserve">PC </t>
        </is>
      </c>
      <c r="S88" t="n">
        <v>4</v>
      </c>
      <c r="T88" t="n">
        <v>4</v>
      </c>
      <c r="U88" t="inlineStr">
        <is>
          <t>2009-04-16</t>
        </is>
      </c>
      <c r="V88" t="inlineStr">
        <is>
          <t>2009-04-16</t>
        </is>
      </c>
      <c r="W88" t="inlineStr">
        <is>
          <t>2007-05-16</t>
        </is>
      </c>
      <c r="X88" t="inlineStr">
        <is>
          <t>2007-05-16</t>
        </is>
      </c>
      <c r="Y88" t="n">
        <v>151</v>
      </c>
      <c r="Z88" t="n">
        <v>132</v>
      </c>
      <c r="AA88" t="n">
        <v>132</v>
      </c>
      <c r="AB88" t="n">
        <v>2</v>
      </c>
      <c r="AC88" t="n">
        <v>2</v>
      </c>
      <c r="AD88" t="n">
        <v>2</v>
      </c>
      <c r="AE88" t="n">
        <v>2</v>
      </c>
      <c r="AF88" t="n">
        <v>1</v>
      </c>
      <c r="AG88" t="n">
        <v>1</v>
      </c>
      <c r="AH88" t="n">
        <v>1</v>
      </c>
      <c r="AI88" t="n">
        <v>1</v>
      </c>
      <c r="AJ88" t="n">
        <v>0</v>
      </c>
      <c r="AK88" t="n">
        <v>0</v>
      </c>
      <c r="AL88" t="n">
        <v>1</v>
      </c>
      <c r="AM88" t="n">
        <v>1</v>
      </c>
      <c r="AN88" t="n">
        <v>0</v>
      </c>
      <c r="AO88" t="n">
        <v>0</v>
      </c>
      <c r="AP88" t="inlineStr">
        <is>
          <t>No</t>
        </is>
      </c>
      <c r="AQ88" t="inlineStr">
        <is>
          <t>No</t>
        </is>
      </c>
      <c r="AS88">
        <f>HYPERLINK("https://creighton-primo.hosted.exlibrisgroup.com/primo-explore/search?tab=default_tab&amp;search_scope=EVERYTHING&amp;vid=01CRU&amp;lang=en_US&amp;offset=0&amp;query=any,contains,991005043729702656","Catalog Record")</f>
        <v/>
      </c>
      <c r="AT88">
        <f>HYPERLINK("http://www.worldcat.org/oclc/36565386","WorldCat Record")</f>
        <v/>
      </c>
      <c r="AU88" t="inlineStr">
        <is>
          <t>40794046:eng</t>
        </is>
      </c>
      <c r="AV88" t="inlineStr">
        <is>
          <t>36565386</t>
        </is>
      </c>
      <c r="AW88" t="inlineStr">
        <is>
          <t>991005043729702656</t>
        </is>
      </c>
      <c r="AX88" t="inlineStr">
        <is>
          <t>991005043729702656</t>
        </is>
      </c>
      <c r="AY88" t="inlineStr">
        <is>
          <t>2266407120002656</t>
        </is>
      </c>
      <c r="AZ88" t="inlineStr">
        <is>
          <t>BOOK</t>
        </is>
      </c>
      <c r="BB88" t="inlineStr">
        <is>
          <t>9780812096514</t>
        </is>
      </c>
      <c r="BC88" t="inlineStr">
        <is>
          <t>32285005313357</t>
        </is>
      </c>
      <c r="BD88" t="inlineStr">
        <is>
          <t>893876845</t>
        </is>
      </c>
    </row>
    <row r="89">
      <c r="A89" t="inlineStr">
        <is>
          <t>No</t>
        </is>
      </c>
      <c r="B89" t="inlineStr">
        <is>
          <t>PC2137 .M47</t>
        </is>
      </c>
      <c r="C89" t="inlineStr">
        <is>
          <t>0                      PC 2137000M  47</t>
        </is>
      </c>
      <c r="D89" t="inlineStr">
        <is>
          <t>French pronunciation and diction : with a special study of American speech-habits / by Louis J.A. Mercier.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Mercier, Louis J. A. (Louis Joseph Alexandre), 1880-</t>
        </is>
      </c>
      <c r="L89" t="inlineStr">
        <is>
          <t>New York : Silver, Burdett and Company, c1929.</t>
        </is>
      </c>
      <c r="M89" t="inlineStr">
        <is>
          <t>1929</t>
        </is>
      </c>
      <c r="O89" t="inlineStr">
        <is>
          <t>eng</t>
        </is>
      </c>
      <c r="P89" t="inlineStr">
        <is>
          <t>nyu</t>
        </is>
      </c>
      <c r="Q89" t="inlineStr">
        <is>
          <t>The oral self-expression method series</t>
        </is>
      </c>
      <c r="R89" t="inlineStr">
        <is>
          <t xml:space="preserve">PC </t>
        </is>
      </c>
      <c r="S89" t="n">
        <v>3</v>
      </c>
      <c r="T89" t="n">
        <v>3</v>
      </c>
      <c r="U89" t="inlineStr">
        <is>
          <t>1994-08-31</t>
        </is>
      </c>
      <c r="V89" t="inlineStr">
        <is>
          <t>1994-08-31</t>
        </is>
      </c>
      <c r="W89" t="inlineStr">
        <is>
          <t>1992-06-25</t>
        </is>
      </c>
      <c r="X89" t="inlineStr">
        <is>
          <t>1992-06-25</t>
        </is>
      </c>
      <c r="Y89" t="n">
        <v>57</v>
      </c>
      <c r="Z89" t="n">
        <v>55</v>
      </c>
      <c r="AA89" t="n">
        <v>57</v>
      </c>
      <c r="AB89" t="n">
        <v>3</v>
      </c>
      <c r="AC89" t="n">
        <v>3</v>
      </c>
      <c r="AD89" t="n">
        <v>5</v>
      </c>
      <c r="AE89" t="n">
        <v>5</v>
      </c>
      <c r="AF89" t="n">
        <v>0</v>
      </c>
      <c r="AG89" t="n">
        <v>0</v>
      </c>
      <c r="AH89" t="n">
        <v>1</v>
      </c>
      <c r="AI89" t="n">
        <v>1</v>
      </c>
      <c r="AJ89" t="n">
        <v>2</v>
      </c>
      <c r="AK89" t="n">
        <v>2</v>
      </c>
      <c r="AL89" t="n">
        <v>2</v>
      </c>
      <c r="AM89" t="n">
        <v>2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HYPERLINK("http://catalog.hathitrust.org/Record/001201324","HathiTrust Record")</f>
        <v/>
      </c>
      <c r="AS89">
        <f>HYPERLINK("https://creighton-primo.hosted.exlibrisgroup.com/primo-explore/search?tab=default_tab&amp;search_scope=EVERYTHING&amp;vid=01CRU&amp;lang=en_US&amp;offset=0&amp;query=any,contains,991004827189702656","Catalog Record")</f>
        <v/>
      </c>
      <c r="AT89">
        <f>HYPERLINK("http://www.worldcat.org/oclc/5363464","WorldCat Record")</f>
        <v/>
      </c>
      <c r="AU89" t="inlineStr">
        <is>
          <t>47072627:eng</t>
        </is>
      </c>
      <c r="AV89" t="inlineStr">
        <is>
          <t>5363464</t>
        </is>
      </c>
      <c r="AW89" t="inlineStr">
        <is>
          <t>991004827189702656</t>
        </is>
      </c>
      <c r="AX89" t="inlineStr">
        <is>
          <t>991004827189702656</t>
        </is>
      </c>
      <c r="AY89" t="inlineStr">
        <is>
          <t>2272160530002656</t>
        </is>
      </c>
      <c r="AZ89" t="inlineStr">
        <is>
          <t>BOOK</t>
        </is>
      </c>
      <c r="BC89" t="inlineStr">
        <is>
          <t>32285001145332</t>
        </is>
      </c>
      <c r="BD89" t="inlineStr">
        <is>
          <t>893594145</t>
        </is>
      </c>
    </row>
    <row r="90">
      <c r="A90" t="inlineStr">
        <is>
          <t>No</t>
        </is>
      </c>
      <c r="B90" t="inlineStr">
        <is>
          <t>PC2171 .P54 1979</t>
        </is>
      </c>
      <c r="C90" t="inlineStr">
        <is>
          <t>0                      PC 2171000P  54          1979</t>
        </is>
      </c>
      <c r="D90" t="inlineStr">
        <is>
          <t>Précis de morphologie historique du français / Jacqueline Picoche.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Picoche, Jacqueline.</t>
        </is>
      </c>
      <c r="L90" t="inlineStr">
        <is>
          <t>[Paris] : Nathan, c1979.</t>
        </is>
      </c>
      <c r="M90" t="inlineStr">
        <is>
          <t>1979</t>
        </is>
      </c>
      <c r="O90" t="inlineStr">
        <is>
          <t>fre</t>
        </is>
      </c>
      <c r="P90" t="inlineStr">
        <is>
          <t xml:space="preserve">fr </t>
        </is>
      </c>
      <c r="Q90" t="inlineStr">
        <is>
          <t>Linguistique française</t>
        </is>
      </c>
      <c r="R90" t="inlineStr">
        <is>
          <t xml:space="preserve">PC </t>
        </is>
      </c>
      <c r="S90" t="n">
        <v>1</v>
      </c>
      <c r="T90" t="n">
        <v>1</v>
      </c>
      <c r="U90" t="inlineStr">
        <is>
          <t>1992-07-03</t>
        </is>
      </c>
      <c r="V90" t="inlineStr">
        <is>
          <t>1992-07-03</t>
        </is>
      </c>
      <c r="W90" t="inlineStr">
        <is>
          <t>1991-04-30</t>
        </is>
      </c>
      <c r="X90" t="inlineStr">
        <is>
          <t>1991-04-30</t>
        </is>
      </c>
      <c r="Y90" t="n">
        <v>138</v>
      </c>
      <c r="Z90" t="n">
        <v>58</v>
      </c>
      <c r="AA90" t="n">
        <v>70</v>
      </c>
      <c r="AB90" t="n">
        <v>2</v>
      </c>
      <c r="AC90" t="n">
        <v>2</v>
      </c>
      <c r="AD90" t="n">
        <v>4</v>
      </c>
      <c r="AE90" t="n">
        <v>4</v>
      </c>
      <c r="AF90" t="n">
        <v>0</v>
      </c>
      <c r="AG90" t="n">
        <v>0</v>
      </c>
      <c r="AH90" t="n">
        <v>1</v>
      </c>
      <c r="AI90" t="n">
        <v>1</v>
      </c>
      <c r="AJ90" t="n">
        <v>3</v>
      </c>
      <c r="AK90" t="n">
        <v>3</v>
      </c>
      <c r="AL90" t="n">
        <v>1</v>
      </c>
      <c r="AM90" t="n">
        <v>1</v>
      </c>
      <c r="AN90" t="n">
        <v>0</v>
      </c>
      <c r="AO90" t="n">
        <v>0</v>
      </c>
      <c r="AP90" t="inlineStr">
        <is>
          <t>No</t>
        </is>
      </c>
      <c r="AQ90" t="inlineStr">
        <is>
          <t>No</t>
        </is>
      </c>
      <c r="AS90">
        <f>HYPERLINK("https://creighton-primo.hosted.exlibrisgroup.com/primo-explore/search?tab=default_tab&amp;search_scope=EVERYTHING&amp;vid=01CRU&amp;lang=en_US&amp;offset=0&amp;query=any,contains,991005008839702656","Catalog Record")</f>
        <v/>
      </c>
      <c r="AT90">
        <f>HYPERLINK("http://www.worldcat.org/oclc/6583463","WorldCat Record")</f>
        <v/>
      </c>
      <c r="AU90" t="inlineStr">
        <is>
          <t>22169322:fre</t>
        </is>
      </c>
      <c r="AV90" t="inlineStr">
        <is>
          <t>6583463</t>
        </is>
      </c>
      <c r="AW90" t="inlineStr">
        <is>
          <t>991005008839702656</t>
        </is>
      </c>
      <c r="AX90" t="inlineStr">
        <is>
          <t>991005008839702656</t>
        </is>
      </c>
      <c r="AY90" t="inlineStr">
        <is>
          <t>2259360020002656</t>
        </is>
      </c>
      <c r="AZ90" t="inlineStr">
        <is>
          <t>BOOK</t>
        </is>
      </c>
      <c r="BB90" t="inlineStr">
        <is>
          <t>9782091905099</t>
        </is>
      </c>
      <c r="BC90" t="inlineStr">
        <is>
          <t>32285000570183</t>
        </is>
      </c>
      <c r="BD90" t="inlineStr">
        <is>
          <t>893719652</t>
        </is>
      </c>
    </row>
    <row r="91">
      <c r="A91" t="inlineStr">
        <is>
          <t>No</t>
        </is>
      </c>
      <c r="B91" t="inlineStr">
        <is>
          <t>PC2271 .B66 2005</t>
        </is>
      </c>
      <c r="C91" t="inlineStr">
        <is>
          <t>0                      PC 2271000B  66          2005</t>
        </is>
      </c>
      <c r="D91" t="inlineStr">
        <is>
          <t>French verbs and idioms / Trudie Maria Booth.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Booth, Trudie Maria.</t>
        </is>
      </c>
      <c r="L91" t="inlineStr">
        <is>
          <t>Lanham : University Press of America, c2005.</t>
        </is>
      </c>
      <c r="M91" t="inlineStr">
        <is>
          <t>2005</t>
        </is>
      </c>
      <c r="O91" t="inlineStr">
        <is>
          <t>eng</t>
        </is>
      </c>
      <c r="P91" t="inlineStr">
        <is>
          <t>mdu</t>
        </is>
      </c>
      <c r="R91" t="inlineStr">
        <is>
          <t xml:space="preserve">PC </t>
        </is>
      </c>
      <c r="S91" t="n">
        <v>1</v>
      </c>
      <c r="T91" t="n">
        <v>1</v>
      </c>
      <c r="U91" t="inlineStr">
        <is>
          <t>2007-06-12</t>
        </is>
      </c>
      <c r="V91" t="inlineStr">
        <is>
          <t>2007-06-12</t>
        </is>
      </c>
      <c r="W91" t="inlineStr">
        <is>
          <t>2007-06-12</t>
        </is>
      </c>
      <c r="X91" t="inlineStr">
        <is>
          <t>2007-06-12</t>
        </is>
      </c>
      <c r="Y91" t="n">
        <v>109</v>
      </c>
      <c r="Z91" t="n">
        <v>86</v>
      </c>
      <c r="AA91" t="n">
        <v>86</v>
      </c>
      <c r="AB91" t="n">
        <v>2</v>
      </c>
      <c r="AC91" t="n">
        <v>2</v>
      </c>
      <c r="AD91" t="n">
        <v>3</v>
      </c>
      <c r="AE91" t="n">
        <v>3</v>
      </c>
      <c r="AF91" t="n">
        <v>1</v>
      </c>
      <c r="AG91" t="n">
        <v>1</v>
      </c>
      <c r="AH91" t="n">
        <v>1</v>
      </c>
      <c r="AI91" t="n">
        <v>1</v>
      </c>
      <c r="AJ91" t="n">
        <v>0</v>
      </c>
      <c r="AK91" t="n">
        <v>0</v>
      </c>
      <c r="AL91" t="n">
        <v>1</v>
      </c>
      <c r="AM91" t="n">
        <v>1</v>
      </c>
      <c r="AN91" t="n">
        <v>0</v>
      </c>
      <c r="AO91" t="n">
        <v>0</v>
      </c>
      <c r="AP91" t="inlineStr">
        <is>
          <t>No</t>
        </is>
      </c>
      <c r="AQ91" t="inlineStr">
        <is>
          <t>No</t>
        </is>
      </c>
      <c r="AS91">
        <f>HYPERLINK("https://creighton-primo.hosted.exlibrisgroup.com/primo-explore/search?tab=default_tab&amp;search_scope=EVERYTHING&amp;vid=01CRU&amp;lang=en_US&amp;offset=0&amp;query=any,contains,991005087419702656","Catalog Record")</f>
        <v/>
      </c>
      <c r="AT91">
        <f>HYPERLINK("http://www.worldcat.org/oclc/62303436","WorldCat Record")</f>
        <v/>
      </c>
      <c r="AU91" t="inlineStr">
        <is>
          <t>46683344:eng</t>
        </is>
      </c>
      <c r="AV91" t="inlineStr">
        <is>
          <t>62303436</t>
        </is>
      </c>
      <c r="AW91" t="inlineStr">
        <is>
          <t>991005087419702656</t>
        </is>
      </c>
      <c r="AX91" t="inlineStr">
        <is>
          <t>991005087419702656</t>
        </is>
      </c>
      <c r="AY91" t="inlineStr">
        <is>
          <t>2260694380002656</t>
        </is>
      </c>
      <c r="AZ91" t="inlineStr">
        <is>
          <t>BOOK</t>
        </is>
      </c>
      <c r="BB91" t="inlineStr">
        <is>
          <t>9780761831945</t>
        </is>
      </c>
      <c r="BC91" t="inlineStr">
        <is>
          <t>32285005316988</t>
        </is>
      </c>
      <c r="BD91" t="inlineStr">
        <is>
          <t>893536367</t>
        </is>
      </c>
    </row>
    <row r="92">
      <c r="A92" t="inlineStr">
        <is>
          <t>No</t>
        </is>
      </c>
      <c r="B92" t="inlineStr">
        <is>
          <t>PC2361 .H65 1994</t>
        </is>
      </c>
      <c r="C92" t="inlineStr">
        <is>
          <t>0                      PC 2361000H  65          1994</t>
        </is>
      </c>
      <c r="D92" t="inlineStr">
        <is>
          <t>The syntax of contemporary French : a pedagogical handbook and reference grammar / Wolf Hollerbach.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Hollerbach, Wolf.</t>
        </is>
      </c>
      <c r="L92" t="inlineStr">
        <is>
          <t>Lanham, Md. : University Press of America, c1994.</t>
        </is>
      </c>
      <c r="M92" t="inlineStr">
        <is>
          <t>1994</t>
        </is>
      </c>
      <c r="O92" t="inlineStr">
        <is>
          <t>eng</t>
        </is>
      </c>
      <c r="P92" t="inlineStr">
        <is>
          <t>mdu</t>
        </is>
      </c>
      <c r="R92" t="inlineStr">
        <is>
          <t xml:space="preserve">PC </t>
        </is>
      </c>
      <c r="S92" t="n">
        <v>3</v>
      </c>
      <c r="T92" t="n">
        <v>3</v>
      </c>
      <c r="U92" t="inlineStr">
        <is>
          <t>1998-01-22</t>
        </is>
      </c>
      <c r="V92" t="inlineStr">
        <is>
          <t>1998-01-22</t>
        </is>
      </c>
      <c r="W92" t="inlineStr">
        <is>
          <t>1996-06-24</t>
        </is>
      </c>
      <c r="X92" t="inlineStr">
        <is>
          <t>1996-06-24</t>
        </is>
      </c>
      <c r="Y92" t="n">
        <v>344</v>
      </c>
      <c r="Z92" t="n">
        <v>292</v>
      </c>
      <c r="AA92" t="n">
        <v>302</v>
      </c>
      <c r="AB92" t="n">
        <v>3</v>
      </c>
      <c r="AC92" t="n">
        <v>3</v>
      </c>
      <c r="AD92" t="n">
        <v>16</v>
      </c>
      <c r="AE92" t="n">
        <v>16</v>
      </c>
      <c r="AF92" t="n">
        <v>2</v>
      </c>
      <c r="AG92" t="n">
        <v>2</v>
      </c>
      <c r="AH92" t="n">
        <v>4</v>
      </c>
      <c r="AI92" t="n">
        <v>4</v>
      </c>
      <c r="AJ92" t="n">
        <v>11</v>
      </c>
      <c r="AK92" t="n">
        <v>11</v>
      </c>
      <c r="AL92" t="n">
        <v>2</v>
      </c>
      <c r="AM92" t="n">
        <v>2</v>
      </c>
      <c r="AN92" t="n">
        <v>0</v>
      </c>
      <c r="AO92" t="n">
        <v>0</v>
      </c>
      <c r="AP92" t="inlineStr">
        <is>
          <t>No</t>
        </is>
      </c>
      <c r="AQ92" t="inlineStr">
        <is>
          <t>Yes</t>
        </is>
      </c>
      <c r="AR92">
        <f>HYPERLINK("http://catalog.hathitrust.org/Record/002812149","HathiTrust Record")</f>
        <v/>
      </c>
      <c r="AS92">
        <f>HYPERLINK("https://creighton-primo.hosted.exlibrisgroup.com/primo-explore/search?tab=default_tab&amp;search_scope=EVERYTHING&amp;vid=01CRU&amp;lang=en_US&amp;offset=0&amp;query=any,contains,991002271579702656","Catalog Record")</f>
        <v/>
      </c>
      <c r="AT92">
        <f>HYPERLINK("http://www.worldcat.org/oclc/29477956","WorldCat Record")</f>
        <v/>
      </c>
      <c r="AU92" t="inlineStr">
        <is>
          <t>21009269:eng</t>
        </is>
      </c>
      <c r="AV92" t="inlineStr">
        <is>
          <t>29477956</t>
        </is>
      </c>
      <c r="AW92" t="inlineStr">
        <is>
          <t>991002271579702656</t>
        </is>
      </c>
      <c r="AX92" t="inlineStr">
        <is>
          <t>991002271579702656</t>
        </is>
      </c>
      <c r="AY92" t="inlineStr">
        <is>
          <t>2270850890002656</t>
        </is>
      </c>
      <c r="AZ92" t="inlineStr">
        <is>
          <t>BOOK</t>
        </is>
      </c>
      <c r="BB92" t="inlineStr">
        <is>
          <t>9780819193803</t>
        </is>
      </c>
      <c r="BC92" t="inlineStr">
        <is>
          <t>32285002172434</t>
        </is>
      </c>
      <c r="BD92" t="inlineStr">
        <is>
          <t>893510530</t>
        </is>
      </c>
    </row>
    <row r="93">
      <c r="A93" t="inlineStr">
        <is>
          <t>No</t>
        </is>
      </c>
      <c r="B93" t="inlineStr">
        <is>
          <t>PC2505 .C6418 1970</t>
        </is>
      </c>
      <c r="C93" t="inlineStr">
        <is>
          <t>0                      PC 2505000C  6418        1970</t>
        </is>
      </c>
      <c r="D93" t="inlineStr">
        <is>
          <t>Estructura del lenguaje poaetico / Jean Cohen ; versiaon espaanola de Martain Blanco Alvarez.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Cohen, Jean.</t>
        </is>
      </c>
      <c r="L93" t="inlineStr">
        <is>
          <t>Madrid : Gredos, 1970.</t>
        </is>
      </c>
      <c r="M93" t="inlineStr">
        <is>
          <t>1970</t>
        </is>
      </c>
      <c r="O93" t="inlineStr">
        <is>
          <t>spa</t>
        </is>
      </c>
      <c r="P93" t="inlineStr">
        <is>
          <t xml:space="preserve">sp </t>
        </is>
      </c>
      <c r="Q93" t="inlineStr">
        <is>
          <t>Biblioteca romaanica hispaanica. II, Estudios y ensayos ; 140</t>
        </is>
      </c>
      <c r="R93" t="inlineStr">
        <is>
          <t xml:space="preserve">PC </t>
        </is>
      </c>
      <c r="S93" t="n">
        <v>1</v>
      </c>
      <c r="T93" t="n">
        <v>1</v>
      </c>
      <c r="U93" t="inlineStr">
        <is>
          <t>2004-08-03</t>
        </is>
      </c>
      <c r="V93" t="inlineStr">
        <is>
          <t>2004-08-03</t>
        </is>
      </c>
      <c r="W93" t="inlineStr">
        <is>
          <t>2004-08-03</t>
        </is>
      </c>
      <c r="X93" t="inlineStr">
        <is>
          <t>2004-08-03</t>
        </is>
      </c>
      <c r="Y93" t="n">
        <v>133</v>
      </c>
      <c r="Z93" t="n">
        <v>98</v>
      </c>
      <c r="AA93" t="n">
        <v>102</v>
      </c>
      <c r="AB93" t="n">
        <v>2</v>
      </c>
      <c r="AC93" t="n">
        <v>2</v>
      </c>
      <c r="AD93" t="n">
        <v>5</v>
      </c>
      <c r="AE93" t="n">
        <v>5</v>
      </c>
      <c r="AF93" t="n">
        <v>1</v>
      </c>
      <c r="AG93" t="n">
        <v>1</v>
      </c>
      <c r="AH93" t="n">
        <v>3</v>
      </c>
      <c r="AI93" t="n">
        <v>3</v>
      </c>
      <c r="AJ93" t="n">
        <v>3</v>
      </c>
      <c r="AK93" t="n">
        <v>3</v>
      </c>
      <c r="AL93" t="n">
        <v>1</v>
      </c>
      <c r="AM93" t="n">
        <v>1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HYPERLINK("http://catalog.hathitrust.org/Record/001789760","HathiTrust Record")</f>
        <v/>
      </c>
      <c r="AS93">
        <f>HYPERLINK("https://creighton-primo.hosted.exlibrisgroup.com/primo-explore/search?tab=default_tab&amp;search_scope=EVERYTHING&amp;vid=01CRU&amp;lang=en_US&amp;offset=0&amp;query=any,contains,991004334739702656","Catalog Record")</f>
        <v/>
      </c>
      <c r="AT93">
        <f>HYPERLINK("http://www.worldcat.org/oclc/15379180","WorldCat Record")</f>
        <v/>
      </c>
      <c r="AU93" t="inlineStr">
        <is>
          <t>5092423397:spa</t>
        </is>
      </c>
      <c r="AV93" t="inlineStr">
        <is>
          <t>15379180</t>
        </is>
      </c>
      <c r="AW93" t="inlineStr">
        <is>
          <t>991004334739702656</t>
        </is>
      </c>
      <c r="AX93" t="inlineStr">
        <is>
          <t>991004334739702656</t>
        </is>
      </c>
      <c r="AY93" t="inlineStr">
        <is>
          <t>2260190470002656</t>
        </is>
      </c>
      <c r="AZ93" t="inlineStr">
        <is>
          <t>BOOK</t>
        </is>
      </c>
      <c r="BB93" t="inlineStr">
        <is>
          <t>9788424903954</t>
        </is>
      </c>
      <c r="BC93" t="inlineStr">
        <is>
          <t>32285004927306</t>
        </is>
      </c>
      <c r="BD93" t="inlineStr">
        <is>
          <t>893888584</t>
        </is>
      </c>
    </row>
    <row r="94">
      <c r="A94" t="inlineStr">
        <is>
          <t>No</t>
        </is>
      </c>
      <c r="B94" t="inlineStr">
        <is>
          <t>PC2580 .D35 1973</t>
        </is>
      </c>
      <c r="C94" t="inlineStr">
        <is>
          <t>0                      PC 2580000D  35          1973</t>
        </is>
      </c>
      <c r="D94" t="inlineStr">
        <is>
          <t>Nouveau dictionnaire étymologique et historique / par Albert Dauzat, Jean Dubois, Henri Mitterand.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Dauzat, Albert, 1877-1955.</t>
        </is>
      </c>
      <c r="L94" t="inlineStr">
        <is>
          <t>Paris : Librairie Larousse, [1973]</t>
        </is>
      </c>
      <c r="M94" t="inlineStr">
        <is>
          <t>1973</t>
        </is>
      </c>
      <c r="N94" t="inlineStr">
        <is>
          <t>3.éd., rev. et corr.</t>
        </is>
      </c>
      <c r="O94" t="inlineStr">
        <is>
          <t>fre</t>
        </is>
      </c>
      <c r="P94" t="inlineStr">
        <is>
          <t xml:space="preserve">fr </t>
        </is>
      </c>
      <c r="R94" t="inlineStr">
        <is>
          <t xml:space="preserve">PC </t>
        </is>
      </c>
      <c r="S94" t="n">
        <v>2</v>
      </c>
      <c r="T94" t="n">
        <v>2</v>
      </c>
      <c r="U94" t="inlineStr">
        <is>
          <t>2000-11-01</t>
        </is>
      </c>
      <c r="V94" t="inlineStr">
        <is>
          <t>2000-11-01</t>
        </is>
      </c>
      <c r="W94" t="inlineStr">
        <is>
          <t>2000-11-01</t>
        </is>
      </c>
      <c r="X94" t="inlineStr">
        <is>
          <t>2000-11-01</t>
        </is>
      </c>
      <c r="Y94" t="n">
        <v>21</v>
      </c>
      <c r="Z94" t="n">
        <v>11</v>
      </c>
      <c r="AA94" t="n">
        <v>382</v>
      </c>
      <c r="AB94" t="n">
        <v>1</v>
      </c>
      <c r="AC94" t="n">
        <v>4</v>
      </c>
      <c r="AD94" t="n">
        <v>0</v>
      </c>
      <c r="AE94" t="n">
        <v>16</v>
      </c>
      <c r="AF94" t="n">
        <v>0</v>
      </c>
      <c r="AG94" t="n">
        <v>3</v>
      </c>
      <c r="AH94" t="n">
        <v>0</v>
      </c>
      <c r="AI94" t="n">
        <v>4</v>
      </c>
      <c r="AJ94" t="n">
        <v>0</v>
      </c>
      <c r="AK94" t="n">
        <v>9</v>
      </c>
      <c r="AL94" t="n">
        <v>0</v>
      </c>
      <c r="AM94" t="n">
        <v>3</v>
      </c>
      <c r="AN94" t="n">
        <v>0</v>
      </c>
      <c r="AO94" t="n">
        <v>0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HYPERLINK("https://creighton-primo.hosted.exlibrisgroup.com/primo-explore/search?tab=default_tab&amp;search_scope=EVERYTHING&amp;vid=01CRU&amp;lang=en_US&amp;offset=0&amp;query=any,contains,991003336649702656","Catalog Record")</f>
        <v/>
      </c>
      <c r="AT94">
        <f>HYPERLINK("http://www.worldcat.org/oclc/4646124","WorldCat Record")</f>
        <v/>
      </c>
      <c r="AU94" t="inlineStr">
        <is>
          <t>1358681:fre</t>
        </is>
      </c>
      <c r="AV94" t="inlineStr">
        <is>
          <t>4646124</t>
        </is>
      </c>
      <c r="AW94" t="inlineStr">
        <is>
          <t>991003336649702656</t>
        </is>
      </c>
      <c r="AX94" t="inlineStr">
        <is>
          <t>991003336649702656</t>
        </is>
      </c>
      <c r="AY94" t="inlineStr">
        <is>
          <t>2260117810002656</t>
        </is>
      </c>
      <c r="AZ94" t="inlineStr">
        <is>
          <t>BOOK</t>
        </is>
      </c>
      <c r="BC94" t="inlineStr">
        <is>
          <t>32285004261763</t>
        </is>
      </c>
      <c r="BD94" t="inlineStr">
        <is>
          <t>893505486</t>
        </is>
      </c>
    </row>
    <row r="95">
      <c r="A95" t="inlineStr">
        <is>
          <t>No</t>
        </is>
      </c>
      <c r="B95" t="inlineStr">
        <is>
          <t>PC2585 .G715 1971</t>
        </is>
      </c>
      <c r="C95" t="inlineStr">
        <is>
          <t>0                      PC 2585000G  715         1971</t>
        </is>
      </c>
      <c r="D95" t="inlineStr">
        <is>
          <t>Semaantica estructural : investigaciaon metodolaogica / [por] A.J. Greimas. Versiaon espaanola de Alfredo de la Fuente.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Greimas, Algirdas Julien.</t>
        </is>
      </c>
      <c r="L95" t="inlineStr">
        <is>
          <t>Madrid : Editorial Gredos, [1971]</t>
        </is>
      </c>
      <c r="M95" t="inlineStr">
        <is>
          <t>1971</t>
        </is>
      </c>
      <c r="O95" t="inlineStr">
        <is>
          <t>spa</t>
        </is>
      </c>
      <c r="P95" t="inlineStr">
        <is>
          <t xml:space="preserve">sp </t>
        </is>
      </c>
      <c r="Q95" t="inlineStr">
        <is>
          <t>Biblioteca romaanica hispaanica. 3: Manuales ; 27</t>
        </is>
      </c>
      <c r="R95" t="inlineStr">
        <is>
          <t xml:space="preserve">PC </t>
        </is>
      </c>
      <c r="S95" t="n">
        <v>1</v>
      </c>
      <c r="T95" t="n">
        <v>1</v>
      </c>
      <c r="U95" t="inlineStr">
        <is>
          <t>2004-08-05</t>
        </is>
      </c>
      <c r="V95" t="inlineStr">
        <is>
          <t>2004-08-05</t>
        </is>
      </c>
      <c r="W95" t="inlineStr">
        <is>
          <t>2004-08-05</t>
        </is>
      </c>
      <c r="X95" t="inlineStr">
        <is>
          <t>2004-08-05</t>
        </is>
      </c>
      <c r="Y95" t="n">
        <v>105</v>
      </c>
      <c r="Z95" t="n">
        <v>82</v>
      </c>
      <c r="AA95" t="n">
        <v>121</v>
      </c>
      <c r="AB95" t="n">
        <v>2</v>
      </c>
      <c r="AC95" t="n">
        <v>2</v>
      </c>
      <c r="AD95" t="n">
        <v>3</v>
      </c>
      <c r="AE95" t="n">
        <v>3</v>
      </c>
      <c r="AF95" t="n">
        <v>0</v>
      </c>
      <c r="AG95" t="n">
        <v>0</v>
      </c>
      <c r="AH95" t="n">
        <v>2</v>
      </c>
      <c r="AI95" t="n">
        <v>2</v>
      </c>
      <c r="AJ95" t="n">
        <v>0</v>
      </c>
      <c r="AK95" t="n">
        <v>0</v>
      </c>
      <c r="AL95" t="n">
        <v>1</v>
      </c>
      <c r="AM95" t="n">
        <v>1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HYPERLINK("https://creighton-primo.hosted.exlibrisgroup.com/primo-explore/search?tab=default_tab&amp;search_scope=EVERYTHING&amp;vid=01CRU&amp;lang=en_US&amp;offset=0&amp;query=any,contains,991004338619702656","Catalog Record")</f>
        <v/>
      </c>
      <c r="AT95">
        <f>HYPERLINK("http://www.worldcat.org/oclc/296835","WorldCat Record")</f>
        <v/>
      </c>
      <c r="AU95" t="inlineStr">
        <is>
          <t>4663631258:spa</t>
        </is>
      </c>
      <c r="AV95" t="inlineStr">
        <is>
          <t>296835</t>
        </is>
      </c>
      <c r="AW95" t="inlineStr">
        <is>
          <t>991004338619702656</t>
        </is>
      </c>
      <c r="AX95" t="inlineStr">
        <is>
          <t>991004338619702656</t>
        </is>
      </c>
      <c r="AY95" t="inlineStr">
        <is>
          <t>2262721350002656</t>
        </is>
      </c>
      <c r="AZ95" t="inlineStr">
        <is>
          <t>BOOK</t>
        </is>
      </c>
      <c r="BC95" t="inlineStr">
        <is>
          <t>32285004928775</t>
        </is>
      </c>
      <c r="BD95" t="inlineStr">
        <is>
          <t>893337596</t>
        </is>
      </c>
    </row>
    <row r="96">
      <c r="A96" t="inlineStr">
        <is>
          <t>No</t>
        </is>
      </c>
      <c r="B96" t="inlineStr">
        <is>
          <t>PC2625 .L53</t>
        </is>
      </c>
      <c r="C96" t="inlineStr">
        <is>
          <t>0                      PC 2625000L  53</t>
        </is>
      </c>
      <c r="D96" t="inlineStr">
        <is>
          <t>Larousse de la langue française. --</t>
        </is>
      </c>
      <c r="E96" t="inlineStr">
        <is>
          <t>V. 2</t>
        </is>
      </c>
      <c r="F96" t="inlineStr">
        <is>
          <t>Yes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L96" t="inlineStr">
        <is>
          <t>Paris : Librairie Larousse, 1977.</t>
        </is>
      </c>
      <c r="M96" t="inlineStr">
        <is>
          <t>1977</t>
        </is>
      </c>
      <c r="O96" t="inlineStr">
        <is>
          <t>fre</t>
        </is>
      </c>
      <c r="P96" t="inlineStr">
        <is>
          <t xml:space="preserve">fr </t>
        </is>
      </c>
      <c r="R96" t="inlineStr">
        <is>
          <t xml:space="preserve">PC </t>
        </is>
      </c>
      <c r="S96" t="n">
        <v>2</v>
      </c>
      <c r="T96" t="n">
        <v>4</v>
      </c>
      <c r="U96" t="inlineStr">
        <is>
          <t>2006-12-14</t>
        </is>
      </c>
      <c r="V96" t="inlineStr">
        <is>
          <t>2006-12-14</t>
        </is>
      </c>
      <c r="W96" t="inlineStr">
        <is>
          <t>1998-01-26</t>
        </is>
      </c>
      <c r="X96" t="inlineStr">
        <is>
          <t>1998-01-26</t>
        </is>
      </c>
      <c r="Y96" t="n">
        <v>44</v>
      </c>
      <c r="Z96" t="n">
        <v>39</v>
      </c>
      <c r="AA96" t="n">
        <v>39</v>
      </c>
      <c r="AB96" t="n">
        <v>1</v>
      </c>
      <c r="AC96" t="n">
        <v>1</v>
      </c>
      <c r="AD96" t="n">
        <v>2</v>
      </c>
      <c r="AE96" t="n">
        <v>2</v>
      </c>
      <c r="AF96" t="n">
        <v>0</v>
      </c>
      <c r="AG96" t="n">
        <v>0</v>
      </c>
      <c r="AH96" t="n">
        <v>0</v>
      </c>
      <c r="AI96" t="n">
        <v>0</v>
      </c>
      <c r="AJ96" t="n">
        <v>2</v>
      </c>
      <c r="AK96" t="n">
        <v>2</v>
      </c>
      <c r="AL96" t="n">
        <v>0</v>
      </c>
      <c r="AM96" t="n">
        <v>0</v>
      </c>
      <c r="AN96" t="n">
        <v>0</v>
      </c>
      <c r="AO96" t="n">
        <v>0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HYPERLINK("https://creighton-primo.hosted.exlibrisgroup.com/primo-explore/search?tab=default_tab&amp;search_scope=EVERYTHING&amp;vid=01CRU&amp;lang=en_US&amp;offset=0&amp;query=any,contains,991001715639702656","Catalog Record")</f>
        <v/>
      </c>
      <c r="AT96">
        <f>HYPERLINK("http://www.worldcat.org/oclc/4512701","WorldCat Record")</f>
        <v/>
      </c>
      <c r="AU96" t="inlineStr">
        <is>
          <t>8909284150:fre</t>
        </is>
      </c>
      <c r="AV96" t="inlineStr">
        <is>
          <t>4512701</t>
        </is>
      </c>
      <c r="AW96" t="inlineStr">
        <is>
          <t>991001715639702656</t>
        </is>
      </c>
      <c r="AX96" t="inlineStr">
        <is>
          <t>991001715639702656</t>
        </is>
      </c>
      <c r="AY96" t="inlineStr">
        <is>
          <t>2271346230002656</t>
        </is>
      </c>
      <c r="AZ96" t="inlineStr">
        <is>
          <t>BOOK</t>
        </is>
      </c>
      <c r="BB96" t="inlineStr">
        <is>
          <t>9782030202876</t>
        </is>
      </c>
      <c r="BC96" t="inlineStr">
        <is>
          <t>32285003326864</t>
        </is>
      </c>
      <c r="BD96" t="inlineStr">
        <is>
          <t>893696971</t>
        </is>
      </c>
    </row>
    <row r="97">
      <c r="A97" t="inlineStr">
        <is>
          <t>No</t>
        </is>
      </c>
      <c r="B97" t="inlineStr">
        <is>
          <t>PC2625 .L53</t>
        </is>
      </c>
      <c r="C97" t="inlineStr">
        <is>
          <t>0                      PC 2625000L  53</t>
        </is>
      </c>
      <c r="D97" t="inlineStr">
        <is>
          <t>Larousse de la langue française. --</t>
        </is>
      </c>
      <c r="E97" t="inlineStr">
        <is>
          <t>V. 1</t>
        </is>
      </c>
      <c r="F97" t="inlineStr">
        <is>
          <t>Yes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L97" t="inlineStr">
        <is>
          <t>Paris : Librairie Larousse, 1977.</t>
        </is>
      </c>
      <c r="M97" t="inlineStr">
        <is>
          <t>1977</t>
        </is>
      </c>
      <c r="O97" t="inlineStr">
        <is>
          <t>fre</t>
        </is>
      </c>
      <c r="P97" t="inlineStr">
        <is>
          <t xml:space="preserve">fr </t>
        </is>
      </c>
      <c r="R97" t="inlineStr">
        <is>
          <t xml:space="preserve">PC </t>
        </is>
      </c>
      <c r="S97" t="n">
        <v>2</v>
      </c>
      <c r="T97" t="n">
        <v>4</v>
      </c>
      <c r="U97" t="inlineStr">
        <is>
          <t>2006-12-14</t>
        </is>
      </c>
      <c r="V97" t="inlineStr">
        <is>
          <t>2006-12-14</t>
        </is>
      </c>
      <c r="W97" t="inlineStr">
        <is>
          <t>1998-01-26</t>
        </is>
      </c>
      <c r="X97" t="inlineStr">
        <is>
          <t>1998-01-26</t>
        </is>
      </c>
      <c r="Y97" t="n">
        <v>44</v>
      </c>
      <c r="Z97" t="n">
        <v>39</v>
      </c>
      <c r="AA97" t="n">
        <v>39</v>
      </c>
      <c r="AB97" t="n">
        <v>1</v>
      </c>
      <c r="AC97" t="n">
        <v>1</v>
      </c>
      <c r="AD97" t="n">
        <v>2</v>
      </c>
      <c r="AE97" t="n">
        <v>2</v>
      </c>
      <c r="AF97" t="n">
        <v>0</v>
      </c>
      <c r="AG97" t="n">
        <v>0</v>
      </c>
      <c r="AH97" t="n">
        <v>0</v>
      </c>
      <c r="AI97" t="n">
        <v>0</v>
      </c>
      <c r="AJ97" t="n">
        <v>2</v>
      </c>
      <c r="AK97" t="n">
        <v>2</v>
      </c>
      <c r="AL97" t="n">
        <v>0</v>
      </c>
      <c r="AM97" t="n">
        <v>0</v>
      </c>
      <c r="AN97" t="n">
        <v>0</v>
      </c>
      <c r="AO97" t="n">
        <v>0</v>
      </c>
      <c r="AP97" t="inlineStr">
        <is>
          <t>No</t>
        </is>
      </c>
      <c r="AQ97" t="inlineStr">
        <is>
          <t>No</t>
        </is>
      </c>
      <c r="AS97">
        <f>HYPERLINK("https://creighton-primo.hosted.exlibrisgroup.com/primo-explore/search?tab=default_tab&amp;search_scope=EVERYTHING&amp;vid=01CRU&amp;lang=en_US&amp;offset=0&amp;query=any,contains,991001715639702656","Catalog Record")</f>
        <v/>
      </c>
      <c r="AT97">
        <f>HYPERLINK("http://www.worldcat.org/oclc/4512701","WorldCat Record")</f>
        <v/>
      </c>
      <c r="AU97" t="inlineStr">
        <is>
          <t>8909284150:fre</t>
        </is>
      </c>
      <c r="AV97" t="inlineStr">
        <is>
          <t>4512701</t>
        </is>
      </c>
      <c r="AW97" t="inlineStr">
        <is>
          <t>991001715639702656</t>
        </is>
      </c>
      <c r="AX97" t="inlineStr">
        <is>
          <t>991001715639702656</t>
        </is>
      </c>
      <c r="AY97" t="inlineStr">
        <is>
          <t>2271346230002656</t>
        </is>
      </c>
      <c r="AZ97" t="inlineStr">
        <is>
          <t>BOOK</t>
        </is>
      </c>
      <c r="BB97" t="inlineStr">
        <is>
          <t>9782030202876</t>
        </is>
      </c>
      <c r="BC97" t="inlineStr">
        <is>
          <t>32285003326856</t>
        </is>
      </c>
      <c r="BD97" t="inlineStr">
        <is>
          <t>893696972</t>
        </is>
      </c>
    </row>
    <row r="98">
      <c r="A98" t="inlineStr">
        <is>
          <t>No</t>
        </is>
      </c>
      <c r="B98" t="inlineStr">
        <is>
          <t>PC2625 .R553</t>
        </is>
      </c>
      <c r="C98" t="inlineStr">
        <is>
          <t>0                      PC 2625000R  553</t>
        </is>
      </c>
      <c r="D98" t="inlineStr">
        <is>
          <t>Dictionnaire alphabétique et analogique de la langue française ...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Robert, Paul, 1910-1980.</t>
        </is>
      </c>
      <c r="L98" t="inlineStr">
        <is>
          <t>Paris : Société du nouveau Littré, 1967.</t>
        </is>
      </c>
      <c r="M98" t="inlineStr">
        <is>
          <t>1967</t>
        </is>
      </c>
      <c r="O98" t="inlineStr">
        <is>
          <t>fre</t>
        </is>
      </c>
      <c r="P98" t="inlineStr">
        <is>
          <t xml:space="preserve">fr </t>
        </is>
      </c>
      <c r="R98" t="inlineStr">
        <is>
          <t xml:space="preserve">PC </t>
        </is>
      </c>
      <c r="S98" t="n">
        <v>3</v>
      </c>
      <c r="T98" t="n">
        <v>3</v>
      </c>
      <c r="U98" t="inlineStr">
        <is>
          <t>2008-07-16</t>
        </is>
      </c>
      <c r="V98" t="inlineStr">
        <is>
          <t>2008-07-16</t>
        </is>
      </c>
      <c r="W98" t="inlineStr">
        <is>
          <t>1998-01-26</t>
        </is>
      </c>
      <c r="X98" t="inlineStr">
        <is>
          <t>1998-01-26</t>
        </is>
      </c>
      <c r="Y98" t="n">
        <v>338</v>
      </c>
      <c r="Z98" t="n">
        <v>266</v>
      </c>
      <c r="AA98" t="n">
        <v>530</v>
      </c>
      <c r="AB98" t="n">
        <v>4</v>
      </c>
      <c r="AC98" t="n">
        <v>5</v>
      </c>
      <c r="AD98" t="n">
        <v>12</v>
      </c>
      <c r="AE98" t="n">
        <v>23</v>
      </c>
      <c r="AF98" t="n">
        <v>4</v>
      </c>
      <c r="AG98" t="n">
        <v>5</v>
      </c>
      <c r="AH98" t="n">
        <v>3</v>
      </c>
      <c r="AI98" t="n">
        <v>6</v>
      </c>
      <c r="AJ98" t="n">
        <v>5</v>
      </c>
      <c r="AK98" t="n">
        <v>14</v>
      </c>
      <c r="AL98" t="n">
        <v>3</v>
      </c>
      <c r="AM98" t="n">
        <v>4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HYPERLINK("http://catalog.hathitrust.org/Record/101859862","HathiTrust Record")</f>
        <v/>
      </c>
      <c r="AS98">
        <f>HYPERLINK("https://creighton-primo.hosted.exlibrisgroup.com/primo-explore/search?tab=default_tab&amp;search_scope=EVERYTHING&amp;vid=01CRU&amp;lang=en_US&amp;offset=0&amp;query=any,contains,991001351399702656","Catalog Record")</f>
        <v/>
      </c>
      <c r="AT98">
        <f>HYPERLINK("http://www.worldcat.org/oclc/1053357","WorldCat Record")</f>
        <v/>
      </c>
      <c r="AU98" t="inlineStr">
        <is>
          <t>4160068124:fre</t>
        </is>
      </c>
      <c r="AV98" t="inlineStr">
        <is>
          <t>1053357</t>
        </is>
      </c>
      <c r="AW98" t="inlineStr">
        <is>
          <t>991001351399702656</t>
        </is>
      </c>
      <c r="AX98" t="inlineStr">
        <is>
          <t>991001351399702656</t>
        </is>
      </c>
      <c r="AY98" t="inlineStr">
        <is>
          <t>2270817060002656</t>
        </is>
      </c>
      <c r="AZ98" t="inlineStr">
        <is>
          <t>BOOK</t>
        </is>
      </c>
      <c r="BC98" t="inlineStr">
        <is>
          <t>32285003326872</t>
        </is>
      </c>
      <c r="BD98" t="inlineStr">
        <is>
          <t>893250180</t>
        </is>
      </c>
    </row>
    <row r="99">
      <c r="A99" t="inlineStr">
        <is>
          <t>No</t>
        </is>
      </c>
      <c r="B99" t="inlineStr">
        <is>
          <t>PC2640 .C3 1973</t>
        </is>
      </c>
      <c r="C99" t="inlineStr">
        <is>
          <t>0                      PC 2640000C  3           1973</t>
        </is>
      </c>
      <c r="D99" t="inlineStr">
        <is>
          <t>The New Cassell's French dictionary : French-English, English-French.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Yes</t>
        </is>
      </c>
      <c r="J99" t="inlineStr">
        <is>
          <t>0</t>
        </is>
      </c>
      <c r="L99" t="inlineStr">
        <is>
          <t>New York : Funk &amp; Wagnalls, c1973.</t>
        </is>
      </c>
      <c r="M99" t="inlineStr">
        <is>
          <t>1973</t>
        </is>
      </c>
      <c r="N99" t="inlineStr">
        <is>
          <t>Completely rev. / by Denis Girard ; with the assistance of Gaston Dulong, Oliver Van Oss and Charles Guinness.</t>
        </is>
      </c>
      <c r="O99" t="inlineStr">
        <is>
          <t>eng</t>
        </is>
      </c>
      <c r="P99" t="inlineStr">
        <is>
          <t>nyu</t>
        </is>
      </c>
      <c r="R99" t="inlineStr">
        <is>
          <t xml:space="preserve">PC </t>
        </is>
      </c>
      <c r="S99" t="n">
        <v>8</v>
      </c>
      <c r="T99" t="n">
        <v>8</v>
      </c>
      <c r="U99" t="inlineStr">
        <is>
          <t>2006-10-30</t>
        </is>
      </c>
      <c r="V99" t="inlineStr">
        <is>
          <t>2006-10-30</t>
        </is>
      </c>
      <c r="W99" t="inlineStr">
        <is>
          <t>1998-01-26</t>
        </is>
      </c>
      <c r="X99" t="inlineStr">
        <is>
          <t>1998-01-26</t>
        </is>
      </c>
      <c r="Y99" t="n">
        <v>321</v>
      </c>
      <c r="Z99" t="n">
        <v>311</v>
      </c>
      <c r="AA99" t="n">
        <v>2274</v>
      </c>
      <c r="AB99" t="n">
        <v>1</v>
      </c>
      <c r="AC99" t="n">
        <v>14</v>
      </c>
      <c r="AD99" t="n">
        <v>2</v>
      </c>
      <c r="AE99" t="n">
        <v>41</v>
      </c>
      <c r="AF99" t="n">
        <v>1</v>
      </c>
      <c r="AG99" t="n">
        <v>13</v>
      </c>
      <c r="AH99" t="n">
        <v>0</v>
      </c>
      <c r="AI99" t="n">
        <v>7</v>
      </c>
      <c r="AJ99" t="n">
        <v>2</v>
      </c>
      <c r="AK99" t="n">
        <v>16</v>
      </c>
      <c r="AL99" t="n">
        <v>0</v>
      </c>
      <c r="AM99" t="n">
        <v>5</v>
      </c>
      <c r="AN99" t="n">
        <v>0</v>
      </c>
      <c r="AO99" t="n">
        <v>8</v>
      </c>
      <c r="AP99" t="inlineStr">
        <is>
          <t>No</t>
        </is>
      </c>
      <c r="AQ99" t="inlineStr">
        <is>
          <t>Yes</t>
        </is>
      </c>
      <c r="AR99">
        <f>HYPERLINK("http://catalog.hathitrust.org/Record/002532468","HathiTrust Record")</f>
        <v/>
      </c>
      <c r="AS99">
        <f>HYPERLINK("https://creighton-primo.hosted.exlibrisgroup.com/primo-explore/search?tab=default_tab&amp;search_scope=EVERYTHING&amp;vid=01CRU&amp;lang=en_US&amp;offset=0&amp;query=any,contains,991001596179702656","Catalog Record")</f>
        <v/>
      </c>
      <c r="AT99">
        <f>HYPERLINK("http://www.worldcat.org/oclc/3090943","WorldCat Record")</f>
        <v/>
      </c>
      <c r="AU99" t="inlineStr">
        <is>
          <t>3449177439:eng</t>
        </is>
      </c>
      <c r="AV99" t="inlineStr">
        <is>
          <t>3090943</t>
        </is>
      </c>
      <c r="AW99" t="inlineStr">
        <is>
          <t>991001596179702656</t>
        </is>
      </c>
      <c r="AX99" t="inlineStr">
        <is>
          <t>991001596179702656</t>
        </is>
      </c>
      <c r="AY99" t="inlineStr">
        <is>
          <t>2260602170002656</t>
        </is>
      </c>
      <c r="AZ99" t="inlineStr">
        <is>
          <t>BOOK</t>
        </is>
      </c>
      <c r="BB99" t="inlineStr">
        <is>
          <t>9780308100015</t>
        </is>
      </c>
      <c r="BC99" t="inlineStr">
        <is>
          <t>32285003326880</t>
        </is>
      </c>
      <c r="BD99" t="inlineStr">
        <is>
          <t>893408225</t>
        </is>
      </c>
    </row>
    <row r="100">
      <c r="A100" t="inlineStr">
        <is>
          <t>No</t>
        </is>
      </c>
      <c r="B100" t="inlineStr">
        <is>
          <t>PC2640 .D42 1996</t>
        </is>
      </c>
      <c r="C100" t="inlineStr">
        <is>
          <t>0                      PC 2640000D  42          1996</t>
        </is>
      </c>
      <c r="D100" t="inlineStr">
        <is>
          <t>2001 French and English idioms = 2001 idiotismes français et anglais / François Denoeu, David Sices and Jacqueline B. Sices.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Denoeu, François, 1898-1975.</t>
        </is>
      </c>
      <c r="L100" t="inlineStr">
        <is>
          <t>Hauppauge, N.Y. : Barron's, c1996.</t>
        </is>
      </c>
      <c r="M100" t="inlineStr">
        <is>
          <t>1996</t>
        </is>
      </c>
      <c r="N100" t="inlineStr">
        <is>
          <t>2nd ed.</t>
        </is>
      </c>
      <c r="O100" t="inlineStr">
        <is>
          <t>eng</t>
        </is>
      </c>
      <c r="P100" t="inlineStr">
        <is>
          <t>nyu</t>
        </is>
      </c>
      <c r="R100" t="inlineStr">
        <is>
          <t xml:space="preserve">PC </t>
        </is>
      </c>
      <c r="S100" t="n">
        <v>17</v>
      </c>
      <c r="T100" t="n">
        <v>17</v>
      </c>
      <c r="U100" t="inlineStr">
        <is>
          <t>2003-10-06</t>
        </is>
      </c>
      <c r="V100" t="inlineStr">
        <is>
          <t>2003-10-06</t>
        </is>
      </c>
      <c r="W100" t="inlineStr">
        <is>
          <t>1996-09-04</t>
        </is>
      </c>
      <c r="X100" t="inlineStr">
        <is>
          <t>1996-09-04</t>
        </is>
      </c>
      <c r="Y100" t="n">
        <v>259</v>
      </c>
      <c r="Z100" t="n">
        <v>226</v>
      </c>
      <c r="AA100" t="n">
        <v>462</v>
      </c>
      <c r="AB100" t="n">
        <v>3</v>
      </c>
      <c r="AC100" t="n">
        <v>4</v>
      </c>
      <c r="AD100" t="n">
        <v>3</v>
      </c>
      <c r="AE100" t="n">
        <v>5</v>
      </c>
      <c r="AF100" t="n">
        <v>0</v>
      </c>
      <c r="AG100" t="n">
        <v>0</v>
      </c>
      <c r="AH100" t="n">
        <v>0</v>
      </c>
      <c r="AI100" t="n">
        <v>2</v>
      </c>
      <c r="AJ100" t="n">
        <v>1</v>
      </c>
      <c r="AK100" t="n">
        <v>2</v>
      </c>
      <c r="AL100" t="n">
        <v>2</v>
      </c>
      <c r="AM100" t="n">
        <v>2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S100">
        <f>HYPERLINK("https://creighton-primo.hosted.exlibrisgroup.com/primo-explore/search?tab=default_tab&amp;search_scope=EVERYTHING&amp;vid=01CRU&amp;lang=en_US&amp;offset=0&amp;query=any,contains,991002647879702656","Catalog Record")</f>
        <v/>
      </c>
      <c r="AT100">
        <f>HYPERLINK("http://www.worldcat.org/oclc/34644124","WorldCat Record")</f>
        <v/>
      </c>
      <c r="AU100" t="inlineStr">
        <is>
          <t>836686661:eng</t>
        </is>
      </c>
      <c r="AV100" t="inlineStr">
        <is>
          <t>34644124</t>
        </is>
      </c>
      <c r="AW100" t="inlineStr">
        <is>
          <t>991002647879702656</t>
        </is>
      </c>
      <c r="AX100" t="inlineStr">
        <is>
          <t>991002647879702656</t>
        </is>
      </c>
      <c r="AY100" t="inlineStr">
        <is>
          <t>2258055370002656</t>
        </is>
      </c>
      <c r="AZ100" t="inlineStr">
        <is>
          <t>BOOK</t>
        </is>
      </c>
      <c r="BB100" t="inlineStr">
        <is>
          <t>9780812090246</t>
        </is>
      </c>
      <c r="BC100" t="inlineStr">
        <is>
          <t>32285002294451</t>
        </is>
      </c>
      <c r="BD100" t="inlineStr">
        <is>
          <t>893329352</t>
        </is>
      </c>
    </row>
    <row r="101">
      <c r="A101" t="inlineStr">
        <is>
          <t>No</t>
        </is>
      </c>
      <c r="B101" t="inlineStr">
        <is>
          <t>PC2680 .O93 1983</t>
        </is>
      </c>
      <c r="C101" t="inlineStr">
        <is>
          <t>0                      PC 2680000O  93          1983</t>
        </is>
      </c>
      <c r="D101" t="inlineStr">
        <is>
          <t>The Oxford-Duden pictorial French-English dictionary / [French text edited by Daniel Moskowitz with the assistance of Florence Herbulot ... et al. ; English text edited by John Pheby with the assistance of Roland Breitsprecher ... et al. ; illustrations by Jochen Schmidt].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L101" t="inlineStr">
        <is>
          <t>Oxford : Clarendon Press ; New York : Oxford University Press, 1983.</t>
        </is>
      </c>
      <c r="M101" t="inlineStr">
        <is>
          <t>1983</t>
        </is>
      </c>
      <c r="O101" t="inlineStr">
        <is>
          <t>eng</t>
        </is>
      </c>
      <c r="P101" t="inlineStr">
        <is>
          <t>enk</t>
        </is>
      </c>
      <c r="R101" t="inlineStr">
        <is>
          <t xml:space="preserve">PC </t>
        </is>
      </c>
      <c r="S101" t="n">
        <v>3</v>
      </c>
      <c r="T101" t="n">
        <v>3</v>
      </c>
      <c r="U101" t="inlineStr">
        <is>
          <t>2008-05-19</t>
        </is>
      </c>
      <c r="V101" t="inlineStr">
        <is>
          <t>2008-05-19</t>
        </is>
      </c>
      <c r="W101" t="inlineStr">
        <is>
          <t>2008-05-19</t>
        </is>
      </c>
      <c r="X101" t="inlineStr">
        <is>
          <t>2008-05-19</t>
        </is>
      </c>
      <c r="Y101" t="n">
        <v>794</v>
      </c>
      <c r="Z101" t="n">
        <v>648</v>
      </c>
      <c r="AA101" t="n">
        <v>756</v>
      </c>
      <c r="AB101" t="n">
        <v>4</v>
      </c>
      <c r="AC101" t="n">
        <v>4</v>
      </c>
      <c r="AD101" t="n">
        <v>15</v>
      </c>
      <c r="AE101" t="n">
        <v>16</v>
      </c>
      <c r="AF101" t="n">
        <v>6</v>
      </c>
      <c r="AG101" t="n">
        <v>6</v>
      </c>
      <c r="AH101" t="n">
        <v>4</v>
      </c>
      <c r="AI101" t="n">
        <v>4</v>
      </c>
      <c r="AJ101" t="n">
        <v>7</v>
      </c>
      <c r="AK101" t="n">
        <v>8</v>
      </c>
      <c r="AL101" t="n">
        <v>1</v>
      </c>
      <c r="AM101" t="n">
        <v>1</v>
      </c>
      <c r="AN101" t="n">
        <v>0</v>
      </c>
      <c r="AO101" t="n">
        <v>0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HYPERLINK("http://catalog.hathitrust.org/Record/000443603","HathiTrust Record")</f>
        <v/>
      </c>
      <c r="AS101">
        <f>HYPERLINK("https://creighton-primo.hosted.exlibrisgroup.com/primo-explore/search?tab=default_tab&amp;search_scope=EVERYTHING&amp;vid=01CRU&amp;lang=en_US&amp;offset=0&amp;query=any,contains,991005222909702656","Catalog Record")</f>
        <v/>
      </c>
      <c r="AT101">
        <f>HYPERLINK("http://www.worldcat.org/oclc/9413009","WorldCat Record")</f>
        <v/>
      </c>
      <c r="AU101" t="inlineStr">
        <is>
          <t>3856301698:eng</t>
        </is>
      </c>
      <c r="AV101" t="inlineStr">
        <is>
          <t>9413009</t>
        </is>
      </c>
      <c r="AW101" t="inlineStr">
        <is>
          <t>991005222909702656</t>
        </is>
      </c>
      <c r="AX101" t="inlineStr">
        <is>
          <t>991005222909702656</t>
        </is>
      </c>
      <c r="AY101" t="inlineStr">
        <is>
          <t>2263899620002656</t>
        </is>
      </c>
      <c r="AZ101" t="inlineStr">
        <is>
          <t>BOOK</t>
        </is>
      </c>
      <c r="BB101" t="inlineStr">
        <is>
          <t>9780198641537</t>
        </is>
      </c>
      <c r="BC101" t="inlineStr">
        <is>
          <t>32285005409346</t>
        </is>
      </c>
      <c r="BD101" t="inlineStr">
        <is>
          <t>893896086</t>
        </is>
      </c>
    </row>
    <row r="102">
      <c r="A102" t="inlineStr">
        <is>
          <t>No</t>
        </is>
      </c>
      <c r="B102" t="inlineStr">
        <is>
          <t>PC2680 .V3</t>
        </is>
      </c>
      <c r="C102" t="inlineStr">
        <is>
          <t>0                      PC 2680000V  3</t>
        </is>
      </c>
      <c r="D102" t="inlineStr">
        <is>
          <t>French word book / tabulated and edited by George E. Vander Beke.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Vander Beke, George E. (George Emil), 1891-, editor.</t>
        </is>
      </c>
      <c r="L102" t="inlineStr">
        <is>
          <t>New York, The Macmillan Company, 1929.</t>
        </is>
      </c>
      <c r="M102" t="inlineStr">
        <is>
          <t>1929</t>
        </is>
      </c>
      <c r="O102" t="inlineStr">
        <is>
          <t>fre</t>
        </is>
      </c>
      <c r="P102" t="inlineStr">
        <is>
          <t>nyu</t>
        </is>
      </c>
      <c r="Q102" t="inlineStr">
        <is>
          <t>Publications of the American and Canadian Committees on Modern Languages ; v. 15</t>
        </is>
      </c>
      <c r="R102" t="inlineStr">
        <is>
          <t xml:space="preserve">PC </t>
        </is>
      </c>
      <c r="S102" t="n">
        <v>2</v>
      </c>
      <c r="T102" t="n">
        <v>2</v>
      </c>
      <c r="U102" t="inlineStr">
        <is>
          <t>1997-11-06</t>
        </is>
      </c>
      <c r="V102" t="inlineStr">
        <is>
          <t>1997-11-06</t>
        </is>
      </c>
      <c r="W102" t="inlineStr">
        <is>
          <t>1997-09-10</t>
        </is>
      </c>
      <c r="X102" t="inlineStr">
        <is>
          <t>1997-09-10</t>
        </is>
      </c>
      <c r="Y102" t="n">
        <v>198</v>
      </c>
      <c r="Z102" t="n">
        <v>173</v>
      </c>
      <c r="AA102" t="n">
        <v>180</v>
      </c>
      <c r="AB102" t="n">
        <v>4</v>
      </c>
      <c r="AC102" t="n">
        <v>4</v>
      </c>
      <c r="AD102" t="n">
        <v>10</v>
      </c>
      <c r="AE102" t="n">
        <v>10</v>
      </c>
      <c r="AF102" t="n">
        <v>1</v>
      </c>
      <c r="AG102" t="n">
        <v>1</v>
      </c>
      <c r="AH102" t="n">
        <v>2</v>
      </c>
      <c r="AI102" t="n">
        <v>2</v>
      </c>
      <c r="AJ102" t="n">
        <v>7</v>
      </c>
      <c r="AK102" t="n">
        <v>7</v>
      </c>
      <c r="AL102" t="n">
        <v>3</v>
      </c>
      <c r="AM102" t="n">
        <v>3</v>
      </c>
      <c r="AN102" t="n">
        <v>0</v>
      </c>
      <c r="AO102" t="n">
        <v>0</v>
      </c>
      <c r="AP102" t="inlineStr">
        <is>
          <t>Yes</t>
        </is>
      </c>
      <c r="AQ102" t="inlineStr">
        <is>
          <t>No</t>
        </is>
      </c>
      <c r="AR102">
        <f>HYPERLINK("http://catalog.hathitrust.org/Record/001631059","HathiTrust Record")</f>
        <v/>
      </c>
      <c r="AS102">
        <f>HYPERLINK("https://creighton-primo.hosted.exlibrisgroup.com/primo-explore/search?tab=default_tab&amp;search_scope=EVERYTHING&amp;vid=01CRU&amp;lang=en_US&amp;offset=0&amp;query=any,contains,991003903439702656","Catalog Record")</f>
        <v/>
      </c>
      <c r="AT102">
        <f>HYPERLINK("http://www.worldcat.org/oclc/1831507","WorldCat Record")</f>
        <v/>
      </c>
      <c r="AU102" t="inlineStr">
        <is>
          <t>2721566:fre</t>
        </is>
      </c>
      <c r="AV102" t="inlineStr">
        <is>
          <t>1831507</t>
        </is>
      </c>
      <c r="AW102" t="inlineStr">
        <is>
          <t>991003903439702656</t>
        </is>
      </c>
      <c r="AX102" t="inlineStr">
        <is>
          <t>991003903439702656</t>
        </is>
      </c>
      <c r="AY102" t="inlineStr">
        <is>
          <t>2260032060002656</t>
        </is>
      </c>
      <c r="AZ102" t="inlineStr">
        <is>
          <t>BOOK</t>
        </is>
      </c>
      <c r="BC102" t="inlineStr">
        <is>
          <t>32285003170353</t>
        </is>
      </c>
      <c r="BD102" t="inlineStr">
        <is>
          <t>893259073</t>
        </is>
      </c>
    </row>
    <row r="103">
      <c r="A103" t="inlineStr">
        <is>
          <t>No</t>
        </is>
      </c>
      <c r="B103" t="inlineStr">
        <is>
          <t>PC2814 .L87 1987</t>
        </is>
      </c>
      <c r="C103" t="inlineStr">
        <is>
          <t>0                      PC 2814000L  87          1987</t>
        </is>
      </c>
      <c r="D103" t="inlineStr">
        <is>
          <t>Parler vulgairement : les intellectuels et la langue française aux XIIIe et XIVe siècles / Serge Lusignan.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Lusignan, Serge.</t>
        </is>
      </c>
      <c r="L103" t="inlineStr">
        <is>
          <t>Paris : Vrin ; Montréal, Québec, Canada : Presses de l'Université de Montréal, 1987.</t>
        </is>
      </c>
      <c r="M103" t="inlineStr">
        <is>
          <t>1987</t>
        </is>
      </c>
      <c r="N103" t="inlineStr">
        <is>
          <t>2ème éd.</t>
        </is>
      </c>
      <c r="O103" t="inlineStr">
        <is>
          <t>fre</t>
        </is>
      </c>
      <c r="P103" t="inlineStr">
        <is>
          <t xml:space="preserve">fr </t>
        </is>
      </c>
      <c r="Q103" t="inlineStr">
        <is>
          <t>Etudes médiévales (Presses de l'Université de Montréal)</t>
        </is>
      </c>
      <c r="R103" t="inlineStr">
        <is>
          <t xml:space="preserve">PC </t>
        </is>
      </c>
      <c r="S103" t="n">
        <v>1</v>
      </c>
      <c r="T103" t="n">
        <v>1</v>
      </c>
      <c r="U103" t="inlineStr">
        <is>
          <t>2006-02-07</t>
        </is>
      </c>
      <c r="V103" t="inlineStr">
        <is>
          <t>2006-02-07</t>
        </is>
      </c>
      <c r="W103" t="inlineStr">
        <is>
          <t>1993-04-15</t>
        </is>
      </c>
      <c r="X103" t="inlineStr">
        <is>
          <t>1993-04-15</t>
        </is>
      </c>
      <c r="Y103" t="n">
        <v>86</v>
      </c>
      <c r="Z103" t="n">
        <v>63</v>
      </c>
      <c r="AA103" t="n">
        <v>120</v>
      </c>
      <c r="AB103" t="n">
        <v>1</v>
      </c>
      <c r="AC103" t="n">
        <v>1</v>
      </c>
      <c r="AD103" t="n">
        <v>5</v>
      </c>
      <c r="AE103" t="n">
        <v>6</v>
      </c>
      <c r="AF103" t="n">
        <v>0</v>
      </c>
      <c r="AG103" t="n">
        <v>0</v>
      </c>
      <c r="AH103" t="n">
        <v>3</v>
      </c>
      <c r="AI103" t="n">
        <v>3</v>
      </c>
      <c r="AJ103" t="n">
        <v>4</v>
      </c>
      <c r="AK103" t="n">
        <v>5</v>
      </c>
      <c r="AL103" t="n">
        <v>0</v>
      </c>
      <c r="AM103" t="n">
        <v>0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HYPERLINK("https://creighton-primo.hosted.exlibrisgroup.com/primo-explore/search?tab=default_tab&amp;search_scope=EVERYTHING&amp;vid=01CRU&amp;lang=en_US&amp;offset=0&amp;query=any,contains,991001071629702656","Catalog Record")</f>
        <v/>
      </c>
      <c r="AT103">
        <f>HYPERLINK("http://www.worldcat.org/oclc/15915003","WorldCat Record")</f>
        <v/>
      </c>
      <c r="AU103" t="inlineStr">
        <is>
          <t>11103949:fre</t>
        </is>
      </c>
      <c r="AV103" t="inlineStr">
        <is>
          <t>15915003</t>
        </is>
      </c>
      <c r="AW103" t="inlineStr">
        <is>
          <t>991001071629702656</t>
        </is>
      </c>
      <c r="AX103" t="inlineStr">
        <is>
          <t>991001071629702656</t>
        </is>
      </c>
      <c r="AY103" t="inlineStr">
        <is>
          <t>2260811940002656</t>
        </is>
      </c>
      <c r="AZ103" t="inlineStr">
        <is>
          <t>BOOK</t>
        </is>
      </c>
      <c r="BB103" t="inlineStr">
        <is>
          <t>9782760607972</t>
        </is>
      </c>
      <c r="BC103" t="inlineStr">
        <is>
          <t>32285001645273</t>
        </is>
      </c>
      <c r="BD103" t="inlineStr">
        <is>
          <t>893225588</t>
        </is>
      </c>
    </row>
    <row r="104">
      <c r="A104" t="inlineStr">
        <is>
          <t>No</t>
        </is>
      </c>
      <c r="B104" t="inlineStr">
        <is>
          <t>PC2815 .M3 1990</t>
        </is>
      </c>
      <c r="C104" t="inlineStr">
        <is>
          <t>0                      PC 2815000M  3           1990</t>
        </is>
      </c>
      <c r="D104" t="inlineStr">
        <is>
          <t>Histoire de la langue. Du latin à l'ancien français / Peter A. Machonis.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Machonis, Peter A., 1952-</t>
        </is>
      </c>
      <c r="L104" t="inlineStr">
        <is>
          <t>Lanham, Md. : University Press of America, c1990.</t>
        </is>
      </c>
      <c r="M104" t="inlineStr">
        <is>
          <t>1990</t>
        </is>
      </c>
      <c r="O104" t="inlineStr">
        <is>
          <t>fre</t>
        </is>
      </c>
      <c r="P104" t="inlineStr">
        <is>
          <t>mdu</t>
        </is>
      </c>
      <c r="R104" t="inlineStr">
        <is>
          <t xml:space="preserve">PC </t>
        </is>
      </c>
      <c r="S104" t="n">
        <v>3</v>
      </c>
      <c r="T104" t="n">
        <v>3</v>
      </c>
      <c r="U104" t="inlineStr">
        <is>
          <t>1993-04-16</t>
        </is>
      </c>
      <c r="V104" t="inlineStr">
        <is>
          <t>1993-04-16</t>
        </is>
      </c>
      <c r="W104" t="inlineStr">
        <is>
          <t>1993-03-16</t>
        </is>
      </c>
      <c r="X104" t="inlineStr">
        <is>
          <t>1993-03-16</t>
        </is>
      </c>
      <c r="Y104" t="n">
        <v>231</v>
      </c>
      <c r="Z104" t="n">
        <v>184</v>
      </c>
      <c r="AA104" t="n">
        <v>185</v>
      </c>
      <c r="AB104" t="n">
        <v>3</v>
      </c>
      <c r="AC104" t="n">
        <v>3</v>
      </c>
      <c r="AD104" t="n">
        <v>9</v>
      </c>
      <c r="AE104" t="n">
        <v>9</v>
      </c>
      <c r="AF104" t="n">
        <v>1</v>
      </c>
      <c r="AG104" t="n">
        <v>1</v>
      </c>
      <c r="AH104" t="n">
        <v>3</v>
      </c>
      <c r="AI104" t="n">
        <v>3</v>
      </c>
      <c r="AJ104" t="n">
        <v>6</v>
      </c>
      <c r="AK104" t="n">
        <v>6</v>
      </c>
      <c r="AL104" t="n">
        <v>2</v>
      </c>
      <c r="AM104" t="n">
        <v>2</v>
      </c>
      <c r="AN104" t="n">
        <v>0</v>
      </c>
      <c r="AO104" t="n">
        <v>0</v>
      </c>
      <c r="AP104" t="inlineStr">
        <is>
          <t>No</t>
        </is>
      </c>
      <c r="AQ104" t="inlineStr">
        <is>
          <t>No</t>
        </is>
      </c>
      <c r="AS104">
        <f>HYPERLINK("https://creighton-primo.hosted.exlibrisgroup.com/primo-explore/search?tab=default_tab&amp;search_scope=EVERYTHING&amp;vid=01CRU&amp;lang=en_US&amp;offset=0&amp;query=any,contains,991001724669702656","Catalog Record")</f>
        <v/>
      </c>
      <c r="AT104">
        <f>HYPERLINK("http://www.worldcat.org/oclc/21874408","WorldCat Record")</f>
        <v/>
      </c>
      <c r="AU104" t="inlineStr">
        <is>
          <t>23252747:fre</t>
        </is>
      </c>
      <c r="AV104" t="inlineStr">
        <is>
          <t>21874408</t>
        </is>
      </c>
      <c r="AW104" t="inlineStr">
        <is>
          <t>991001724669702656</t>
        </is>
      </c>
      <c r="AX104" t="inlineStr">
        <is>
          <t>991001724669702656</t>
        </is>
      </c>
      <c r="AY104" t="inlineStr">
        <is>
          <t>2270301000002656</t>
        </is>
      </c>
      <c r="AZ104" t="inlineStr">
        <is>
          <t>BOOK</t>
        </is>
      </c>
      <c r="BB104" t="inlineStr">
        <is>
          <t>9780819178749</t>
        </is>
      </c>
      <c r="BC104" t="inlineStr">
        <is>
          <t>32285001497600</t>
        </is>
      </c>
      <c r="BD104" t="inlineStr">
        <is>
          <t>893408300</t>
        </is>
      </c>
    </row>
    <row r="105">
      <c r="A105" t="inlineStr">
        <is>
          <t>No</t>
        </is>
      </c>
      <c r="B105" t="inlineStr">
        <is>
          <t>PC3301 .J3 1973</t>
        </is>
      </c>
      <c r="C105" t="inlineStr">
        <is>
          <t>0                      PC 3301000J  3           1973</t>
        </is>
      </c>
      <c r="D105" t="inlineStr">
        <is>
          <t>Histoire sommaire de la poésie occitane des origines a la fin du XVIIIe siècle / Alfred Jeanroy. --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Jeanroy, Alfred, 1859-1953.</t>
        </is>
      </c>
      <c r="L105" t="inlineStr">
        <is>
          <t>Genève : Slatkine, 1973.</t>
        </is>
      </c>
      <c r="M105" t="inlineStr">
        <is>
          <t>1973</t>
        </is>
      </c>
      <c r="O105" t="inlineStr">
        <is>
          <t>fre</t>
        </is>
      </c>
      <c r="P105" t="inlineStr">
        <is>
          <t xml:space="preserve">sw </t>
        </is>
      </c>
      <c r="R105" t="inlineStr">
        <is>
          <t xml:space="preserve">PC </t>
        </is>
      </c>
      <c r="S105" t="n">
        <v>3</v>
      </c>
      <c r="T105" t="n">
        <v>3</v>
      </c>
      <c r="U105" t="inlineStr">
        <is>
          <t>2001-02-22</t>
        </is>
      </c>
      <c r="V105" t="inlineStr">
        <is>
          <t>2001-02-22</t>
        </is>
      </c>
      <c r="W105" t="inlineStr">
        <is>
          <t>1993-04-15</t>
        </is>
      </c>
      <c r="X105" t="inlineStr">
        <is>
          <t>1993-04-15</t>
        </is>
      </c>
      <c r="Y105" t="n">
        <v>27</v>
      </c>
      <c r="Z105" t="n">
        <v>19</v>
      </c>
      <c r="AA105" t="n">
        <v>114</v>
      </c>
      <c r="AB105" t="n">
        <v>1</v>
      </c>
      <c r="AC105" t="n">
        <v>2</v>
      </c>
      <c r="AD105" t="n">
        <v>0</v>
      </c>
      <c r="AE105" t="n">
        <v>6</v>
      </c>
      <c r="AF105" t="n">
        <v>0</v>
      </c>
      <c r="AG105" t="n">
        <v>2</v>
      </c>
      <c r="AH105" t="n">
        <v>0</v>
      </c>
      <c r="AI105" t="n">
        <v>1</v>
      </c>
      <c r="AJ105" t="n">
        <v>0</v>
      </c>
      <c r="AK105" t="n">
        <v>4</v>
      </c>
      <c r="AL105" t="n">
        <v>0</v>
      </c>
      <c r="AM105" t="n">
        <v>1</v>
      </c>
      <c r="AN105" t="n">
        <v>0</v>
      </c>
      <c r="AO105" t="n">
        <v>0</v>
      </c>
      <c r="AP105" t="inlineStr">
        <is>
          <t>No</t>
        </is>
      </c>
      <c r="AQ105" t="inlineStr">
        <is>
          <t>No</t>
        </is>
      </c>
      <c r="AS105">
        <f>HYPERLINK("https://creighton-primo.hosted.exlibrisgroup.com/primo-explore/search?tab=default_tab&amp;search_scope=EVERYTHING&amp;vid=01CRU&amp;lang=en_US&amp;offset=0&amp;query=any,contains,991003346849702656","Catalog Record")</f>
        <v/>
      </c>
      <c r="AT105">
        <f>HYPERLINK("http://www.worldcat.org/oclc/878709","WorldCat Record")</f>
        <v/>
      </c>
      <c r="AU105" t="inlineStr">
        <is>
          <t>1844352:fre</t>
        </is>
      </c>
      <c r="AV105" t="inlineStr">
        <is>
          <t>878709</t>
        </is>
      </c>
      <c r="AW105" t="inlineStr">
        <is>
          <t>991003346849702656</t>
        </is>
      </c>
      <c r="AX105" t="inlineStr">
        <is>
          <t>991003346849702656</t>
        </is>
      </c>
      <c r="AY105" t="inlineStr">
        <is>
          <t>2272256830002656</t>
        </is>
      </c>
      <c r="AZ105" t="inlineStr">
        <is>
          <t>BOOK</t>
        </is>
      </c>
      <c r="BC105" t="inlineStr">
        <is>
          <t>32285001645315</t>
        </is>
      </c>
      <c r="BD105" t="inlineStr">
        <is>
          <t>893240133</t>
        </is>
      </c>
    </row>
    <row r="106">
      <c r="A106" t="inlineStr">
        <is>
          <t>No</t>
        </is>
      </c>
      <c r="B106" t="inlineStr">
        <is>
          <t>PC3304 .A57 1973</t>
        </is>
      </c>
      <c r="C106" t="inlineStr">
        <is>
          <t>0                      PC 3304000A  57          1973</t>
        </is>
      </c>
      <c r="D106" t="inlineStr">
        <is>
          <t>Histoire sommaire de la littérature méridionale au Moyen Age; des origines à la fin du XVe siècle.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Anglade, Joseph, 1868-1930.</t>
        </is>
      </c>
      <c r="L106" t="inlineStr">
        <is>
          <t>Genève, Slatkine Reprints, 1973.</t>
        </is>
      </c>
      <c r="M106" t="inlineStr">
        <is>
          <t>1973</t>
        </is>
      </c>
      <c r="O106" t="inlineStr">
        <is>
          <t>fre</t>
        </is>
      </c>
      <c r="P106" t="inlineStr">
        <is>
          <t xml:space="preserve">sz </t>
        </is>
      </c>
      <c r="R106" t="inlineStr">
        <is>
          <t xml:space="preserve">PC </t>
        </is>
      </c>
      <c r="S106" t="n">
        <v>3</v>
      </c>
      <c r="T106" t="n">
        <v>3</v>
      </c>
      <c r="U106" t="inlineStr">
        <is>
          <t>2001-02-22</t>
        </is>
      </c>
      <c r="V106" t="inlineStr">
        <is>
          <t>2001-02-22</t>
        </is>
      </c>
      <c r="W106" t="inlineStr">
        <is>
          <t>1997-09-12</t>
        </is>
      </c>
      <c r="X106" t="inlineStr">
        <is>
          <t>1997-09-12</t>
        </is>
      </c>
      <c r="Y106" t="n">
        <v>48</v>
      </c>
      <c r="Z106" t="n">
        <v>25</v>
      </c>
      <c r="AA106" t="n">
        <v>174</v>
      </c>
      <c r="AB106" t="n">
        <v>1</v>
      </c>
      <c r="AC106" t="n">
        <v>2</v>
      </c>
      <c r="AD106" t="n">
        <v>1</v>
      </c>
      <c r="AE106" t="n">
        <v>6</v>
      </c>
      <c r="AF106" t="n">
        <v>0</v>
      </c>
      <c r="AG106" t="n">
        <v>0</v>
      </c>
      <c r="AH106" t="n">
        <v>0</v>
      </c>
      <c r="AI106" t="n">
        <v>2</v>
      </c>
      <c r="AJ106" t="n">
        <v>1</v>
      </c>
      <c r="AK106" t="n">
        <v>4</v>
      </c>
      <c r="AL106" t="n">
        <v>0</v>
      </c>
      <c r="AM106" t="n">
        <v>1</v>
      </c>
      <c r="AN106" t="n">
        <v>0</v>
      </c>
      <c r="AO106" t="n">
        <v>0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HYPERLINK("http://catalog.hathitrust.org/Record/012348784","HathiTrust Record")</f>
        <v/>
      </c>
      <c r="AS106">
        <f>HYPERLINK("https://creighton-primo.hosted.exlibrisgroup.com/primo-explore/search?tab=default_tab&amp;search_scope=EVERYTHING&amp;vid=01CRU&amp;lang=en_US&amp;offset=0&amp;query=any,contains,991003290129702656","Catalog Record")</f>
        <v/>
      </c>
      <c r="AT106">
        <f>HYPERLINK("http://www.worldcat.org/oclc/812174","WorldCat Record")</f>
        <v/>
      </c>
      <c r="AU106" t="inlineStr">
        <is>
          <t>1388190:fre</t>
        </is>
      </c>
      <c r="AV106" t="inlineStr">
        <is>
          <t>812174</t>
        </is>
      </c>
      <c r="AW106" t="inlineStr">
        <is>
          <t>991003290129702656</t>
        </is>
      </c>
      <c r="AX106" t="inlineStr">
        <is>
          <t>991003290129702656</t>
        </is>
      </c>
      <c r="AY106" t="inlineStr">
        <is>
          <t>2267258720002656</t>
        </is>
      </c>
      <c r="AZ106" t="inlineStr">
        <is>
          <t>BOOK</t>
        </is>
      </c>
      <c r="BC106" t="inlineStr">
        <is>
          <t>32285003225314</t>
        </is>
      </c>
      <c r="BD106" t="inlineStr">
        <is>
          <t>893531054</t>
        </is>
      </c>
    </row>
    <row r="107">
      <c r="A107" t="inlineStr">
        <is>
          <t>No</t>
        </is>
      </c>
      <c r="B107" t="inlineStr">
        <is>
          <t>PC3304 .B683 1965</t>
        </is>
      </c>
      <c r="C107" t="inlineStr">
        <is>
          <t>0                      PC 3304000B  683         1965</t>
        </is>
      </c>
      <c r="D107" t="inlineStr">
        <is>
          <t>The troubadours. Translated from the French by the author. Edited by Lawrence F. Koons.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Briffault, Robert, 1876-1948.</t>
        </is>
      </c>
      <c r="L107" t="inlineStr">
        <is>
          <t>Bloomington, Indiana University Press, 1965.</t>
        </is>
      </c>
      <c r="M107" t="inlineStr">
        <is>
          <t>1965</t>
        </is>
      </c>
      <c r="O107" t="inlineStr">
        <is>
          <t>eng</t>
        </is>
      </c>
      <c r="P107" t="inlineStr">
        <is>
          <t>inu</t>
        </is>
      </c>
      <c r="R107" t="inlineStr">
        <is>
          <t xml:space="preserve">PC </t>
        </is>
      </c>
      <c r="S107" t="n">
        <v>6</v>
      </c>
      <c r="T107" t="n">
        <v>6</v>
      </c>
      <c r="U107" t="inlineStr">
        <is>
          <t>2001-02-22</t>
        </is>
      </c>
      <c r="V107" t="inlineStr">
        <is>
          <t>2001-02-22</t>
        </is>
      </c>
      <c r="W107" t="inlineStr">
        <is>
          <t>1996-06-11</t>
        </is>
      </c>
      <c r="X107" t="inlineStr">
        <is>
          <t>1996-06-11</t>
        </is>
      </c>
      <c r="Y107" t="n">
        <v>1048</v>
      </c>
      <c r="Z107" t="n">
        <v>953</v>
      </c>
      <c r="AA107" t="n">
        <v>963</v>
      </c>
      <c r="AB107" t="n">
        <v>6</v>
      </c>
      <c r="AC107" t="n">
        <v>6</v>
      </c>
      <c r="AD107" t="n">
        <v>42</v>
      </c>
      <c r="AE107" t="n">
        <v>42</v>
      </c>
      <c r="AF107" t="n">
        <v>18</v>
      </c>
      <c r="AG107" t="n">
        <v>18</v>
      </c>
      <c r="AH107" t="n">
        <v>8</v>
      </c>
      <c r="AI107" t="n">
        <v>8</v>
      </c>
      <c r="AJ107" t="n">
        <v>22</v>
      </c>
      <c r="AK107" t="n">
        <v>22</v>
      </c>
      <c r="AL107" t="n">
        <v>5</v>
      </c>
      <c r="AM107" t="n">
        <v>5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HYPERLINK("http://catalog.hathitrust.org/Record/001182754","HathiTrust Record")</f>
        <v/>
      </c>
      <c r="AS107">
        <f>HYPERLINK("https://creighton-primo.hosted.exlibrisgroup.com/primo-explore/search?tab=default_tab&amp;search_scope=EVERYTHING&amp;vid=01CRU&amp;lang=en_US&amp;offset=0&amp;query=any,contains,991001875359702656","Catalog Record")</f>
        <v/>
      </c>
      <c r="AT107">
        <f>HYPERLINK("http://www.worldcat.org/oclc/238196","WorldCat Record")</f>
        <v/>
      </c>
      <c r="AU107" t="inlineStr">
        <is>
          <t>350275955:eng</t>
        </is>
      </c>
      <c r="AV107" t="inlineStr">
        <is>
          <t>238196</t>
        </is>
      </c>
      <c r="AW107" t="inlineStr">
        <is>
          <t>991001875359702656</t>
        </is>
      </c>
      <c r="AX107" t="inlineStr">
        <is>
          <t>991001875359702656</t>
        </is>
      </c>
      <c r="AY107" t="inlineStr">
        <is>
          <t>2255346870002656</t>
        </is>
      </c>
      <c r="AZ107" t="inlineStr">
        <is>
          <t>BOOK</t>
        </is>
      </c>
      <c r="BC107" t="inlineStr">
        <is>
          <t>32285002170115</t>
        </is>
      </c>
      <c r="BD107" t="inlineStr">
        <is>
          <t>893684720</t>
        </is>
      </c>
    </row>
    <row r="108">
      <c r="A108" t="inlineStr">
        <is>
          <t>No</t>
        </is>
      </c>
      <c r="B108" t="inlineStr">
        <is>
          <t>PC3304 .L54</t>
        </is>
      </c>
      <c r="C108" t="inlineStr">
        <is>
          <t>0                      PC 3304000L  54</t>
        </is>
      </c>
      <c r="D108" t="inlineStr">
        <is>
          <t>The troubadours &amp; their world of the twelfth and thirteenth centuries / Jack Lindsay.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Lindsay, Jack, 1900-1990.</t>
        </is>
      </c>
      <c r="L108" t="inlineStr">
        <is>
          <t>London : F. Muller, 1976.</t>
        </is>
      </c>
      <c r="M108" t="inlineStr">
        <is>
          <t>1976</t>
        </is>
      </c>
      <c r="O108" t="inlineStr">
        <is>
          <t>eng</t>
        </is>
      </c>
      <c r="P108" t="inlineStr">
        <is>
          <t>enk</t>
        </is>
      </c>
      <c r="R108" t="inlineStr">
        <is>
          <t xml:space="preserve">PC </t>
        </is>
      </c>
      <c r="S108" t="n">
        <v>2</v>
      </c>
      <c r="T108" t="n">
        <v>2</v>
      </c>
      <c r="U108" t="inlineStr">
        <is>
          <t>2005-02-28</t>
        </is>
      </c>
      <c r="V108" t="inlineStr">
        <is>
          <t>2005-02-28</t>
        </is>
      </c>
      <c r="W108" t="inlineStr">
        <is>
          <t>1993-04-15</t>
        </is>
      </c>
      <c r="X108" t="inlineStr">
        <is>
          <t>1993-04-15</t>
        </is>
      </c>
      <c r="Y108" t="n">
        <v>521</v>
      </c>
      <c r="Z108" t="n">
        <v>372</v>
      </c>
      <c r="AA108" t="n">
        <v>374</v>
      </c>
      <c r="AB108" t="n">
        <v>3</v>
      </c>
      <c r="AC108" t="n">
        <v>3</v>
      </c>
      <c r="AD108" t="n">
        <v>17</v>
      </c>
      <c r="AE108" t="n">
        <v>17</v>
      </c>
      <c r="AF108" t="n">
        <v>8</v>
      </c>
      <c r="AG108" t="n">
        <v>8</v>
      </c>
      <c r="AH108" t="n">
        <v>5</v>
      </c>
      <c r="AI108" t="n">
        <v>5</v>
      </c>
      <c r="AJ108" t="n">
        <v>8</v>
      </c>
      <c r="AK108" t="n">
        <v>8</v>
      </c>
      <c r="AL108" t="n">
        <v>2</v>
      </c>
      <c r="AM108" t="n">
        <v>2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HYPERLINK("http://catalog.hathitrust.org/Record/000740323","HathiTrust Record")</f>
        <v/>
      </c>
      <c r="AS108">
        <f>HYPERLINK("https://creighton-primo.hosted.exlibrisgroup.com/primo-explore/search?tab=default_tab&amp;search_scope=EVERYTHING&amp;vid=01CRU&amp;lang=en_US&amp;offset=0&amp;query=any,contains,991004192439702656","Catalog Record")</f>
        <v/>
      </c>
      <c r="AT108">
        <f>HYPERLINK("http://www.worldcat.org/oclc/2634284","WorldCat Record")</f>
        <v/>
      </c>
      <c r="AU108" t="inlineStr">
        <is>
          <t>5809927:eng</t>
        </is>
      </c>
      <c r="AV108" t="inlineStr">
        <is>
          <t>2634284</t>
        </is>
      </c>
      <c r="AW108" t="inlineStr">
        <is>
          <t>991004192439702656</t>
        </is>
      </c>
      <c r="AX108" t="inlineStr">
        <is>
          <t>991004192439702656</t>
        </is>
      </c>
      <c r="AY108" t="inlineStr">
        <is>
          <t>2272087050002656</t>
        </is>
      </c>
      <c r="AZ108" t="inlineStr">
        <is>
          <t>BOOK</t>
        </is>
      </c>
      <c r="BB108" t="inlineStr">
        <is>
          <t>9780584103168</t>
        </is>
      </c>
      <c r="BC108" t="inlineStr">
        <is>
          <t>32285001645299</t>
        </is>
      </c>
      <c r="BD108" t="inlineStr">
        <is>
          <t>893532103</t>
        </is>
      </c>
    </row>
    <row r="109">
      <c r="A109" t="inlineStr">
        <is>
          <t>No</t>
        </is>
      </c>
      <c r="B109" t="inlineStr">
        <is>
          <t>PC3308 .B75</t>
        </is>
      </c>
      <c r="C109" t="inlineStr">
        <is>
          <t>0                      PC 3308000B  75</t>
        </is>
      </c>
      <c r="D109" t="inlineStr">
        <is>
          <t>Les troubadours et le sentiment romanesque / Robert Briffault.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Briffault, Robert, 1876-1948.</t>
        </is>
      </c>
      <c r="L109" t="inlineStr">
        <is>
          <t>Genève : Slatkine Reprints, 1974.</t>
        </is>
      </c>
      <c r="M109" t="inlineStr">
        <is>
          <t>1974</t>
        </is>
      </c>
      <c r="O109" t="inlineStr">
        <is>
          <t>fre</t>
        </is>
      </c>
      <c r="P109" t="inlineStr">
        <is>
          <t xml:space="preserve">sz </t>
        </is>
      </c>
      <c r="R109" t="inlineStr">
        <is>
          <t xml:space="preserve">PC </t>
        </is>
      </c>
      <c r="S109" t="n">
        <v>2</v>
      </c>
      <c r="T109" t="n">
        <v>2</v>
      </c>
      <c r="U109" t="inlineStr">
        <is>
          <t>1999-01-29</t>
        </is>
      </c>
      <c r="V109" t="inlineStr">
        <is>
          <t>1999-01-29</t>
        </is>
      </c>
      <c r="W109" t="inlineStr">
        <is>
          <t>1995-08-24</t>
        </is>
      </c>
      <c r="X109" t="inlineStr">
        <is>
          <t>1995-08-24</t>
        </is>
      </c>
      <c r="Y109" t="n">
        <v>46</v>
      </c>
      <c r="Z109" t="n">
        <v>32</v>
      </c>
      <c r="AA109" t="n">
        <v>148</v>
      </c>
      <c r="AB109" t="n">
        <v>1</v>
      </c>
      <c r="AC109" t="n">
        <v>2</v>
      </c>
      <c r="AD109" t="n">
        <v>3</v>
      </c>
      <c r="AE109" t="n">
        <v>6</v>
      </c>
      <c r="AF109" t="n">
        <v>0</v>
      </c>
      <c r="AG109" t="n">
        <v>1</v>
      </c>
      <c r="AH109" t="n">
        <v>1</v>
      </c>
      <c r="AI109" t="n">
        <v>2</v>
      </c>
      <c r="AJ109" t="n">
        <v>3</v>
      </c>
      <c r="AK109" t="n">
        <v>3</v>
      </c>
      <c r="AL109" t="n">
        <v>0</v>
      </c>
      <c r="AM109" t="n">
        <v>1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HYPERLINK("https://creighton-primo.hosted.exlibrisgroup.com/primo-explore/search?tab=default_tab&amp;search_scope=EVERYTHING&amp;vid=01CRU&amp;lang=en_US&amp;offset=0&amp;query=any,contains,991003681609702656","Catalog Record")</f>
        <v/>
      </c>
      <c r="AT109">
        <f>HYPERLINK("http://www.worldcat.org/oclc/1307389","WorldCat Record")</f>
        <v/>
      </c>
      <c r="AU109" t="inlineStr">
        <is>
          <t>350275955:fre</t>
        </is>
      </c>
      <c r="AV109" t="inlineStr">
        <is>
          <t>1307389</t>
        </is>
      </c>
      <c r="AW109" t="inlineStr">
        <is>
          <t>991003681609702656</t>
        </is>
      </c>
      <c r="AX109" t="inlineStr">
        <is>
          <t>991003681609702656</t>
        </is>
      </c>
      <c r="AY109" t="inlineStr">
        <is>
          <t>2262601250002656</t>
        </is>
      </c>
      <c r="AZ109" t="inlineStr">
        <is>
          <t>BOOK</t>
        </is>
      </c>
      <c r="BC109" t="inlineStr">
        <is>
          <t>32285002065323</t>
        </is>
      </c>
      <c r="BD109" t="inlineStr">
        <is>
          <t>893800019</t>
        </is>
      </c>
    </row>
    <row r="110">
      <c r="A110" t="inlineStr">
        <is>
          <t>No</t>
        </is>
      </c>
      <c r="B110" t="inlineStr">
        <is>
          <t>PC3308 .R54 1991</t>
        </is>
      </c>
      <c r="C110" t="inlineStr">
        <is>
          <t>0                      PC 3308000R  54          1991</t>
        </is>
      </c>
      <c r="D110" t="inlineStr">
        <is>
          <t>Trobairitz : der Beitrag der Frau in der altokzitanischen höfischen Lyrik : Edition des Gesamtkorpus / Angelica Rieger.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Rieger, Angelica.</t>
        </is>
      </c>
      <c r="L110" t="inlineStr">
        <is>
          <t>Tübingen : M. Niemeyer, 1991.</t>
        </is>
      </c>
      <c r="M110" t="inlineStr">
        <is>
          <t>1991</t>
        </is>
      </c>
      <c r="O110" t="inlineStr">
        <is>
          <t>ger</t>
        </is>
      </c>
      <c r="P110" t="inlineStr">
        <is>
          <t xml:space="preserve">gw </t>
        </is>
      </c>
      <c r="Q110" t="inlineStr">
        <is>
          <t>Beihefte zur Zeitschrift für romanische Philologie, 0084-5396 ; Bd. 233</t>
        </is>
      </c>
      <c r="R110" t="inlineStr">
        <is>
          <t xml:space="preserve">PC </t>
        </is>
      </c>
      <c r="S110" t="n">
        <v>1</v>
      </c>
      <c r="T110" t="n">
        <v>1</v>
      </c>
      <c r="U110" t="inlineStr">
        <is>
          <t>2009-02-12</t>
        </is>
      </c>
      <c r="V110" t="inlineStr">
        <is>
          <t>2009-02-12</t>
        </is>
      </c>
      <c r="W110" t="inlineStr">
        <is>
          <t>2009-02-12</t>
        </is>
      </c>
      <c r="X110" t="inlineStr">
        <is>
          <t>2009-02-12</t>
        </is>
      </c>
      <c r="Y110" t="n">
        <v>142</v>
      </c>
      <c r="Z110" t="n">
        <v>76</v>
      </c>
      <c r="AA110" t="n">
        <v>84</v>
      </c>
      <c r="AB110" t="n">
        <v>1</v>
      </c>
      <c r="AC110" t="n">
        <v>1</v>
      </c>
      <c r="AD110" t="n">
        <v>3</v>
      </c>
      <c r="AE110" t="n">
        <v>3</v>
      </c>
      <c r="AF110" t="n">
        <v>0</v>
      </c>
      <c r="AG110" t="n">
        <v>0</v>
      </c>
      <c r="AH110" t="n">
        <v>1</v>
      </c>
      <c r="AI110" t="n">
        <v>1</v>
      </c>
      <c r="AJ110" t="n">
        <v>2</v>
      </c>
      <c r="AK110" t="n">
        <v>2</v>
      </c>
      <c r="AL110" t="n">
        <v>0</v>
      </c>
      <c r="AM110" t="n">
        <v>0</v>
      </c>
      <c r="AN110" t="n">
        <v>0</v>
      </c>
      <c r="AO110" t="n">
        <v>0</v>
      </c>
      <c r="AP110" t="inlineStr">
        <is>
          <t>No</t>
        </is>
      </c>
      <c r="AQ110" t="inlineStr">
        <is>
          <t>Yes</t>
        </is>
      </c>
      <c r="AR110">
        <f>HYPERLINK("http://catalog.hathitrust.org/Record/002493454","HathiTrust Record")</f>
        <v/>
      </c>
      <c r="AS110">
        <f>HYPERLINK("https://creighton-primo.hosted.exlibrisgroup.com/primo-explore/search?tab=default_tab&amp;search_scope=EVERYTHING&amp;vid=01CRU&amp;lang=en_US&amp;offset=0&amp;query=any,contains,991005295969702656","Catalog Record")</f>
        <v/>
      </c>
      <c r="AT110">
        <f>HYPERLINK("http://www.worldcat.org/oclc/24607685","WorldCat Record")</f>
        <v/>
      </c>
      <c r="AU110" t="inlineStr">
        <is>
          <t>289820631:ger</t>
        </is>
      </c>
      <c r="AV110" t="inlineStr">
        <is>
          <t>24607685</t>
        </is>
      </c>
      <c r="AW110" t="inlineStr">
        <is>
          <t>991005295969702656</t>
        </is>
      </c>
      <c r="AX110" t="inlineStr">
        <is>
          <t>991005295969702656</t>
        </is>
      </c>
      <c r="AY110" t="inlineStr">
        <is>
          <t>2259542920002656</t>
        </is>
      </c>
      <c r="AZ110" t="inlineStr">
        <is>
          <t>BOOK</t>
        </is>
      </c>
      <c r="BB110" t="inlineStr">
        <is>
          <t>9783484522336</t>
        </is>
      </c>
      <c r="BC110" t="inlineStr">
        <is>
          <t>32285005503882</t>
        </is>
      </c>
      <c r="BD110" t="inlineStr">
        <is>
          <t>893783369</t>
        </is>
      </c>
    </row>
    <row r="111">
      <c r="A111" t="inlineStr">
        <is>
          <t>No</t>
        </is>
      </c>
      <c r="B111" t="inlineStr">
        <is>
          <t>PC3308 .V65 1989</t>
        </is>
      </c>
      <c r="C111" t="inlineStr">
        <is>
          <t>0                      PC 3308000V  65          1989</t>
        </is>
      </c>
      <c r="D111" t="inlineStr">
        <is>
          <t>The Voice of the trobairitz : perspectives on the women troubadours / edited by William D. Paden.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L111" t="inlineStr">
        <is>
          <t>Philadelphia : University of Pennsylvania Press, c1989.</t>
        </is>
      </c>
      <c r="M111" t="inlineStr">
        <is>
          <t>1989</t>
        </is>
      </c>
      <c r="O111" t="inlineStr">
        <is>
          <t>eng</t>
        </is>
      </c>
      <c r="P111" t="inlineStr">
        <is>
          <t>pau</t>
        </is>
      </c>
      <c r="Q111" t="inlineStr">
        <is>
          <t>University of Pennsylvania Press Middle Ages series</t>
        </is>
      </c>
      <c r="R111" t="inlineStr">
        <is>
          <t xml:space="preserve">PC </t>
        </is>
      </c>
      <c r="S111" t="n">
        <v>18</v>
      </c>
      <c r="T111" t="n">
        <v>18</v>
      </c>
      <c r="U111" t="inlineStr">
        <is>
          <t>2010-03-31</t>
        </is>
      </c>
      <c r="V111" t="inlineStr">
        <is>
          <t>2010-03-31</t>
        </is>
      </c>
      <c r="W111" t="inlineStr">
        <is>
          <t>1995-12-11</t>
        </is>
      </c>
      <c r="X111" t="inlineStr">
        <is>
          <t>1995-12-11</t>
        </is>
      </c>
      <c r="Y111" t="n">
        <v>448</v>
      </c>
      <c r="Z111" t="n">
        <v>368</v>
      </c>
      <c r="AA111" t="n">
        <v>537</v>
      </c>
      <c r="AB111" t="n">
        <v>2</v>
      </c>
      <c r="AC111" t="n">
        <v>2</v>
      </c>
      <c r="AD111" t="n">
        <v>19</v>
      </c>
      <c r="AE111" t="n">
        <v>27</v>
      </c>
      <c r="AF111" t="n">
        <v>5</v>
      </c>
      <c r="AG111" t="n">
        <v>12</v>
      </c>
      <c r="AH111" t="n">
        <v>8</v>
      </c>
      <c r="AI111" t="n">
        <v>9</v>
      </c>
      <c r="AJ111" t="n">
        <v>12</v>
      </c>
      <c r="AK111" t="n">
        <v>15</v>
      </c>
      <c r="AL111" t="n">
        <v>1</v>
      </c>
      <c r="AM111" t="n">
        <v>1</v>
      </c>
      <c r="AN111" t="n">
        <v>0</v>
      </c>
      <c r="AO111" t="n">
        <v>0</v>
      </c>
      <c r="AP111" t="inlineStr">
        <is>
          <t>No</t>
        </is>
      </c>
      <c r="AQ111" t="inlineStr">
        <is>
          <t>Yes</t>
        </is>
      </c>
      <c r="AR111">
        <f>HYPERLINK("http://catalog.hathitrust.org/Record/001549841","HathiTrust Record")</f>
        <v/>
      </c>
      <c r="AS111">
        <f>HYPERLINK("https://creighton-primo.hosted.exlibrisgroup.com/primo-explore/search?tab=default_tab&amp;search_scope=EVERYTHING&amp;vid=01CRU&amp;lang=en_US&amp;offset=0&amp;query=any,contains,991001477409702656","Catalog Record")</f>
        <v/>
      </c>
      <c r="AT111">
        <f>HYPERLINK("http://www.worldcat.org/oclc/19589333","WorldCat Record")</f>
        <v/>
      </c>
      <c r="AU111" t="inlineStr">
        <is>
          <t>836893398:eng</t>
        </is>
      </c>
      <c r="AV111" t="inlineStr">
        <is>
          <t>19589333</t>
        </is>
      </c>
      <c r="AW111" t="inlineStr">
        <is>
          <t>991001477409702656</t>
        </is>
      </c>
      <c r="AX111" t="inlineStr">
        <is>
          <t>991001477409702656</t>
        </is>
      </c>
      <c r="AY111" t="inlineStr">
        <is>
          <t>2263953070002656</t>
        </is>
      </c>
      <c r="AZ111" t="inlineStr">
        <is>
          <t>BOOK</t>
        </is>
      </c>
      <c r="BB111" t="inlineStr">
        <is>
          <t>9780812281675</t>
        </is>
      </c>
      <c r="BC111" t="inlineStr">
        <is>
          <t>32285002088978</t>
        </is>
      </c>
      <c r="BD111" t="inlineStr">
        <is>
          <t>893690654</t>
        </is>
      </c>
    </row>
    <row r="112">
      <c r="A112" t="inlineStr">
        <is>
          <t>No</t>
        </is>
      </c>
      <c r="B112" t="inlineStr">
        <is>
          <t>PC3309 .L44 2000</t>
        </is>
      </c>
      <c r="C112" t="inlineStr">
        <is>
          <t>0                      PC 3309000L  44          2000</t>
        </is>
      </c>
      <c r="D112" t="inlineStr">
        <is>
          <t>Between sequence and sirventes : aspects of parody in the troubadour lyric / by Catherine Léglu.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Léglu, Catherine.</t>
        </is>
      </c>
      <c r="L112" t="inlineStr">
        <is>
          <t>Oxford : Legenda, 2000.</t>
        </is>
      </c>
      <c r="M112" t="inlineStr">
        <is>
          <t>2000</t>
        </is>
      </c>
      <c r="O112" t="inlineStr">
        <is>
          <t>eng</t>
        </is>
      </c>
      <c r="P112" t="inlineStr">
        <is>
          <t>enk</t>
        </is>
      </c>
      <c r="Q112" t="inlineStr">
        <is>
          <t>Research monographs in French studies ; 8</t>
        </is>
      </c>
      <c r="R112" t="inlineStr">
        <is>
          <t xml:space="preserve">PC </t>
        </is>
      </c>
      <c r="S112" t="n">
        <v>6</v>
      </c>
      <c r="T112" t="n">
        <v>6</v>
      </c>
      <c r="U112" t="inlineStr">
        <is>
          <t>2006-09-20</t>
        </is>
      </c>
      <c r="V112" t="inlineStr">
        <is>
          <t>2006-09-20</t>
        </is>
      </c>
      <c r="W112" t="inlineStr">
        <is>
          <t>2004-12-06</t>
        </is>
      </c>
      <c r="X112" t="inlineStr">
        <is>
          <t>2004-12-06</t>
        </is>
      </c>
      <c r="Y112" t="n">
        <v>122</v>
      </c>
      <c r="Z112" t="n">
        <v>83</v>
      </c>
      <c r="AA112" t="n">
        <v>101</v>
      </c>
      <c r="AB112" t="n">
        <v>1</v>
      </c>
      <c r="AC112" t="n">
        <v>1</v>
      </c>
      <c r="AD112" t="n">
        <v>3</v>
      </c>
      <c r="AE112" t="n">
        <v>3</v>
      </c>
      <c r="AF112" t="n">
        <v>0</v>
      </c>
      <c r="AG112" t="n">
        <v>0</v>
      </c>
      <c r="AH112" t="n">
        <v>1</v>
      </c>
      <c r="AI112" t="n">
        <v>1</v>
      </c>
      <c r="AJ112" t="n">
        <v>3</v>
      </c>
      <c r="AK112" t="n">
        <v>3</v>
      </c>
      <c r="AL112" t="n">
        <v>0</v>
      </c>
      <c r="AM112" t="n">
        <v>0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HYPERLINK("http://catalog.hathitrust.org/Record/003576423","HathiTrust Record")</f>
        <v/>
      </c>
      <c r="AS112">
        <f>HYPERLINK("https://creighton-primo.hosted.exlibrisgroup.com/primo-explore/search?tab=default_tab&amp;search_scope=EVERYTHING&amp;vid=01CRU&amp;lang=en_US&amp;offset=0&amp;query=any,contains,991004393559702656","Catalog Record")</f>
        <v/>
      </c>
      <c r="AT112">
        <f>HYPERLINK("http://www.worldcat.org/oclc/46432703","WorldCat Record")</f>
        <v/>
      </c>
      <c r="AU112" t="inlineStr">
        <is>
          <t>371357382:eng</t>
        </is>
      </c>
      <c r="AV112" t="inlineStr">
        <is>
          <t>46432703</t>
        </is>
      </c>
      <c r="AW112" t="inlineStr">
        <is>
          <t>991004393559702656</t>
        </is>
      </c>
      <c r="AX112" t="inlineStr">
        <is>
          <t>991004393559702656</t>
        </is>
      </c>
      <c r="AY112" t="inlineStr">
        <is>
          <t>2258181620002656</t>
        </is>
      </c>
      <c r="AZ112" t="inlineStr">
        <is>
          <t>BOOK</t>
        </is>
      </c>
      <c r="BB112" t="inlineStr">
        <is>
          <t>9781900755443</t>
        </is>
      </c>
      <c r="BC112" t="inlineStr">
        <is>
          <t>32285005015143</t>
        </is>
      </c>
      <c r="BD112" t="inlineStr">
        <is>
          <t>893532335</t>
        </is>
      </c>
    </row>
    <row r="113">
      <c r="A113" t="inlineStr">
        <is>
          <t>No</t>
        </is>
      </c>
      <c r="B113" t="inlineStr">
        <is>
          <t>PC3322 .B6</t>
        </is>
      </c>
      <c r="C113" t="inlineStr">
        <is>
          <t>0                      PC 3322000B  6</t>
        </is>
      </c>
      <c r="D113" t="inlineStr">
        <is>
          <t>Les femmes troubadours / Meg Bogin ; traduit de l'américain par Jeanne Faure-Cousin avec la collaboration d'Anne Richou.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Bogin, Magda.</t>
        </is>
      </c>
      <c r="L113" t="inlineStr">
        <is>
          <t>Paris : Denoël/Gonthier, c1978.</t>
        </is>
      </c>
      <c r="M113" t="inlineStr">
        <is>
          <t>1978</t>
        </is>
      </c>
      <c r="O113" t="inlineStr">
        <is>
          <t>fre</t>
        </is>
      </c>
      <c r="P113" t="inlineStr">
        <is>
          <t xml:space="preserve">fr </t>
        </is>
      </c>
      <c r="Q113" t="inlineStr">
        <is>
          <t>Collection Femme</t>
        </is>
      </c>
      <c r="R113" t="inlineStr">
        <is>
          <t xml:space="preserve">PC </t>
        </is>
      </c>
      <c r="S113" t="n">
        <v>4</v>
      </c>
      <c r="T113" t="n">
        <v>4</v>
      </c>
      <c r="U113" t="inlineStr">
        <is>
          <t>2001-02-22</t>
        </is>
      </c>
      <c r="V113" t="inlineStr">
        <is>
          <t>2001-02-22</t>
        </is>
      </c>
      <c r="W113" t="inlineStr">
        <is>
          <t>1993-04-15</t>
        </is>
      </c>
      <c r="X113" t="inlineStr">
        <is>
          <t>1993-04-15</t>
        </is>
      </c>
      <c r="Y113" t="n">
        <v>107</v>
      </c>
      <c r="Z113" t="n">
        <v>86</v>
      </c>
      <c r="AA113" t="n">
        <v>87</v>
      </c>
      <c r="AB113" t="n">
        <v>1</v>
      </c>
      <c r="AC113" t="n">
        <v>1</v>
      </c>
      <c r="AD113" t="n">
        <v>4</v>
      </c>
      <c r="AE113" t="n">
        <v>4</v>
      </c>
      <c r="AF113" t="n">
        <v>2</v>
      </c>
      <c r="AG113" t="n">
        <v>2</v>
      </c>
      <c r="AH113" t="n">
        <v>2</v>
      </c>
      <c r="AI113" t="n">
        <v>2</v>
      </c>
      <c r="AJ113" t="n">
        <v>2</v>
      </c>
      <c r="AK113" t="n">
        <v>2</v>
      </c>
      <c r="AL113" t="n">
        <v>0</v>
      </c>
      <c r="AM113" t="n">
        <v>0</v>
      </c>
      <c r="AN113" t="n">
        <v>0</v>
      </c>
      <c r="AO113" t="n">
        <v>0</v>
      </c>
      <c r="AP113" t="inlineStr">
        <is>
          <t>No</t>
        </is>
      </c>
      <c r="AQ113" t="inlineStr">
        <is>
          <t>No</t>
        </is>
      </c>
      <c r="AS113">
        <f>HYPERLINK("https://creighton-primo.hosted.exlibrisgroup.com/primo-explore/search?tab=default_tab&amp;search_scope=EVERYTHING&amp;vid=01CRU&amp;lang=en_US&amp;offset=0&amp;query=any,contains,991004938319702656","Catalog Record")</f>
        <v/>
      </c>
      <c r="AT113">
        <f>HYPERLINK("http://www.worldcat.org/oclc/6151523","WorldCat Record")</f>
        <v/>
      </c>
      <c r="AU113" t="inlineStr">
        <is>
          <t>459632:fre</t>
        </is>
      </c>
      <c r="AV113" t="inlineStr">
        <is>
          <t>6151523</t>
        </is>
      </c>
      <c r="AW113" t="inlineStr">
        <is>
          <t>991004938319702656</t>
        </is>
      </c>
      <c r="AX113" t="inlineStr">
        <is>
          <t>991004938319702656</t>
        </is>
      </c>
      <c r="AY113" t="inlineStr">
        <is>
          <t>2261858390002656</t>
        </is>
      </c>
      <c r="AZ113" t="inlineStr">
        <is>
          <t>BOOK</t>
        </is>
      </c>
      <c r="BC113" t="inlineStr">
        <is>
          <t>32285001645323</t>
        </is>
      </c>
      <c r="BD113" t="inlineStr">
        <is>
          <t>893338304</t>
        </is>
      </c>
    </row>
    <row r="114">
      <c r="A114" t="inlineStr">
        <is>
          <t>No</t>
        </is>
      </c>
      <c r="B114" t="inlineStr">
        <is>
          <t>PC3330.F65 S38 2001</t>
        </is>
      </c>
      <c r="C114" t="inlineStr">
        <is>
          <t>0                      PC 3330000F  65                 S  38          2001</t>
        </is>
      </c>
      <c r="D114" t="inlineStr">
        <is>
          <t>Where troubadours were bishops : the Occitania of Folc of Marseille, 1150-1231 / N.M. Schulman.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Schulman, Nicole M.</t>
        </is>
      </c>
      <c r="L114" t="inlineStr">
        <is>
          <t>New York : Routledge, 2001.</t>
        </is>
      </c>
      <c r="M114" t="inlineStr">
        <is>
          <t>2001</t>
        </is>
      </c>
      <c r="O114" t="inlineStr">
        <is>
          <t>eng</t>
        </is>
      </c>
      <c r="P114" t="inlineStr">
        <is>
          <t>nyu</t>
        </is>
      </c>
      <c r="Q114" t="inlineStr">
        <is>
          <t>Studies in medieval history and culture ; 7</t>
        </is>
      </c>
      <c r="R114" t="inlineStr">
        <is>
          <t xml:space="preserve">PC </t>
        </is>
      </c>
      <c r="S114" t="n">
        <v>14</v>
      </c>
      <c r="T114" t="n">
        <v>14</v>
      </c>
      <c r="U114" t="inlineStr">
        <is>
          <t>2010-03-31</t>
        </is>
      </c>
      <c r="V114" t="inlineStr">
        <is>
          <t>2010-03-31</t>
        </is>
      </c>
      <c r="W114" t="inlineStr">
        <is>
          <t>2004-12-07</t>
        </is>
      </c>
      <c r="X114" t="inlineStr">
        <is>
          <t>2004-12-07</t>
        </is>
      </c>
      <c r="Y114" t="n">
        <v>175</v>
      </c>
      <c r="Z114" t="n">
        <v>143</v>
      </c>
      <c r="AA114" t="n">
        <v>164</v>
      </c>
      <c r="AB114" t="n">
        <v>2</v>
      </c>
      <c r="AC114" t="n">
        <v>2</v>
      </c>
      <c r="AD114" t="n">
        <v>9</v>
      </c>
      <c r="AE114" t="n">
        <v>9</v>
      </c>
      <c r="AF114" t="n">
        <v>3</v>
      </c>
      <c r="AG114" t="n">
        <v>3</v>
      </c>
      <c r="AH114" t="n">
        <v>3</v>
      </c>
      <c r="AI114" t="n">
        <v>3</v>
      </c>
      <c r="AJ114" t="n">
        <v>7</v>
      </c>
      <c r="AK114" t="n">
        <v>7</v>
      </c>
      <c r="AL114" t="n">
        <v>1</v>
      </c>
      <c r="AM114" t="n">
        <v>1</v>
      </c>
      <c r="AN114" t="n">
        <v>0</v>
      </c>
      <c r="AO114" t="n">
        <v>0</v>
      </c>
      <c r="AP114" t="inlineStr">
        <is>
          <t>No</t>
        </is>
      </c>
      <c r="AQ114" t="inlineStr">
        <is>
          <t>No</t>
        </is>
      </c>
      <c r="AS114">
        <f>HYPERLINK("https://creighton-primo.hosted.exlibrisgroup.com/primo-explore/search?tab=default_tab&amp;search_scope=EVERYTHING&amp;vid=01CRU&amp;lang=en_US&amp;offset=0&amp;query=any,contains,991004393449702656","Catalog Record")</f>
        <v/>
      </c>
      <c r="AT114">
        <f>HYPERLINK("http://www.worldcat.org/oclc/46822305","WorldCat Record")</f>
        <v/>
      </c>
      <c r="AU114" t="inlineStr">
        <is>
          <t>837080438:eng</t>
        </is>
      </c>
      <c r="AV114" t="inlineStr">
        <is>
          <t>46822305</t>
        </is>
      </c>
      <c r="AW114" t="inlineStr">
        <is>
          <t>991004393449702656</t>
        </is>
      </c>
      <c r="AX114" t="inlineStr">
        <is>
          <t>991004393449702656</t>
        </is>
      </c>
      <c r="AY114" t="inlineStr">
        <is>
          <t>2260780360002656</t>
        </is>
      </c>
      <c r="AZ114" t="inlineStr">
        <is>
          <t>BOOK</t>
        </is>
      </c>
      <c r="BB114" t="inlineStr">
        <is>
          <t>9780415936651</t>
        </is>
      </c>
      <c r="BC114" t="inlineStr">
        <is>
          <t>32285005015523</t>
        </is>
      </c>
      <c r="BD114" t="inlineStr">
        <is>
          <t>893612297</t>
        </is>
      </c>
    </row>
    <row r="115">
      <c r="A115" t="inlineStr">
        <is>
          <t>No</t>
        </is>
      </c>
      <c r="B115" t="inlineStr">
        <is>
          <t>PC3330.S6 A28 1987</t>
        </is>
      </c>
      <c r="C115" t="inlineStr">
        <is>
          <t>0                      PC 3330000S  6                  A  28          1987</t>
        </is>
      </c>
      <c r="D115" t="inlineStr">
        <is>
          <t>The poetry of Sordello / edited and translated by James J. Wilhelm.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Sordello, of Goito, active 13th century.</t>
        </is>
      </c>
      <c r="L115" t="inlineStr">
        <is>
          <t>New York : Garland, 1987.</t>
        </is>
      </c>
      <c r="M115" t="inlineStr">
        <is>
          <t>1987</t>
        </is>
      </c>
      <c r="O115" t="inlineStr">
        <is>
          <t>eng</t>
        </is>
      </c>
      <c r="P115" t="inlineStr">
        <is>
          <t>nyu</t>
        </is>
      </c>
      <c r="Q115" t="inlineStr">
        <is>
          <t>Garland library of medieval literature ; v. 42. Series A</t>
        </is>
      </c>
      <c r="R115" t="inlineStr">
        <is>
          <t xml:space="preserve">PC </t>
        </is>
      </c>
      <c r="S115" t="n">
        <v>1</v>
      </c>
      <c r="T115" t="n">
        <v>1</v>
      </c>
      <c r="U115" t="inlineStr">
        <is>
          <t>2009-02-11</t>
        </is>
      </c>
      <c r="V115" t="inlineStr">
        <is>
          <t>2009-02-11</t>
        </is>
      </c>
      <c r="W115" t="inlineStr">
        <is>
          <t>2009-02-11</t>
        </is>
      </c>
      <c r="X115" t="inlineStr">
        <is>
          <t>2009-02-11</t>
        </is>
      </c>
      <c r="Y115" t="n">
        <v>223</v>
      </c>
      <c r="Z115" t="n">
        <v>178</v>
      </c>
      <c r="AA115" t="n">
        <v>181</v>
      </c>
      <c r="AB115" t="n">
        <v>1</v>
      </c>
      <c r="AC115" t="n">
        <v>1</v>
      </c>
      <c r="AD115" t="n">
        <v>10</v>
      </c>
      <c r="AE115" t="n">
        <v>10</v>
      </c>
      <c r="AF115" t="n">
        <v>2</v>
      </c>
      <c r="AG115" t="n">
        <v>2</v>
      </c>
      <c r="AH115" t="n">
        <v>3</v>
      </c>
      <c r="AI115" t="n">
        <v>3</v>
      </c>
      <c r="AJ115" t="n">
        <v>7</v>
      </c>
      <c r="AK115" t="n">
        <v>7</v>
      </c>
      <c r="AL115" t="n">
        <v>0</v>
      </c>
      <c r="AM115" t="n">
        <v>0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HYPERLINK("https://creighton-primo.hosted.exlibrisgroup.com/primo-explore/search?tab=default_tab&amp;search_scope=EVERYTHING&amp;vid=01CRU&amp;lang=en_US&amp;offset=0&amp;query=any,contains,991005296089702656","Catalog Record")</f>
        <v/>
      </c>
      <c r="AT115">
        <f>HYPERLINK("http://www.worldcat.org/oclc/14904132","WorldCat Record")</f>
        <v/>
      </c>
      <c r="AU115" t="inlineStr">
        <is>
          <t>341368739:eng</t>
        </is>
      </c>
      <c r="AV115" t="inlineStr">
        <is>
          <t>14904132</t>
        </is>
      </c>
      <c r="AW115" t="inlineStr">
        <is>
          <t>991005296089702656</t>
        </is>
      </c>
      <c r="AX115" t="inlineStr">
        <is>
          <t>991005296089702656</t>
        </is>
      </c>
      <c r="AY115" t="inlineStr">
        <is>
          <t>2266782980002656</t>
        </is>
      </c>
      <c r="AZ115" t="inlineStr">
        <is>
          <t>BOOK</t>
        </is>
      </c>
      <c r="BB115" t="inlineStr">
        <is>
          <t>9780824086398</t>
        </is>
      </c>
      <c r="BC115" t="inlineStr">
        <is>
          <t>32285005503635</t>
        </is>
      </c>
      <c r="BD115" t="inlineStr">
        <is>
          <t>893594795</t>
        </is>
      </c>
    </row>
    <row r="116">
      <c r="A116" t="inlineStr">
        <is>
          <t>No</t>
        </is>
      </c>
      <c r="B116" t="inlineStr">
        <is>
          <t>PC3340.G84 C4 1989</t>
        </is>
      </c>
      <c r="C116" t="inlineStr">
        <is>
          <t>0                      PC 3340000G  84                 C  4           1989</t>
        </is>
      </c>
      <c r="D116" t="inlineStr">
        <is>
          <t>Chanson de la croisade albigeoise : texte original / préface de Georges Duby ; adaptation de Henri Gougaud ; introduction de Michel Zink.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Guillaume, de Tudèle, active 1199-1214.</t>
        </is>
      </c>
      <c r="L116" t="inlineStr">
        <is>
          <t>Paris : Librairie générale française, c1989.</t>
        </is>
      </c>
      <c r="M116" t="inlineStr">
        <is>
          <t>1989</t>
        </is>
      </c>
      <c r="O116" t="inlineStr">
        <is>
          <t>fre</t>
        </is>
      </c>
      <c r="P116" t="inlineStr">
        <is>
          <t xml:space="preserve">fr </t>
        </is>
      </c>
      <c r="Q116" t="inlineStr">
        <is>
          <t>Le Livre de poche</t>
        </is>
      </c>
      <c r="R116" t="inlineStr">
        <is>
          <t xml:space="preserve">PC </t>
        </is>
      </c>
      <c r="S116" t="n">
        <v>1</v>
      </c>
      <c r="T116" t="n">
        <v>1</v>
      </c>
      <c r="U116" t="inlineStr">
        <is>
          <t>2008-03-25</t>
        </is>
      </c>
      <c r="V116" t="inlineStr">
        <is>
          <t>2008-03-25</t>
        </is>
      </c>
      <c r="W116" t="inlineStr">
        <is>
          <t>2008-03-25</t>
        </is>
      </c>
      <c r="X116" t="inlineStr">
        <is>
          <t>2008-03-25</t>
        </is>
      </c>
      <c r="Y116" t="n">
        <v>70</v>
      </c>
      <c r="Z116" t="n">
        <v>45</v>
      </c>
      <c r="AA116" t="n">
        <v>50</v>
      </c>
      <c r="AB116" t="n">
        <v>1</v>
      </c>
      <c r="AC116" t="n">
        <v>1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HYPERLINK("https://creighton-primo.hosted.exlibrisgroup.com/primo-explore/search?tab=default_tab&amp;search_scope=EVERYTHING&amp;vid=01CRU&amp;lang=en_US&amp;offset=0&amp;query=any,contains,991005192309702656","Catalog Record")</f>
        <v/>
      </c>
      <c r="AT116">
        <f>HYPERLINK("http://www.worldcat.org/oclc/21454345","WorldCat Record")</f>
        <v/>
      </c>
      <c r="AU116" t="inlineStr">
        <is>
          <t>3855788458:fre</t>
        </is>
      </c>
      <c r="AV116" t="inlineStr">
        <is>
          <t>21454345</t>
        </is>
      </c>
      <c r="AW116" t="inlineStr">
        <is>
          <t>991005192309702656</t>
        </is>
      </c>
      <c r="AX116" t="inlineStr">
        <is>
          <t>991005192309702656</t>
        </is>
      </c>
      <c r="AY116" t="inlineStr">
        <is>
          <t>2272234670002656</t>
        </is>
      </c>
      <c r="AZ116" t="inlineStr">
        <is>
          <t>BOOK</t>
        </is>
      </c>
      <c r="BB116" t="inlineStr">
        <is>
          <t>9782253050841</t>
        </is>
      </c>
      <c r="BC116" t="inlineStr">
        <is>
          <t>32285005398648</t>
        </is>
      </c>
      <c r="BD116" t="inlineStr">
        <is>
          <t>893446637</t>
        </is>
      </c>
    </row>
    <row r="117">
      <c r="A117" t="inlineStr">
        <is>
          <t>No</t>
        </is>
      </c>
      <c r="B117" t="inlineStr">
        <is>
          <t>PC3365.E3 S66 2000</t>
        </is>
      </c>
      <c r="C117" t="inlineStr">
        <is>
          <t>0                      PC 3365000E  3                  S  66          2000</t>
        </is>
      </c>
      <c r="D117" t="inlineStr">
        <is>
          <t>Songs of the women troubadours / edited and translated by Matilda Tomaryn Bruckner, Laurie Shepard, Sarah White.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L117" t="inlineStr">
        <is>
          <t>New York : Garland Pub., 2000.</t>
        </is>
      </c>
      <c r="M117" t="inlineStr">
        <is>
          <t>2000</t>
        </is>
      </c>
      <c r="N117" t="inlineStr">
        <is>
          <t>1st pbk. ed.</t>
        </is>
      </c>
      <c r="O117" t="inlineStr">
        <is>
          <t>eng</t>
        </is>
      </c>
      <c r="P117" t="inlineStr">
        <is>
          <t>nyu</t>
        </is>
      </c>
      <c r="Q117" t="inlineStr">
        <is>
          <t>Garland library of medieval literature ; v. 97A</t>
        </is>
      </c>
      <c r="R117" t="inlineStr">
        <is>
          <t xml:space="preserve">PC </t>
        </is>
      </c>
      <c r="S117" t="n">
        <v>7</v>
      </c>
      <c r="T117" t="n">
        <v>7</v>
      </c>
      <c r="U117" t="inlineStr">
        <is>
          <t>2009-01-19</t>
        </is>
      </c>
      <c r="V117" t="inlineStr">
        <is>
          <t>2009-01-19</t>
        </is>
      </c>
      <c r="W117" t="inlineStr">
        <is>
          <t>2003-10-16</t>
        </is>
      </c>
      <c r="X117" t="inlineStr">
        <is>
          <t>2003-10-16</t>
        </is>
      </c>
      <c r="Y117" t="n">
        <v>82</v>
      </c>
      <c r="Z117" t="n">
        <v>57</v>
      </c>
      <c r="AA117" t="n">
        <v>502</v>
      </c>
      <c r="AB117" t="n">
        <v>1</v>
      </c>
      <c r="AC117" t="n">
        <v>2</v>
      </c>
      <c r="AD117" t="n">
        <v>1</v>
      </c>
      <c r="AE117" t="n">
        <v>29</v>
      </c>
      <c r="AF117" t="n">
        <v>1</v>
      </c>
      <c r="AG117" t="n">
        <v>15</v>
      </c>
      <c r="AH117" t="n">
        <v>0</v>
      </c>
      <c r="AI117" t="n">
        <v>7</v>
      </c>
      <c r="AJ117" t="n">
        <v>1</v>
      </c>
      <c r="AK117" t="n">
        <v>17</v>
      </c>
      <c r="AL117" t="n">
        <v>0</v>
      </c>
      <c r="AM117" t="n">
        <v>1</v>
      </c>
      <c r="AN117" t="n">
        <v>0</v>
      </c>
      <c r="AO117" t="n">
        <v>0</v>
      </c>
      <c r="AP117" t="inlineStr">
        <is>
          <t>No</t>
        </is>
      </c>
      <c r="AQ117" t="inlineStr">
        <is>
          <t>No</t>
        </is>
      </c>
      <c r="AS117">
        <f>HYPERLINK("https://creighton-primo.hosted.exlibrisgroup.com/primo-explore/search?tab=default_tab&amp;search_scope=EVERYTHING&amp;vid=01CRU&amp;lang=en_US&amp;offset=0&amp;query=any,contains,991004153349702656","Catalog Record")</f>
        <v/>
      </c>
      <c r="AT117">
        <f>HYPERLINK("http://www.worldcat.org/oclc/47132786","WorldCat Record")</f>
        <v/>
      </c>
      <c r="AU117" t="inlineStr">
        <is>
          <t>1046111115:eng</t>
        </is>
      </c>
      <c r="AV117" t="inlineStr">
        <is>
          <t>47132786</t>
        </is>
      </c>
      <c r="AW117" t="inlineStr">
        <is>
          <t>991004153349702656</t>
        </is>
      </c>
      <c r="AX117" t="inlineStr">
        <is>
          <t>991004153349702656</t>
        </is>
      </c>
      <c r="AY117" t="inlineStr">
        <is>
          <t>2265362080002656</t>
        </is>
      </c>
      <c r="AZ117" t="inlineStr">
        <is>
          <t>BOOK</t>
        </is>
      </c>
      <c r="BB117" t="inlineStr">
        <is>
          <t>9780815335689</t>
        </is>
      </c>
      <c r="BC117" t="inlineStr">
        <is>
          <t>32285004789425</t>
        </is>
      </c>
      <c r="BD117" t="inlineStr">
        <is>
          <t>893781912</t>
        </is>
      </c>
    </row>
    <row r="118">
      <c r="A118" t="inlineStr">
        <is>
          <t>No</t>
        </is>
      </c>
      <c r="B118" t="inlineStr">
        <is>
          <t>PC3428 .J4 1957</t>
        </is>
      </c>
      <c r="C118" t="inlineStr">
        <is>
          <t>0                      PC 3428000J  4           1957</t>
        </is>
      </c>
      <c r="D118" t="inlineStr">
        <is>
          <t>Jongleurs et troubadours gascons des XIIe et XIIIe siècles : matériaux / édités par Alfred Jeanroy.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Jeanroy, Alfred, 1859-1953.</t>
        </is>
      </c>
      <c r="L118" t="inlineStr">
        <is>
          <t>Paris : H. Champion, 1957.</t>
        </is>
      </c>
      <c r="M118" t="inlineStr">
        <is>
          <t>1957</t>
        </is>
      </c>
      <c r="O118" t="inlineStr">
        <is>
          <t>fre</t>
        </is>
      </c>
      <c r="P118" t="inlineStr">
        <is>
          <t xml:space="preserve">fr </t>
        </is>
      </c>
      <c r="Q118" t="inlineStr">
        <is>
          <t>Les Classiques français du moyen âge ; 39</t>
        </is>
      </c>
      <c r="R118" t="inlineStr">
        <is>
          <t xml:space="preserve">PC </t>
        </is>
      </c>
      <c r="S118" t="n">
        <v>1</v>
      </c>
      <c r="T118" t="n">
        <v>1</v>
      </c>
      <c r="U118" t="inlineStr">
        <is>
          <t>1996-07-25</t>
        </is>
      </c>
      <c r="V118" t="inlineStr">
        <is>
          <t>1996-07-25</t>
        </is>
      </c>
      <c r="W118" t="inlineStr">
        <is>
          <t>1996-06-27</t>
        </is>
      </c>
      <c r="X118" t="inlineStr">
        <is>
          <t>1996-06-27</t>
        </is>
      </c>
      <c r="Y118" t="n">
        <v>112</v>
      </c>
      <c r="Z118" t="n">
        <v>65</v>
      </c>
      <c r="AA118" t="n">
        <v>69</v>
      </c>
      <c r="AB118" t="n">
        <v>1</v>
      </c>
      <c r="AC118" t="n">
        <v>1</v>
      </c>
      <c r="AD118" t="n">
        <v>2</v>
      </c>
      <c r="AE118" t="n">
        <v>2</v>
      </c>
      <c r="AF118" t="n">
        <v>1</v>
      </c>
      <c r="AG118" t="n">
        <v>1</v>
      </c>
      <c r="AH118" t="n">
        <v>1</v>
      </c>
      <c r="AI118" t="n">
        <v>1</v>
      </c>
      <c r="AJ118" t="n">
        <v>0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inlineStr">
        <is>
          <t>No</t>
        </is>
      </c>
      <c r="AQ118" t="inlineStr">
        <is>
          <t>No</t>
        </is>
      </c>
      <c r="AS118">
        <f>HYPERLINK("https://creighton-primo.hosted.exlibrisgroup.com/primo-explore/search?tab=default_tab&amp;search_scope=EVERYTHING&amp;vid=01CRU&amp;lang=en_US&amp;offset=0&amp;query=any,contains,991004392839702656","Catalog Record")</f>
        <v/>
      </c>
      <c r="AT118">
        <f>HYPERLINK("http://www.worldcat.org/oclc/3273398","WorldCat Record")</f>
        <v/>
      </c>
      <c r="AU118" t="inlineStr">
        <is>
          <t>10567291590:fre</t>
        </is>
      </c>
      <c r="AV118" t="inlineStr">
        <is>
          <t>3273398</t>
        </is>
      </c>
      <c r="AW118" t="inlineStr">
        <is>
          <t>991004392839702656</t>
        </is>
      </c>
      <c r="AX118" t="inlineStr">
        <is>
          <t>991004392839702656</t>
        </is>
      </c>
      <c r="AY118" t="inlineStr">
        <is>
          <t>2263044670002656</t>
        </is>
      </c>
      <c r="AZ118" t="inlineStr">
        <is>
          <t>BOOK</t>
        </is>
      </c>
      <c r="BC118" t="inlineStr">
        <is>
          <t>32285002174406</t>
        </is>
      </c>
      <c r="BD118" t="inlineStr">
        <is>
          <t>893706347</t>
        </is>
      </c>
    </row>
    <row r="119">
      <c r="A119" t="inlineStr">
        <is>
          <t>No</t>
        </is>
      </c>
      <c r="B119" t="inlineStr">
        <is>
          <t>PC3615 .W35 1984</t>
        </is>
      </c>
      <c r="C119" t="inlineStr">
        <is>
          <t>0                      PC 3615000W  35          1984</t>
        </is>
      </c>
      <c r="D119" t="inlineStr">
        <is>
          <t>The pronunciation of Canadian French / Douglas C. Walker.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Walker, Douglas C.</t>
        </is>
      </c>
      <c r="L119" t="inlineStr">
        <is>
          <t>Ottawa, Canada : University of Ottawa Press 1984.</t>
        </is>
      </c>
      <c r="M119" t="inlineStr">
        <is>
          <t>1984</t>
        </is>
      </c>
      <c r="O119" t="inlineStr">
        <is>
          <t>eng</t>
        </is>
      </c>
      <c r="P119" t="inlineStr">
        <is>
          <t>onc</t>
        </is>
      </c>
      <c r="R119" t="inlineStr">
        <is>
          <t xml:space="preserve">PC </t>
        </is>
      </c>
      <c r="S119" t="n">
        <v>4</v>
      </c>
      <c r="T119" t="n">
        <v>4</v>
      </c>
      <c r="U119" t="inlineStr">
        <is>
          <t>2000-03-20</t>
        </is>
      </c>
      <c r="V119" t="inlineStr">
        <is>
          <t>2000-03-20</t>
        </is>
      </c>
      <c r="W119" t="inlineStr">
        <is>
          <t>1993-04-20</t>
        </is>
      </c>
      <c r="X119" t="inlineStr">
        <is>
          <t>1993-04-20</t>
        </is>
      </c>
      <c r="Y119" t="n">
        <v>211</v>
      </c>
      <c r="Z119" t="n">
        <v>109</v>
      </c>
      <c r="AA119" t="n">
        <v>111</v>
      </c>
      <c r="AB119" t="n">
        <v>1</v>
      </c>
      <c r="AC119" t="n">
        <v>1</v>
      </c>
      <c r="AD119" t="n">
        <v>1</v>
      </c>
      <c r="AE119" t="n">
        <v>1</v>
      </c>
      <c r="AF119" t="n">
        <v>0</v>
      </c>
      <c r="AG119" t="n">
        <v>0</v>
      </c>
      <c r="AH119" t="n">
        <v>1</v>
      </c>
      <c r="AI119" t="n">
        <v>1</v>
      </c>
      <c r="AJ119" t="n">
        <v>1</v>
      </c>
      <c r="AK119" t="n">
        <v>1</v>
      </c>
      <c r="AL119" t="n">
        <v>0</v>
      </c>
      <c r="AM119" t="n">
        <v>0</v>
      </c>
      <c r="AN119" t="n">
        <v>0</v>
      </c>
      <c r="AO119" t="n">
        <v>0</v>
      </c>
      <c r="AP119" t="inlineStr">
        <is>
          <t>No</t>
        </is>
      </c>
      <c r="AQ119" t="inlineStr">
        <is>
          <t>Yes</t>
        </is>
      </c>
      <c r="AR119">
        <f>HYPERLINK("http://catalog.hathitrust.org/Record/000653276","HathiTrust Record")</f>
        <v/>
      </c>
      <c r="AS119">
        <f>HYPERLINK("https://creighton-primo.hosted.exlibrisgroup.com/primo-explore/search?tab=default_tab&amp;search_scope=EVERYTHING&amp;vid=01CRU&amp;lang=en_US&amp;offset=0&amp;query=any,contains,991000680189702656","Catalog Record")</f>
        <v/>
      </c>
      <c r="AT119">
        <f>HYPERLINK("http://www.worldcat.org/oclc/12379344","WorldCat Record")</f>
        <v/>
      </c>
      <c r="AU119" t="inlineStr">
        <is>
          <t>5124843:eng</t>
        </is>
      </c>
      <c r="AV119" t="inlineStr">
        <is>
          <t>12379344</t>
        </is>
      </c>
      <c r="AW119" t="inlineStr">
        <is>
          <t>991000680189702656</t>
        </is>
      </c>
      <c r="AX119" t="inlineStr">
        <is>
          <t>991000680189702656</t>
        </is>
      </c>
      <c r="AY119" t="inlineStr">
        <is>
          <t>2256602820002656</t>
        </is>
      </c>
      <c r="AZ119" t="inlineStr">
        <is>
          <t>BOOK</t>
        </is>
      </c>
      <c r="BB119" t="inlineStr">
        <is>
          <t>9780776645001</t>
        </is>
      </c>
      <c r="BC119" t="inlineStr">
        <is>
          <t>32285001645380</t>
        </is>
      </c>
      <c r="BD119" t="inlineStr">
        <is>
          <t>893255635</t>
        </is>
      </c>
    </row>
    <row r="120">
      <c r="A120" t="inlineStr">
        <is>
          <t>No</t>
        </is>
      </c>
      <c r="B120" t="inlineStr">
        <is>
          <t>PC3631 .C62 1982</t>
        </is>
      </c>
      <c r="C120" t="inlineStr">
        <is>
          <t>0                      PC 3631000C  62          1982</t>
        </is>
      </c>
      <c r="D120" t="inlineStr">
        <is>
          <t>Dictionnaire des anglicismes / Gilles Colpron.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Colpron, Gilles, 1936-</t>
        </is>
      </c>
      <c r="L120" t="inlineStr">
        <is>
          <t>Montréal, Québec, Canada : Beauchemin, 1982.</t>
        </is>
      </c>
      <c r="M120" t="inlineStr">
        <is>
          <t>1982</t>
        </is>
      </c>
      <c r="O120" t="inlineStr">
        <is>
          <t>fre</t>
        </is>
      </c>
      <c r="P120" t="inlineStr">
        <is>
          <t>quc</t>
        </is>
      </c>
      <c r="R120" t="inlineStr">
        <is>
          <t xml:space="preserve">PC </t>
        </is>
      </c>
      <c r="S120" t="n">
        <v>1</v>
      </c>
      <c r="T120" t="n">
        <v>1</v>
      </c>
      <c r="U120" t="inlineStr">
        <is>
          <t>1996-02-08</t>
        </is>
      </c>
      <c r="V120" t="inlineStr">
        <is>
          <t>1996-02-08</t>
        </is>
      </c>
      <c r="W120" t="inlineStr">
        <is>
          <t>1992-03-26</t>
        </is>
      </c>
      <c r="X120" t="inlineStr">
        <is>
          <t>1992-03-26</t>
        </is>
      </c>
      <c r="Y120" t="n">
        <v>128</v>
      </c>
      <c r="Z120" t="n">
        <v>68</v>
      </c>
      <c r="AA120" t="n">
        <v>73</v>
      </c>
      <c r="AB120" t="n">
        <v>1</v>
      </c>
      <c r="AC120" t="n">
        <v>1</v>
      </c>
      <c r="AD120" t="n">
        <v>4</v>
      </c>
      <c r="AE120" t="n">
        <v>4</v>
      </c>
      <c r="AF120" t="n">
        <v>1</v>
      </c>
      <c r="AG120" t="n">
        <v>1</v>
      </c>
      <c r="AH120" t="n">
        <v>2</v>
      </c>
      <c r="AI120" t="n">
        <v>2</v>
      </c>
      <c r="AJ120" t="n">
        <v>4</v>
      </c>
      <c r="AK120" t="n">
        <v>4</v>
      </c>
      <c r="AL120" t="n">
        <v>0</v>
      </c>
      <c r="AM120" t="n">
        <v>0</v>
      </c>
      <c r="AN120" t="n">
        <v>0</v>
      </c>
      <c r="AO120" t="n">
        <v>0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HYPERLINK("https://creighton-primo.hosted.exlibrisgroup.com/primo-explore/search?tab=default_tab&amp;search_scope=EVERYTHING&amp;vid=01CRU&amp;lang=en_US&amp;offset=0&amp;query=any,contains,991000256259702656","Catalog Record")</f>
        <v/>
      </c>
      <c r="AT120">
        <f>HYPERLINK("http://www.worldcat.org/oclc/9772983","WorldCat Record")</f>
        <v/>
      </c>
      <c r="AU120" t="inlineStr">
        <is>
          <t>43248171:fre</t>
        </is>
      </c>
      <c r="AV120" t="inlineStr">
        <is>
          <t>9772983</t>
        </is>
      </c>
      <c r="AW120" t="inlineStr">
        <is>
          <t>991000256259702656</t>
        </is>
      </c>
      <c r="AX120" t="inlineStr">
        <is>
          <t>991000256259702656</t>
        </is>
      </c>
      <c r="AY120" t="inlineStr">
        <is>
          <t>2261339290002656</t>
        </is>
      </c>
      <c r="AZ120" t="inlineStr">
        <is>
          <t>BOOK</t>
        </is>
      </c>
      <c r="BB120" t="inlineStr">
        <is>
          <t>9782761600682</t>
        </is>
      </c>
      <c r="BC120" t="inlineStr">
        <is>
          <t>32285001004976</t>
        </is>
      </c>
      <c r="BD120" t="inlineStr">
        <is>
          <t>893345510</t>
        </is>
      </c>
    </row>
    <row r="121">
      <c r="A121" t="inlineStr">
        <is>
          <t>No</t>
        </is>
      </c>
      <c r="B121" t="inlineStr">
        <is>
          <t>PC3680.C65 N98 2001</t>
        </is>
      </c>
      <c r="C121" t="inlineStr">
        <is>
          <t>0                      PC 3680000C  65                 N  98          2001</t>
        </is>
      </c>
      <c r="D121" t="inlineStr">
        <is>
          <t>Les pratiques discursives du Congo Belge au Congo-Kinshasa : une interprétation sociolinguistique / Nyunda ya Rubango ; préface par Benoît Verhaegen ; postface par V.Y. Mudimbe.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Nyunda ya Rubango.</t>
        </is>
      </c>
      <c r="L121" t="inlineStr">
        <is>
          <t>Paris : L'Harmattan, c2001.</t>
        </is>
      </c>
      <c r="M121" t="inlineStr">
        <is>
          <t>2001</t>
        </is>
      </c>
      <c r="O121" t="inlineStr">
        <is>
          <t>fre</t>
        </is>
      </c>
      <c r="P121" t="inlineStr">
        <is>
          <t xml:space="preserve">fr </t>
        </is>
      </c>
      <c r="Q121" t="inlineStr">
        <is>
          <t>Collection Congo-Zaïre--histoire et société</t>
        </is>
      </c>
      <c r="R121" t="inlineStr">
        <is>
          <t xml:space="preserve">PC </t>
        </is>
      </c>
      <c r="S121" t="n">
        <v>1</v>
      </c>
      <c r="T121" t="n">
        <v>1</v>
      </c>
      <c r="U121" t="inlineStr">
        <is>
          <t>2010-09-13</t>
        </is>
      </c>
      <c r="V121" t="inlineStr">
        <is>
          <t>2010-09-13</t>
        </is>
      </c>
      <c r="W121" t="inlineStr">
        <is>
          <t>2003-03-11</t>
        </is>
      </c>
      <c r="X121" t="inlineStr">
        <is>
          <t>2003-03-11</t>
        </is>
      </c>
      <c r="Y121" t="n">
        <v>33</v>
      </c>
      <c r="Z121" t="n">
        <v>21</v>
      </c>
      <c r="AA121" t="n">
        <v>31</v>
      </c>
      <c r="AB121" t="n">
        <v>1</v>
      </c>
      <c r="AC121" t="n">
        <v>1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inlineStr">
        <is>
          <t>No</t>
        </is>
      </c>
      <c r="AQ121" t="inlineStr">
        <is>
          <t>Yes</t>
        </is>
      </c>
      <c r="AR121">
        <f>HYPERLINK("http://catalog.hathitrust.org/Record/004202922","HathiTrust Record")</f>
        <v/>
      </c>
      <c r="AS121">
        <f>HYPERLINK("https://creighton-primo.hosted.exlibrisgroup.com/primo-explore/search?tab=default_tab&amp;search_scope=EVERYTHING&amp;vid=01CRU&amp;lang=en_US&amp;offset=0&amp;query=any,contains,991003923999702656","Catalog Record")</f>
        <v/>
      </c>
      <c r="AT121">
        <f>HYPERLINK("http://www.worldcat.org/oclc/47927267","WorldCat Record")</f>
        <v/>
      </c>
      <c r="AU121" t="inlineStr">
        <is>
          <t>350821416:fre</t>
        </is>
      </c>
      <c r="AV121" t="inlineStr">
        <is>
          <t>47927267</t>
        </is>
      </c>
      <c r="AW121" t="inlineStr">
        <is>
          <t>991003923999702656</t>
        </is>
      </c>
      <c r="AX121" t="inlineStr">
        <is>
          <t>991003923999702656</t>
        </is>
      </c>
      <c r="AY121" t="inlineStr">
        <is>
          <t>2268201030002656</t>
        </is>
      </c>
      <c r="AZ121" t="inlineStr">
        <is>
          <t>BOOK</t>
        </is>
      </c>
      <c r="BB121" t="inlineStr">
        <is>
          <t>9782747503624</t>
        </is>
      </c>
      <c r="BC121" t="inlineStr">
        <is>
          <t>32285004683685</t>
        </is>
      </c>
      <c r="BD121" t="inlineStr">
        <is>
          <t>893800373</t>
        </is>
      </c>
    </row>
    <row r="122">
      <c r="A122" t="inlineStr">
        <is>
          <t>No</t>
        </is>
      </c>
      <c r="B122" t="inlineStr">
        <is>
          <t>PC3739 .C35 1993</t>
        </is>
      </c>
      <c r="C122" t="inlineStr">
        <is>
          <t>0                      PC 3739000C  35          1993</t>
        </is>
      </c>
      <c r="D122" t="inlineStr">
        <is>
          <t>L'argot en 20 leçons, ou, Comment ne pas en perdre son français : suivi d'un appendice grammatical / Louis-Jean Calvet.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Calvet, Louis-Jean, 1942-</t>
        </is>
      </c>
      <c r="L122" t="inlineStr">
        <is>
          <t>Paris : Editions Payot &amp; Rivages, c1993.</t>
        </is>
      </c>
      <c r="M122" t="inlineStr">
        <is>
          <t>1993</t>
        </is>
      </c>
      <c r="O122" t="inlineStr">
        <is>
          <t>fre</t>
        </is>
      </c>
      <c r="P122" t="inlineStr">
        <is>
          <t xml:space="preserve">fr </t>
        </is>
      </c>
      <c r="Q122" t="inlineStr">
        <is>
          <t>Essais Payot</t>
        </is>
      </c>
      <c r="R122" t="inlineStr">
        <is>
          <t xml:space="preserve">PC </t>
        </is>
      </c>
      <c r="S122" t="n">
        <v>1</v>
      </c>
      <c r="T122" t="n">
        <v>1</v>
      </c>
      <c r="U122" t="inlineStr">
        <is>
          <t>1996-10-30</t>
        </is>
      </c>
      <c r="V122" t="inlineStr">
        <is>
          <t>1996-10-30</t>
        </is>
      </c>
      <c r="W122" t="inlineStr">
        <is>
          <t>1996-08-12</t>
        </is>
      </c>
      <c r="X122" t="inlineStr">
        <is>
          <t>1996-08-12</t>
        </is>
      </c>
      <c r="Y122" t="n">
        <v>55</v>
      </c>
      <c r="Z122" t="n">
        <v>27</v>
      </c>
      <c r="AA122" t="n">
        <v>27</v>
      </c>
      <c r="AB122" t="n">
        <v>1</v>
      </c>
      <c r="AC122" t="n">
        <v>1</v>
      </c>
      <c r="AD122" t="n">
        <v>1</v>
      </c>
      <c r="AE122" t="n">
        <v>1</v>
      </c>
      <c r="AF122" t="n">
        <v>1</v>
      </c>
      <c r="AG122" t="n">
        <v>1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HYPERLINK("https://creighton-primo.hosted.exlibrisgroup.com/primo-explore/search?tab=default_tab&amp;search_scope=EVERYTHING&amp;vid=01CRU&amp;lang=en_US&amp;offset=0&amp;query=any,contains,991002319899702656","Catalog Record")</f>
        <v/>
      </c>
      <c r="AT122">
        <f>HYPERLINK("http://www.worldcat.org/oclc/30087008","WorldCat Record")</f>
        <v/>
      </c>
      <c r="AU122" t="inlineStr">
        <is>
          <t>478675488:fre</t>
        </is>
      </c>
      <c r="AV122" t="inlineStr">
        <is>
          <t>30087008</t>
        </is>
      </c>
      <c r="AW122" t="inlineStr">
        <is>
          <t>991002319899702656</t>
        </is>
      </c>
      <c r="AX122" t="inlineStr">
        <is>
          <t>991002319899702656</t>
        </is>
      </c>
      <c r="AY122" t="inlineStr">
        <is>
          <t>2256364750002656</t>
        </is>
      </c>
      <c r="AZ122" t="inlineStr">
        <is>
          <t>BOOK</t>
        </is>
      </c>
      <c r="BB122" t="inlineStr">
        <is>
          <t>9782228887212</t>
        </is>
      </c>
      <c r="BC122" t="inlineStr">
        <is>
          <t>32285002273851</t>
        </is>
      </c>
      <c r="BD122" t="inlineStr">
        <is>
          <t>893886105</t>
        </is>
      </c>
    </row>
    <row r="123">
      <c r="A123" t="inlineStr">
        <is>
          <t>No</t>
        </is>
      </c>
      <c r="B123" t="inlineStr">
        <is>
          <t>PC3741 .S77 2002</t>
        </is>
      </c>
      <c r="C123" t="inlineStr">
        <is>
          <t>0                      PC 3741000S  77          2002</t>
        </is>
      </c>
      <c r="D123" t="inlineStr">
        <is>
          <t>Streetwise French dictionary/thesaurus : the user-friendly guide to French slang and idioms / Ian Pickup, Rod Hares.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L123" t="inlineStr">
        <is>
          <t>Chicago : McGraw-Hill, c2002.</t>
        </is>
      </c>
      <c r="M123" t="inlineStr">
        <is>
          <t>2002</t>
        </is>
      </c>
      <c r="O123" t="inlineStr">
        <is>
          <t>eng</t>
        </is>
      </c>
      <c r="P123" t="inlineStr">
        <is>
          <t>ilu</t>
        </is>
      </c>
      <c r="R123" t="inlineStr">
        <is>
          <t xml:space="preserve">PC </t>
        </is>
      </c>
      <c r="S123" t="n">
        <v>6</v>
      </c>
      <c r="T123" t="n">
        <v>6</v>
      </c>
      <c r="U123" t="inlineStr">
        <is>
          <t>2008-11-30</t>
        </is>
      </c>
      <c r="V123" t="inlineStr">
        <is>
          <t>2008-11-30</t>
        </is>
      </c>
      <c r="W123" t="inlineStr">
        <is>
          <t>2007-06-13</t>
        </is>
      </c>
      <c r="X123" t="inlineStr">
        <is>
          <t>2007-06-13</t>
        </is>
      </c>
      <c r="Y123" t="n">
        <v>255</v>
      </c>
      <c r="Z123" t="n">
        <v>201</v>
      </c>
      <c r="AA123" t="n">
        <v>201</v>
      </c>
      <c r="AB123" t="n">
        <v>2</v>
      </c>
      <c r="AC123" t="n">
        <v>2</v>
      </c>
      <c r="AD123" t="n">
        <v>4</v>
      </c>
      <c r="AE123" t="n">
        <v>4</v>
      </c>
      <c r="AF123" t="n">
        <v>2</v>
      </c>
      <c r="AG123" t="n">
        <v>2</v>
      </c>
      <c r="AH123" t="n">
        <v>1</v>
      </c>
      <c r="AI123" t="n">
        <v>1</v>
      </c>
      <c r="AJ123" t="n">
        <v>0</v>
      </c>
      <c r="AK123" t="n">
        <v>0</v>
      </c>
      <c r="AL123" t="n">
        <v>1</v>
      </c>
      <c r="AM123" t="n">
        <v>1</v>
      </c>
      <c r="AN123" t="n">
        <v>0</v>
      </c>
      <c r="AO123" t="n">
        <v>0</v>
      </c>
      <c r="AP123" t="inlineStr">
        <is>
          <t>No</t>
        </is>
      </c>
      <c r="AQ123" t="inlineStr">
        <is>
          <t>No</t>
        </is>
      </c>
      <c r="AS123">
        <f>HYPERLINK("https://creighton-primo.hosted.exlibrisgroup.com/primo-explore/search?tab=default_tab&amp;search_scope=EVERYTHING&amp;vid=01CRU&amp;lang=en_US&amp;offset=0&amp;query=any,contains,991005087439702656","Catalog Record")</f>
        <v/>
      </c>
      <c r="AT123">
        <f>HYPERLINK("http://www.worldcat.org/oclc/48177297","WorldCat Record")</f>
        <v/>
      </c>
      <c r="AU123" t="inlineStr">
        <is>
          <t>37482954:eng</t>
        </is>
      </c>
      <c r="AV123" t="inlineStr">
        <is>
          <t>48177297</t>
        </is>
      </c>
      <c r="AW123" t="inlineStr">
        <is>
          <t>991005087439702656</t>
        </is>
      </c>
      <c r="AX123" t="inlineStr">
        <is>
          <t>991005087439702656</t>
        </is>
      </c>
      <c r="AY123" t="inlineStr">
        <is>
          <t>2255895370002656</t>
        </is>
      </c>
      <c r="AZ123" t="inlineStr">
        <is>
          <t>BOOK</t>
        </is>
      </c>
      <c r="BB123" t="inlineStr">
        <is>
          <t>9780658004179</t>
        </is>
      </c>
      <c r="BC123" t="inlineStr">
        <is>
          <t>32285005317135</t>
        </is>
      </c>
      <c r="BD123" t="inlineStr">
        <is>
          <t>893418352</t>
        </is>
      </c>
    </row>
    <row r="124">
      <c r="A124" t="inlineStr">
        <is>
          <t>No</t>
        </is>
      </c>
      <c r="B124" t="inlineStr">
        <is>
          <t>PC3823.5 .Y3 1994</t>
        </is>
      </c>
      <c r="C124" t="inlineStr">
        <is>
          <t>0                      PC 3823500Y  3           1994</t>
        </is>
      </c>
      <c r="D124" t="inlineStr">
        <is>
          <t>Catalan / Alan Yates.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Yates, Alan.</t>
        </is>
      </c>
      <c r="L124" t="inlineStr">
        <is>
          <t>Lincolnwood (Chicago), Ill. : NTC Publishing Group, 1993.</t>
        </is>
      </c>
      <c r="M124" t="inlineStr">
        <is>
          <t>1994</t>
        </is>
      </c>
      <c r="O124" t="inlineStr">
        <is>
          <t>eng</t>
        </is>
      </c>
      <c r="P124" t="inlineStr">
        <is>
          <t>ilu</t>
        </is>
      </c>
      <c r="Q124" t="inlineStr">
        <is>
          <t>Teach yourself books</t>
        </is>
      </c>
      <c r="R124" t="inlineStr">
        <is>
          <t xml:space="preserve">PC </t>
        </is>
      </c>
      <c r="S124" t="n">
        <v>3</v>
      </c>
      <c r="T124" t="n">
        <v>3</v>
      </c>
      <c r="U124" t="inlineStr">
        <is>
          <t>2000-11-16</t>
        </is>
      </c>
      <c r="V124" t="inlineStr">
        <is>
          <t>2000-11-16</t>
        </is>
      </c>
      <c r="W124" t="inlineStr">
        <is>
          <t>1998-03-05</t>
        </is>
      </c>
      <c r="X124" t="inlineStr">
        <is>
          <t>1998-03-05</t>
        </is>
      </c>
      <c r="Y124" t="n">
        <v>101</v>
      </c>
      <c r="Z124" t="n">
        <v>91</v>
      </c>
      <c r="AA124" t="n">
        <v>184</v>
      </c>
      <c r="AB124" t="n">
        <v>1</v>
      </c>
      <c r="AC124" t="n">
        <v>2</v>
      </c>
      <c r="AD124" t="n">
        <v>1</v>
      </c>
      <c r="AE124" t="n">
        <v>4</v>
      </c>
      <c r="AF124" t="n">
        <v>0</v>
      </c>
      <c r="AG124" t="n">
        <v>0</v>
      </c>
      <c r="AH124" t="n">
        <v>1</v>
      </c>
      <c r="AI124" t="n">
        <v>2</v>
      </c>
      <c r="AJ124" t="n">
        <v>1</v>
      </c>
      <c r="AK124" t="n">
        <v>3</v>
      </c>
      <c r="AL124" t="n">
        <v>0</v>
      </c>
      <c r="AM124" t="n">
        <v>1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HYPERLINK("http://catalog.hathitrust.org/Record/006954738","HathiTrust Record")</f>
        <v/>
      </c>
      <c r="AS124">
        <f>HYPERLINK("https://creighton-primo.hosted.exlibrisgroup.com/primo-explore/search?tab=default_tab&amp;search_scope=EVERYTHING&amp;vid=01CRU&amp;lang=en_US&amp;offset=0&amp;query=any,contains,991002178959702656","Catalog Record")</f>
        <v/>
      </c>
      <c r="AT124">
        <f>HYPERLINK("http://www.worldcat.org/oclc/28055295","WorldCat Record")</f>
        <v/>
      </c>
      <c r="AU124" t="inlineStr">
        <is>
          <t>91957:eng</t>
        </is>
      </c>
      <c r="AV124" t="inlineStr">
        <is>
          <t>28055295</t>
        </is>
      </c>
      <c r="AW124" t="inlineStr">
        <is>
          <t>991002178959702656</t>
        </is>
      </c>
      <c r="AX124" t="inlineStr">
        <is>
          <t>991002178959702656</t>
        </is>
      </c>
      <c r="AY124" t="inlineStr">
        <is>
          <t>2270635880002656</t>
        </is>
      </c>
      <c r="AZ124" t="inlineStr">
        <is>
          <t>BOOK</t>
        </is>
      </c>
      <c r="BB124" t="inlineStr">
        <is>
          <t>9780844237558</t>
        </is>
      </c>
      <c r="BC124" t="inlineStr">
        <is>
          <t>32285003356622</t>
        </is>
      </c>
      <c r="BD124" t="inlineStr">
        <is>
          <t>893785807</t>
        </is>
      </c>
    </row>
    <row r="125">
      <c r="A125" t="inlineStr">
        <is>
          <t>No</t>
        </is>
      </c>
      <c r="B125" t="inlineStr">
        <is>
          <t>PC3941.R57 Z67 1994</t>
        </is>
      </c>
      <c r="C125" t="inlineStr">
        <is>
          <t>0                      PC 3941000R  57                 Z  67          1994</t>
        </is>
      </c>
      <c r="D125" t="inlineStr">
        <is>
          <t>The Garden across the border : Mercè Rodoreda's fiction / edited by Kathleen McNerney and Nancy Vosburg.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L125" t="inlineStr">
        <is>
          <t>Selinsgrove : Susquehanna University Press ; London : Associated University Presses, c1994.</t>
        </is>
      </c>
      <c r="M125" t="inlineStr">
        <is>
          <t>1994</t>
        </is>
      </c>
      <c r="O125" t="inlineStr">
        <is>
          <t>eng</t>
        </is>
      </c>
      <c r="P125" t="inlineStr">
        <is>
          <t>pau</t>
        </is>
      </c>
      <c r="R125" t="inlineStr">
        <is>
          <t xml:space="preserve">PC </t>
        </is>
      </c>
      <c r="S125" t="n">
        <v>1</v>
      </c>
      <c r="T125" t="n">
        <v>1</v>
      </c>
      <c r="U125" t="inlineStr">
        <is>
          <t>2006-07-19</t>
        </is>
      </c>
      <c r="V125" t="inlineStr">
        <is>
          <t>2006-07-19</t>
        </is>
      </c>
      <c r="W125" t="inlineStr">
        <is>
          <t>2006-03-08</t>
        </is>
      </c>
      <c r="X125" t="inlineStr">
        <is>
          <t>2006-03-08</t>
        </is>
      </c>
      <c r="Y125" t="n">
        <v>206</v>
      </c>
      <c r="Z125" t="n">
        <v>173</v>
      </c>
      <c r="AA125" t="n">
        <v>175</v>
      </c>
      <c r="AB125" t="n">
        <v>3</v>
      </c>
      <c r="AC125" t="n">
        <v>3</v>
      </c>
      <c r="AD125" t="n">
        <v>11</v>
      </c>
      <c r="AE125" t="n">
        <v>11</v>
      </c>
      <c r="AF125" t="n">
        <v>3</v>
      </c>
      <c r="AG125" t="n">
        <v>3</v>
      </c>
      <c r="AH125" t="n">
        <v>3</v>
      </c>
      <c r="AI125" t="n">
        <v>3</v>
      </c>
      <c r="AJ125" t="n">
        <v>7</v>
      </c>
      <c r="AK125" t="n">
        <v>7</v>
      </c>
      <c r="AL125" t="n">
        <v>2</v>
      </c>
      <c r="AM125" t="n">
        <v>2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HYPERLINK("http://catalog.hathitrust.org/Record/002905374","HathiTrust Record")</f>
        <v/>
      </c>
      <c r="AS125">
        <f>HYPERLINK("https://creighton-primo.hosted.exlibrisgroup.com/primo-explore/search?tab=default_tab&amp;search_scope=EVERYTHING&amp;vid=01CRU&amp;lang=en_US&amp;offset=0&amp;query=any,contains,991004762639702656","Catalog Record")</f>
        <v/>
      </c>
      <c r="AT125">
        <f>HYPERLINK("http://www.worldcat.org/oclc/29428852","WorldCat Record")</f>
        <v/>
      </c>
      <c r="AU125" t="inlineStr">
        <is>
          <t>365465803:eng</t>
        </is>
      </c>
      <c r="AV125" t="inlineStr">
        <is>
          <t>29428852</t>
        </is>
      </c>
      <c r="AW125" t="inlineStr">
        <is>
          <t>991004762639702656</t>
        </is>
      </c>
      <c r="AX125" t="inlineStr">
        <is>
          <t>991004762639702656</t>
        </is>
      </c>
      <c r="AY125" t="inlineStr">
        <is>
          <t>2269739480002656</t>
        </is>
      </c>
      <c r="AZ125" t="inlineStr">
        <is>
          <t>BOOK</t>
        </is>
      </c>
      <c r="BB125" t="inlineStr">
        <is>
          <t>9780945636632</t>
        </is>
      </c>
      <c r="BC125" t="inlineStr">
        <is>
          <t>32285005166862</t>
        </is>
      </c>
      <c r="BD125" t="inlineStr">
        <is>
          <t>893417991</t>
        </is>
      </c>
    </row>
    <row r="126">
      <c r="A126" t="inlineStr">
        <is>
          <t>No</t>
        </is>
      </c>
      <c r="B126" t="inlineStr">
        <is>
          <t>PC3942.12.E36 S313 2004</t>
        </is>
      </c>
      <c r="C126" t="inlineStr">
        <is>
          <t>0                      PC 3942120E  36                 S  313         2004</t>
        </is>
      </c>
      <c r="D126" t="inlineStr">
        <is>
          <t>Blood = La sang / Sergi Belbel ; translated from the Catalan by Marion Peter Holt.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Belbel, Sergi.</t>
        </is>
      </c>
      <c r="L126" t="inlineStr">
        <is>
          <t>New Brunswick, N.J. : Estreno Plays, 2004.</t>
        </is>
      </c>
      <c r="M126" t="inlineStr">
        <is>
          <t>2004</t>
        </is>
      </c>
      <c r="O126" t="inlineStr">
        <is>
          <t>eng</t>
        </is>
      </c>
      <c r="P126" t="inlineStr">
        <is>
          <t>nju</t>
        </is>
      </c>
      <c r="Q126" t="inlineStr">
        <is>
          <t>Estreno Collection of contemporary Spanish plays ; 25</t>
        </is>
      </c>
      <c r="R126" t="inlineStr">
        <is>
          <t xml:space="preserve">PC </t>
        </is>
      </c>
      <c r="S126" t="n">
        <v>1</v>
      </c>
      <c r="T126" t="n">
        <v>1</v>
      </c>
      <c r="U126" t="inlineStr">
        <is>
          <t>2004-09-22</t>
        </is>
      </c>
      <c r="V126" t="inlineStr">
        <is>
          <t>2004-09-22</t>
        </is>
      </c>
      <c r="W126" t="inlineStr">
        <is>
          <t>2004-09-22</t>
        </is>
      </c>
      <c r="X126" t="inlineStr">
        <is>
          <t>2004-09-22</t>
        </is>
      </c>
      <c r="Y126" t="n">
        <v>187</v>
      </c>
      <c r="Z126" t="n">
        <v>170</v>
      </c>
      <c r="AA126" t="n">
        <v>176</v>
      </c>
      <c r="AB126" t="n">
        <v>2</v>
      </c>
      <c r="AC126" t="n">
        <v>2</v>
      </c>
      <c r="AD126" t="n">
        <v>12</v>
      </c>
      <c r="AE126" t="n">
        <v>13</v>
      </c>
      <c r="AF126" t="n">
        <v>4</v>
      </c>
      <c r="AG126" t="n">
        <v>4</v>
      </c>
      <c r="AH126" t="n">
        <v>3</v>
      </c>
      <c r="AI126" t="n">
        <v>4</v>
      </c>
      <c r="AJ126" t="n">
        <v>8</v>
      </c>
      <c r="AK126" t="n">
        <v>9</v>
      </c>
      <c r="AL126" t="n">
        <v>1</v>
      </c>
      <c r="AM126" t="n">
        <v>1</v>
      </c>
      <c r="AN126" t="n">
        <v>0</v>
      </c>
      <c r="AO126" t="n">
        <v>0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HYPERLINK("http://catalog.hathitrust.org/Record/004977489","HathiTrust Record")</f>
        <v/>
      </c>
      <c r="AS126">
        <f>HYPERLINK("https://creighton-primo.hosted.exlibrisgroup.com/primo-explore/search?tab=default_tab&amp;search_scope=EVERYTHING&amp;vid=01CRU&amp;lang=en_US&amp;offset=0&amp;query=any,contains,991004381469702656","Catalog Record")</f>
        <v/>
      </c>
      <c r="AT126">
        <f>HYPERLINK("http://www.worldcat.org/oclc/55603072","WorldCat Record")</f>
        <v/>
      </c>
      <c r="AU126" t="inlineStr">
        <is>
          <t>1810009583:eng</t>
        </is>
      </c>
      <c r="AV126" t="inlineStr">
        <is>
          <t>55603072</t>
        </is>
      </c>
      <c r="AW126" t="inlineStr">
        <is>
          <t>991004381469702656</t>
        </is>
      </c>
      <c r="AX126" t="inlineStr">
        <is>
          <t>991004381469702656</t>
        </is>
      </c>
      <c r="AY126" t="inlineStr">
        <is>
          <t>2255877190002656</t>
        </is>
      </c>
      <c r="AZ126" t="inlineStr">
        <is>
          <t>BOOK</t>
        </is>
      </c>
      <c r="BB126" t="inlineStr">
        <is>
          <t>9781888463170</t>
        </is>
      </c>
      <c r="BC126" t="inlineStr">
        <is>
          <t>32285004986229</t>
        </is>
      </c>
      <c r="BD126" t="inlineStr">
        <is>
          <t>893687663</t>
        </is>
      </c>
    </row>
    <row r="127">
      <c r="A127" t="inlineStr">
        <is>
          <t>No</t>
        </is>
      </c>
      <c r="B127" t="inlineStr">
        <is>
          <t>PC3942.17.I5 D5 1984</t>
        </is>
      </c>
      <c r="C127" t="inlineStr">
        <is>
          <t>0                      PC 3942170I  5                  D  5           1984</t>
        </is>
      </c>
      <c r="D127" t="inlineStr">
        <is>
          <t>Dietario (1979-1980) / Pere Gimferrer ; traducción del catalán por Basilio Losada ; prólogo de J.M. Castellet.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Gimferrer, Pere, 1945-</t>
        </is>
      </c>
      <c r="L127" t="inlineStr">
        <is>
          <t>Barcelona : Seix Barral, 1984.</t>
        </is>
      </c>
      <c r="M127" t="inlineStr">
        <is>
          <t>1984</t>
        </is>
      </c>
      <c r="N127" t="inlineStr">
        <is>
          <t>1a ed.</t>
        </is>
      </c>
      <c r="O127" t="inlineStr">
        <is>
          <t>spa</t>
        </is>
      </c>
      <c r="P127" t="inlineStr">
        <is>
          <t xml:space="preserve">sp </t>
        </is>
      </c>
      <c r="Q127" t="inlineStr">
        <is>
          <t>Biblioteca breve</t>
        </is>
      </c>
      <c r="R127" t="inlineStr">
        <is>
          <t xml:space="preserve">PC </t>
        </is>
      </c>
      <c r="S127" t="n">
        <v>1</v>
      </c>
      <c r="T127" t="n">
        <v>1</v>
      </c>
      <c r="U127" t="inlineStr">
        <is>
          <t>1993-07-07</t>
        </is>
      </c>
      <c r="V127" t="inlineStr">
        <is>
          <t>1993-07-07</t>
        </is>
      </c>
      <c r="W127" t="inlineStr">
        <is>
          <t>1990-06-13</t>
        </is>
      </c>
      <c r="X127" t="inlineStr">
        <is>
          <t>1990-06-13</t>
        </is>
      </c>
      <c r="Y127" t="n">
        <v>69</v>
      </c>
      <c r="Z127" t="n">
        <v>61</v>
      </c>
      <c r="AA127" t="n">
        <v>91</v>
      </c>
      <c r="AB127" t="n">
        <v>1</v>
      </c>
      <c r="AC127" t="n">
        <v>1</v>
      </c>
      <c r="AD127" t="n">
        <v>1</v>
      </c>
      <c r="AE127" t="n">
        <v>2</v>
      </c>
      <c r="AF127" t="n">
        <v>0</v>
      </c>
      <c r="AG127" t="n">
        <v>0</v>
      </c>
      <c r="AH127" t="n">
        <v>1</v>
      </c>
      <c r="AI127" t="n">
        <v>2</v>
      </c>
      <c r="AJ127" t="n">
        <v>0</v>
      </c>
      <c r="AK127" t="n">
        <v>1</v>
      </c>
      <c r="AL127" t="n">
        <v>0</v>
      </c>
      <c r="AM127" t="n">
        <v>0</v>
      </c>
      <c r="AN127" t="n">
        <v>0</v>
      </c>
      <c r="AO127" t="n">
        <v>0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HYPERLINK("http://catalog.hathitrust.org/Record/000479011","HathiTrust Record")</f>
        <v/>
      </c>
      <c r="AS127">
        <f>HYPERLINK("https://creighton-primo.hosted.exlibrisgroup.com/primo-explore/search?tab=default_tab&amp;search_scope=EVERYTHING&amp;vid=01CRU&amp;lang=en_US&amp;offset=0&amp;query=any,contains,991000587739702656","Catalog Record")</f>
        <v/>
      </c>
      <c r="AT127">
        <f>HYPERLINK("http://www.worldcat.org/oclc/11777953","WorldCat Record")</f>
        <v/>
      </c>
      <c r="AU127" t="inlineStr">
        <is>
          <t>4540892:spa</t>
        </is>
      </c>
      <c r="AV127" t="inlineStr">
        <is>
          <t>11777953</t>
        </is>
      </c>
      <c r="AW127" t="inlineStr">
        <is>
          <t>991000587739702656</t>
        </is>
      </c>
      <c r="AX127" t="inlineStr">
        <is>
          <t>991000587739702656</t>
        </is>
      </c>
      <c r="AY127" t="inlineStr">
        <is>
          <t>2267549870002656</t>
        </is>
      </c>
      <c r="AZ127" t="inlineStr">
        <is>
          <t>BOOK</t>
        </is>
      </c>
      <c r="BB127" t="inlineStr">
        <is>
          <t>9788432204944</t>
        </is>
      </c>
      <c r="BC127" t="inlineStr">
        <is>
          <t>32285000176155</t>
        </is>
      </c>
      <c r="BD127" t="inlineStr">
        <is>
          <t>893689833</t>
        </is>
      </c>
    </row>
    <row r="128">
      <c r="A128" t="inlineStr">
        <is>
          <t>No</t>
        </is>
      </c>
      <c r="B128" t="inlineStr">
        <is>
          <t>PC3942.23.O35 N6 1991</t>
        </is>
      </c>
      <c r="C128" t="inlineStr">
        <is>
          <t>0                      PC 3942230O  35                 N  6           1991</t>
        </is>
      </c>
      <c r="D128" t="inlineStr">
        <is>
          <t>No digas que fue un sueño : Marco Antonio y Cleopatra / Terenci Moix.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Moix, Terenci, 1943-</t>
        </is>
      </c>
      <c r="L128" t="inlineStr">
        <is>
          <t>Barcelona : Planeta, 1991, c1986.</t>
        </is>
      </c>
      <c r="M128" t="inlineStr">
        <is>
          <t>1991</t>
        </is>
      </c>
      <c r="N128" t="inlineStr">
        <is>
          <t>40a ed.</t>
        </is>
      </c>
      <c r="O128" t="inlineStr">
        <is>
          <t>spa</t>
        </is>
      </c>
      <c r="P128" t="inlineStr">
        <is>
          <t xml:space="preserve">sp </t>
        </is>
      </c>
      <c r="Q128" t="inlineStr">
        <is>
          <t>Colección Autores españoles e hispanoamericanos</t>
        </is>
      </c>
      <c r="R128" t="inlineStr">
        <is>
          <t xml:space="preserve">PC </t>
        </is>
      </c>
      <c r="S128" t="n">
        <v>2</v>
      </c>
      <c r="T128" t="n">
        <v>2</v>
      </c>
      <c r="U128" t="inlineStr">
        <is>
          <t>1995-07-16</t>
        </is>
      </c>
      <c r="V128" t="inlineStr">
        <is>
          <t>1995-07-16</t>
        </is>
      </c>
      <c r="W128" t="inlineStr">
        <is>
          <t>1991-10-04</t>
        </is>
      </c>
      <c r="X128" t="inlineStr">
        <is>
          <t>1991-10-04</t>
        </is>
      </c>
      <c r="Y128" t="n">
        <v>122</v>
      </c>
      <c r="Z128" t="n">
        <v>98</v>
      </c>
      <c r="AA128" t="n">
        <v>167</v>
      </c>
      <c r="AB128" t="n">
        <v>2</v>
      </c>
      <c r="AC128" t="n">
        <v>2</v>
      </c>
      <c r="AD128" t="n">
        <v>3</v>
      </c>
      <c r="AE128" t="n">
        <v>7</v>
      </c>
      <c r="AF128" t="n">
        <v>0</v>
      </c>
      <c r="AG128" t="n">
        <v>1</v>
      </c>
      <c r="AH128" t="n">
        <v>1</v>
      </c>
      <c r="AI128" t="n">
        <v>4</v>
      </c>
      <c r="AJ128" t="n">
        <v>1</v>
      </c>
      <c r="AK128" t="n">
        <v>3</v>
      </c>
      <c r="AL128" t="n">
        <v>1</v>
      </c>
      <c r="AM128" t="n">
        <v>1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HYPERLINK("http://catalog.hathitrust.org/Record/000595948","HathiTrust Record")</f>
        <v/>
      </c>
      <c r="AS128">
        <f>HYPERLINK("https://creighton-primo.hosted.exlibrisgroup.com/primo-explore/search?tab=default_tab&amp;search_scope=EVERYTHING&amp;vid=01CRU&amp;lang=en_US&amp;offset=0&amp;query=any,contains,991001006019702656","Catalog Record")</f>
        <v/>
      </c>
      <c r="AT128">
        <f>HYPERLINK("http://www.worldcat.org/oclc/15243108","WorldCat Record")</f>
        <v/>
      </c>
      <c r="AU128" t="inlineStr">
        <is>
          <t>37310667:spa</t>
        </is>
      </c>
      <c r="AV128" t="inlineStr">
        <is>
          <t>15243108</t>
        </is>
      </c>
      <c r="AW128" t="inlineStr">
        <is>
          <t>991001006019702656</t>
        </is>
      </c>
      <c r="AX128" t="inlineStr">
        <is>
          <t>991001006019702656</t>
        </is>
      </c>
      <c r="AY128" t="inlineStr">
        <is>
          <t>2260701110002656</t>
        </is>
      </c>
      <c r="AZ128" t="inlineStr">
        <is>
          <t>BOOK</t>
        </is>
      </c>
      <c r="BB128" t="inlineStr">
        <is>
          <t>9788432055911</t>
        </is>
      </c>
      <c r="BC128" t="inlineStr">
        <is>
          <t>32285000725548</t>
        </is>
      </c>
      <c r="BD128" t="inlineStr">
        <is>
          <t>893872204</t>
        </is>
      </c>
    </row>
    <row r="129">
      <c r="A129" t="inlineStr">
        <is>
          <t>No</t>
        </is>
      </c>
      <c r="B129" t="inlineStr">
        <is>
          <t>PC4026.S35 L5 1991</t>
        </is>
      </c>
      <c r="C129" t="inlineStr">
        <is>
          <t>0                      PC 4026000S  35                 L  5           1991</t>
        </is>
      </c>
      <c r="D129" t="inlineStr">
        <is>
          <t>Linguistic studies in medieval Spanish / edited by Ray Harris-Northall, Thomas D. Cravens.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L129" t="inlineStr">
        <is>
          <t>Madison : Hispanic Seminary of Medieval Studies, 1991.</t>
        </is>
      </c>
      <c r="M129" t="inlineStr">
        <is>
          <t>1991</t>
        </is>
      </c>
      <c r="O129" t="inlineStr">
        <is>
          <t>eng</t>
        </is>
      </c>
      <c r="P129" t="inlineStr">
        <is>
          <t>wiu</t>
        </is>
      </c>
      <c r="R129" t="inlineStr">
        <is>
          <t xml:space="preserve">PC </t>
        </is>
      </c>
      <c r="S129" t="n">
        <v>3</v>
      </c>
      <c r="T129" t="n">
        <v>3</v>
      </c>
      <c r="U129" t="inlineStr">
        <is>
          <t>2007-06-19</t>
        </is>
      </c>
      <c r="V129" t="inlineStr">
        <is>
          <t>2007-06-19</t>
        </is>
      </c>
      <c r="W129" t="inlineStr">
        <is>
          <t>2005-03-02</t>
        </is>
      </c>
      <c r="X129" t="inlineStr">
        <is>
          <t>2005-03-02</t>
        </is>
      </c>
      <c r="Y129" t="n">
        <v>86</v>
      </c>
      <c r="Z129" t="n">
        <v>61</v>
      </c>
      <c r="AA129" t="n">
        <v>63</v>
      </c>
      <c r="AB129" t="n">
        <v>1</v>
      </c>
      <c r="AC129" t="n">
        <v>1</v>
      </c>
      <c r="AD129" t="n">
        <v>3</v>
      </c>
      <c r="AE129" t="n">
        <v>3</v>
      </c>
      <c r="AF129" t="n">
        <v>0</v>
      </c>
      <c r="AG129" t="n">
        <v>0</v>
      </c>
      <c r="AH129" t="n">
        <v>2</v>
      </c>
      <c r="AI129" t="n">
        <v>2</v>
      </c>
      <c r="AJ129" t="n">
        <v>2</v>
      </c>
      <c r="AK129" t="n">
        <v>2</v>
      </c>
      <c r="AL129" t="n">
        <v>0</v>
      </c>
      <c r="AM129" t="n">
        <v>0</v>
      </c>
      <c r="AN129" t="n">
        <v>0</v>
      </c>
      <c r="AO129" t="n">
        <v>0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HYPERLINK("http://catalog.hathitrust.org/Record/002885863","HathiTrust Record")</f>
        <v/>
      </c>
      <c r="AS129">
        <f>HYPERLINK("https://creighton-primo.hosted.exlibrisgroup.com/primo-explore/search?tab=default_tab&amp;search_scope=EVERYTHING&amp;vid=01CRU&amp;lang=en_US&amp;offset=0&amp;query=any,contains,991004489599702656","Catalog Record")</f>
        <v/>
      </c>
      <c r="AT129">
        <f>HYPERLINK("http://www.worldcat.org/oclc/25022813","WorldCat Record")</f>
        <v/>
      </c>
      <c r="AU129" t="inlineStr">
        <is>
          <t>476273138:eng</t>
        </is>
      </c>
      <c r="AV129" t="inlineStr">
        <is>
          <t>25022813</t>
        </is>
      </c>
      <c r="AW129" t="inlineStr">
        <is>
          <t>991004489599702656</t>
        </is>
      </c>
      <c r="AX129" t="inlineStr">
        <is>
          <t>991004489599702656</t>
        </is>
      </c>
      <c r="AY129" t="inlineStr">
        <is>
          <t>2260421250002656</t>
        </is>
      </c>
      <c r="AZ129" t="inlineStr">
        <is>
          <t>BOOK</t>
        </is>
      </c>
      <c r="BB129" t="inlineStr">
        <is>
          <t>9780940639676</t>
        </is>
      </c>
      <c r="BC129" t="inlineStr">
        <is>
          <t>32285005028633</t>
        </is>
      </c>
      <c r="BD129" t="inlineStr">
        <is>
          <t>893500629</t>
        </is>
      </c>
    </row>
    <row r="130">
      <c r="A130" t="inlineStr">
        <is>
          <t>No</t>
        </is>
      </c>
      <c r="B130" t="inlineStr">
        <is>
          <t>PC4064.B45 S25 1986</t>
        </is>
      </c>
      <c r="C130" t="inlineStr">
        <is>
          <t>0                      PC 4064000B  45                 S  25          1986</t>
        </is>
      </c>
      <c r="D130" t="inlineStr">
        <is>
          <t>Cronología de Andrés Bello, 1781-1865 / Oscar Sambrano Urdaneta.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Sambrano Urdaneta, Oscar, 1929-2011.</t>
        </is>
      </c>
      <c r="L130" t="inlineStr">
        <is>
          <t>Caracas : Casa de Bello, 1986.</t>
        </is>
      </c>
      <c r="M130" t="inlineStr">
        <is>
          <t>1986</t>
        </is>
      </c>
      <c r="O130" t="inlineStr">
        <is>
          <t>spa</t>
        </is>
      </c>
      <c r="P130" t="inlineStr">
        <is>
          <t xml:space="preserve">ve </t>
        </is>
      </c>
      <c r="Q130" t="inlineStr">
        <is>
          <t>Colección Anauco. Textos y estudios bellistas</t>
        </is>
      </c>
      <c r="R130" t="inlineStr">
        <is>
          <t xml:space="preserve">PC </t>
        </is>
      </c>
      <c r="S130" t="n">
        <v>1</v>
      </c>
      <c r="T130" t="n">
        <v>1</v>
      </c>
      <c r="U130" t="inlineStr">
        <is>
          <t>2010-07-12</t>
        </is>
      </c>
      <c r="V130" t="inlineStr">
        <is>
          <t>2010-07-12</t>
        </is>
      </c>
      <c r="W130" t="inlineStr">
        <is>
          <t>2002-05-16</t>
        </is>
      </c>
      <c r="X130" t="inlineStr">
        <is>
          <t>2002-05-16</t>
        </is>
      </c>
      <c r="Y130" t="n">
        <v>35</v>
      </c>
      <c r="Z130" t="n">
        <v>28</v>
      </c>
      <c r="AA130" t="n">
        <v>35</v>
      </c>
      <c r="AB130" t="n">
        <v>1</v>
      </c>
      <c r="AC130" t="n">
        <v>1</v>
      </c>
      <c r="AD130" t="n">
        <v>1</v>
      </c>
      <c r="AE130" t="n">
        <v>1</v>
      </c>
      <c r="AF130" t="n">
        <v>0</v>
      </c>
      <c r="AG130" t="n">
        <v>0</v>
      </c>
      <c r="AH130" t="n">
        <v>0</v>
      </c>
      <c r="AI130" t="n">
        <v>0</v>
      </c>
      <c r="AJ130" t="n">
        <v>1</v>
      </c>
      <c r="AK130" t="n">
        <v>1</v>
      </c>
      <c r="AL130" t="n">
        <v>0</v>
      </c>
      <c r="AM130" t="n">
        <v>0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HYPERLINK("http://catalog.hathitrust.org/Record/101004529","HathiTrust Record")</f>
        <v/>
      </c>
      <c r="AS130">
        <f>HYPERLINK("https://creighton-primo.hosted.exlibrisgroup.com/primo-explore/search?tab=default_tab&amp;search_scope=EVERYTHING&amp;vid=01CRU&amp;lang=en_US&amp;offset=0&amp;query=any,contains,991003810819702656","Catalog Record")</f>
        <v/>
      </c>
      <c r="AT130">
        <f>HYPERLINK("http://www.worldcat.org/oclc/16648551","WorldCat Record")</f>
        <v/>
      </c>
      <c r="AU130" t="inlineStr">
        <is>
          <t>12848245:spa</t>
        </is>
      </c>
      <c r="AV130" t="inlineStr">
        <is>
          <t>16648551</t>
        </is>
      </c>
      <c r="AW130" t="inlineStr">
        <is>
          <t>991003810819702656</t>
        </is>
      </c>
      <c r="AX130" t="inlineStr">
        <is>
          <t>991003810819702656</t>
        </is>
      </c>
      <c r="AY130" t="inlineStr">
        <is>
          <t>2265708390002656</t>
        </is>
      </c>
      <c r="AZ130" t="inlineStr">
        <is>
          <t>BOOK</t>
        </is>
      </c>
      <c r="BB130" t="inlineStr">
        <is>
          <t>9789802140077</t>
        </is>
      </c>
      <c r="BC130" t="inlineStr">
        <is>
          <t>32285004489034</t>
        </is>
      </c>
      <c r="BD130" t="inlineStr">
        <is>
          <t>893525255</t>
        </is>
      </c>
    </row>
    <row r="131">
      <c r="A131" t="inlineStr">
        <is>
          <t>No</t>
        </is>
      </c>
      <c r="B131" t="inlineStr">
        <is>
          <t>PC4065 .A7</t>
        </is>
      </c>
      <c r="C131" t="inlineStr">
        <is>
          <t>0                      PC 4065000A  7</t>
        </is>
      </c>
      <c r="D131" t="inlineStr">
        <is>
          <t>Teacher of Spanish : high school and junior high school, regular and substitute.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Arco Publishing Company.</t>
        </is>
      </c>
      <c r="M131" t="inlineStr">
        <is>
          <t>1962</t>
        </is>
      </c>
      <c r="O131" t="inlineStr">
        <is>
          <t>eng</t>
        </is>
      </c>
      <c r="P131" t="inlineStr">
        <is>
          <t xml:space="preserve">xx </t>
        </is>
      </c>
      <c r="Q131" t="inlineStr">
        <is>
          <t>Arco teacher's license training text</t>
        </is>
      </c>
      <c r="R131" t="inlineStr">
        <is>
          <t xml:space="preserve">PC </t>
        </is>
      </c>
      <c r="S131" t="n">
        <v>4</v>
      </c>
      <c r="T131" t="n">
        <v>4</v>
      </c>
      <c r="U131" t="inlineStr">
        <is>
          <t>1995-07-24</t>
        </is>
      </c>
      <c r="V131" t="inlineStr">
        <is>
          <t>1995-07-24</t>
        </is>
      </c>
      <c r="W131" t="inlineStr">
        <is>
          <t>1992-01-02</t>
        </is>
      </c>
      <c r="X131" t="inlineStr">
        <is>
          <t>1992-01-02</t>
        </is>
      </c>
      <c r="Y131" t="n">
        <v>17</v>
      </c>
      <c r="Z131" t="n">
        <v>17</v>
      </c>
      <c r="AA131" t="n">
        <v>26</v>
      </c>
      <c r="AB131" t="n">
        <v>1</v>
      </c>
      <c r="AC131" t="n">
        <v>1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HYPERLINK("https://creighton-primo.hosted.exlibrisgroup.com/primo-explore/search?tab=default_tab&amp;search_scope=EVERYTHING&amp;vid=01CRU&amp;lang=en_US&amp;offset=0&amp;query=any,contains,991003660989702656","Catalog Record")</f>
        <v/>
      </c>
      <c r="AT131">
        <f>HYPERLINK("http://www.worldcat.org/oclc/1269301","WorldCat Record")</f>
        <v/>
      </c>
      <c r="AU131" t="inlineStr">
        <is>
          <t>2197183:eng</t>
        </is>
      </c>
      <c r="AV131" t="inlineStr">
        <is>
          <t>1269301</t>
        </is>
      </c>
      <c r="AW131" t="inlineStr">
        <is>
          <t>991003660989702656</t>
        </is>
      </c>
      <c r="AX131" t="inlineStr">
        <is>
          <t>991003660989702656</t>
        </is>
      </c>
      <c r="AY131" t="inlineStr">
        <is>
          <t>2259836960002656</t>
        </is>
      </c>
      <c r="AZ131" t="inlineStr">
        <is>
          <t>BOOK</t>
        </is>
      </c>
      <c r="BC131" t="inlineStr">
        <is>
          <t>32285000881838</t>
        </is>
      </c>
      <c r="BD131" t="inlineStr">
        <is>
          <t>893252598</t>
        </is>
      </c>
    </row>
    <row r="132">
      <c r="A132" t="inlineStr">
        <is>
          <t>No</t>
        </is>
      </c>
      <c r="B132" t="inlineStr">
        <is>
          <t>PC4065 .B83</t>
        </is>
      </c>
      <c r="C132" t="inlineStr">
        <is>
          <t>0                      PC 4065000B  83</t>
        </is>
      </c>
      <c r="D132" t="inlineStr">
        <is>
          <t>Spanish for teachers : applied linguistics / [by] William E. Bull.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Bull, William Emerson, 1909-</t>
        </is>
      </c>
      <c r="L132" t="inlineStr">
        <is>
          <t>New York : Ronald Press Co., [1965]</t>
        </is>
      </c>
      <c r="M132" t="inlineStr">
        <is>
          <t>1965</t>
        </is>
      </c>
      <c r="O132" t="inlineStr">
        <is>
          <t>eng</t>
        </is>
      </c>
      <c r="P132" t="inlineStr">
        <is>
          <t>nyu</t>
        </is>
      </c>
      <c r="R132" t="inlineStr">
        <is>
          <t xml:space="preserve">PC </t>
        </is>
      </c>
      <c r="S132" t="n">
        <v>3</v>
      </c>
      <c r="T132" t="n">
        <v>3</v>
      </c>
      <c r="U132" t="inlineStr">
        <is>
          <t>2007-05-02</t>
        </is>
      </c>
      <c r="V132" t="inlineStr">
        <is>
          <t>2007-05-02</t>
        </is>
      </c>
      <c r="W132" t="inlineStr">
        <is>
          <t>1992-08-05</t>
        </is>
      </c>
      <c r="X132" t="inlineStr">
        <is>
          <t>1992-08-05</t>
        </is>
      </c>
      <c r="Y132" t="n">
        <v>447</v>
      </c>
      <c r="Z132" t="n">
        <v>401</v>
      </c>
      <c r="AA132" t="n">
        <v>446</v>
      </c>
      <c r="AB132" t="n">
        <v>5</v>
      </c>
      <c r="AC132" t="n">
        <v>5</v>
      </c>
      <c r="AD132" t="n">
        <v>19</v>
      </c>
      <c r="AE132" t="n">
        <v>22</v>
      </c>
      <c r="AF132" t="n">
        <v>6</v>
      </c>
      <c r="AG132" t="n">
        <v>7</v>
      </c>
      <c r="AH132" t="n">
        <v>5</v>
      </c>
      <c r="AI132" t="n">
        <v>6</v>
      </c>
      <c r="AJ132" t="n">
        <v>11</v>
      </c>
      <c r="AK132" t="n">
        <v>13</v>
      </c>
      <c r="AL132" t="n">
        <v>4</v>
      </c>
      <c r="AM132" t="n">
        <v>4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HYPERLINK("http://catalog.hathitrust.org/Record/001056056","HathiTrust Record")</f>
        <v/>
      </c>
      <c r="AS132">
        <f>HYPERLINK("https://creighton-primo.hosted.exlibrisgroup.com/primo-explore/search?tab=default_tab&amp;search_scope=EVERYTHING&amp;vid=01CRU&amp;lang=en_US&amp;offset=0&amp;query=any,contains,991001039909702656","Catalog Record")</f>
        <v/>
      </c>
      <c r="AT132">
        <f>HYPERLINK("http://www.worldcat.org/oclc/175711","WorldCat Record")</f>
        <v/>
      </c>
      <c r="AU132" t="inlineStr">
        <is>
          <t>1309199:eng</t>
        </is>
      </c>
      <c r="AV132" t="inlineStr">
        <is>
          <t>175711</t>
        </is>
      </c>
      <c r="AW132" t="inlineStr">
        <is>
          <t>991001039909702656</t>
        </is>
      </c>
      <c r="AX132" t="inlineStr">
        <is>
          <t>991001039909702656</t>
        </is>
      </c>
      <c r="AY132" t="inlineStr">
        <is>
          <t>2265199300002656</t>
        </is>
      </c>
      <c r="AZ132" t="inlineStr">
        <is>
          <t>BOOK</t>
        </is>
      </c>
      <c r="BC132" t="inlineStr">
        <is>
          <t>32285001242162</t>
        </is>
      </c>
      <c r="BD132" t="inlineStr">
        <is>
          <t>893243806</t>
        </is>
      </c>
    </row>
    <row r="133">
      <c r="A133" t="inlineStr">
        <is>
          <t>No</t>
        </is>
      </c>
      <c r="B133" t="inlineStr">
        <is>
          <t>PC4066 .P6 1965</t>
        </is>
      </c>
      <c r="C133" t="inlineStr">
        <is>
          <t>0                      PC 4066000P  6           1965</t>
        </is>
      </c>
      <c r="D133" t="inlineStr">
        <is>
          <t>Teaching Spanish : a linguistic orientation / [by] Robert L. Politzer [and] Charles N. Staubach.</t>
        </is>
      </c>
      <c r="F133" t="inlineStr">
        <is>
          <t>No</t>
        </is>
      </c>
      <c r="G133" t="inlineStr">
        <is>
          <t>1</t>
        </is>
      </c>
      <c r="H133" t="inlineStr">
        <is>
          <t>Yes</t>
        </is>
      </c>
      <c r="I133" t="inlineStr">
        <is>
          <t>No</t>
        </is>
      </c>
      <c r="J133" t="inlineStr">
        <is>
          <t>0</t>
        </is>
      </c>
      <c r="K133" t="inlineStr">
        <is>
          <t>Politzer, Robert Louis, 1921-</t>
        </is>
      </c>
      <c r="L133" t="inlineStr">
        <is>
          <t>New York : Blaisdell Pub. Co., [1965]</t>
        </is>
      </c>
      <c r="M133" t="inlineStr">
        <is>
          <t>1965</t>
        </is>
      </c>
      <c r="N133" t="inlineStr">
        <is>
          <t>[Rev. ed.]</t>
        </is>
      </c>
      <c r="O133" t="inlineStr">
        <is>
          <t>eng</t>
        </is>
      </c>
      <c r="P133" t="inlineStr">
        <is>
          <t>nyu</t>
        </is>
      </c>
      <c r="Q133" t="inlineStr">
        <is>
          <t>A Blaisdell book in the humanities</t>
        </is>
      </c>
      <c r="R133" t="inlineStr">
        <is>
          <t xml:space="preserve">PC </t>
        </is>
      </c>
      <c r="S133" t="n">
        <v>1</v>
      </c>
      <c r="T133" t="n">
        <v>9</v>
      </c>
      <c r="V133" t="inlineStr">
        <is>
          <t>2004-10-18</t>
        </is>
      </c>
      <c r="W133" t="inlineStr">
        <is>
          <t>1992-08-05</t>
        </is>
      </c>
      <c r="X133" t="inlineStr">
        <is>
          <t>1992-08-05</t>
        </is>
      </c>
      <c r="Y133" t="n">
        <v>321</v>
      </c>
      <c r="Z133" t="n">
        <v>291</v>
      </c>
      <c r="AA133" t="n">
        <v>553</v>
      </c>
      <c r="AB133" t="n">
        <v>3</v>
      </c>
      <c r="AC133" t="n">
        <v>5</v>
      </c>
      <c r="AD133" t="n">
        <v>13</v>
      </c>
      <c r="AE133" t="n">
        <v>28</v>
      </c>
      <c r="AF133" t="n">
        <v>4</v>
      </c>
      <c r="AG133" t="n">
        <v>10</v>
      </c>
      <c r="AH133" t="n">
        <v>4</v>
      </c>
      <c r="AI133" t="n">
        <v>8</v>
      </c>
      <c r="AJ133" t="n">
        <v>6</v>
      </c>
      <c r="AK133" t="n">
        <v>15</v>
      </c>
      <c r="AL133" t="n">
        <v>2</v>
      </c>
      <c r="AM133" t="n">
        <v>4</v>
      </c>
      <c r="AN133" t="n">
        <v>0</v>
      </c>
      <c r="AO133" t="n">
        <v>0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HYPERLINK("http://catalog.hathitrust.org/Record/007127647","HathiTrust Record")</f>
        <v/>
      </c>
      <c r="AS133">
        <f>HYPERLINK("https://creighton-primo.hosted.exlibrisgroup.com/primo-explore/search?tab=default_tab&amp;search_scope=EVERYTHING&amp;vid=01CRU&amp;lang=en_US&amp;offset=0&amp;query=any,contains,991001924839702656","Catalog Record")</f>
        <v/>
      </c>
      <c r="AT133">
        <f>HYPERLINK("http://www.worldcat.org/oclc/246082","WorldCat Record")</f>
        <v/>
      </c>
      <c r="AU133" t="inlineStr">
        <is>
          <t>1400005:eng</t>
        </is>
      </c>
      <c r="AV133" t="inlineStr">
        <is>
          <t>246082</t>
        </is>
      </c>
      <c r="AW133" t="inlineStr">
        <is>
          <t>991001924839702656</t>
        </is>
      </c>
      <c r="AX133" t="inlineStr">
        <is>
          <t>991001924839702656</t>
        </is>
      </c>
      <c r="AY133" t="inlineStr">
        <is>
          <t>2257272490002656</t>
        </is>
      </c>
      <c r="AZ133" t="inlineStr">
        <is>
          <t>BOOK</t>
        </is>
      </c>
      <c r="BC133" t="inlineStr">
        <is>
          <t>32285001242154</t>
        </is>
      </c>
      <c r="BD133" t="inlineStr">
        <is>
          <t>893516684</t>
        </is>
      </c>
    </row>
    <row r="134">
      <c r="A134" t="inlineStr">
        <is>
          <t>No</t>
        </is>
      </c>
      <c r="B134" t="inlineStr">
        <is>
          <t>PC4066 .P6 1965</t>
        </is>
      </c>
      <c r="C134" t="inlineStr">
        <is>
          <t>0                      PC 4066000P  6           1965</t>
        </is>
      </c>
      <c r="D134" t="inlineStr">
        <is>
          <t>Teaching Spanish : a linguistic orientation / [by] Robert L. Politzer [and] Charles N. Staubach.</t>
        </is>
      </c>
      <c r="F134" t="inlineStr">
        <is>
          <t>No</t>
        </is>
      </c>
      <c r="G134" t="inlineStr">
        <is>
          <t>1</t>
        </is>
      </c>
      <c r="H134" t="inlineStr">
        <is>
          <t>Yes</t>
        </is>
      </c>
      <c r="I134" t="inlineStr">
        <is>
          <t>No</t>
        </is>
      </c>
      <c r="J134" t="inlineStr">
        <is>
          <t>0</t>
        </is>
      </c>
      <c r="K134" t="inlineStr">
        <is>
          <t>Politzer, Robert Louis, 1921-</t>
        </is>
      </c>
      <c r="L134" t="inlineStr">
        <is>
          <t>New York : Blaisdell Pub. Co., [1965]</t>
        </is>
      </c>
      <c r="M134" t="inlineStr">
        <is>
          <t>1965</t>
        </is>
      </c>
      <c r="N134" t="inlineStr">
        <is>
          <t>[Rev. ed.]</t>
        </is>
      </c>
      <c r="O134" t="inlineStr">
        <is>
          <t>eng</t>
        </is>
      </c>
      <c r="P134" t="inlineStr">
        <is>
          <t>nyu</t>
        </is>
      </c>
      <c r="Q134" t="inlineStr">
        <is>
          <t>A Blaisdell book in the humanities</t>
        </is>
      </c>
      <c r="R134" t="inlineStr">
        <is>
          <t xml:space="preserve">PC </t>
        </is>
      </c>
      <c r="S134" t="n">
        <v>8</v>
      </c>
      <c r="T134" t="n">
        <v>9</v>
      </c>
      <c r="U134" t="inlineStr">
        <is>
          <t>2004-10-18</t>
        </is>
      </c>
      <c r="V134" t="inlineStr">
        <is>
          <t>2004-10-18</t>
        </is>
      </c>
      <c r="W134" t="inlineStr">
        <is>
          <t>1992-05-19</t>
        </is>
      </c>
      <c r="X134" t="inlineStr">
        <is>
          <t>1992-08-05</t>
        </is>
      </c>
      <c r="Y134" t="n">
        <v>321</v>
      </c>
      <c r="Z134" t="n">
        <v>291</v>
      </c>
      <c r="AA134" t="n">
        <v>553</v>
      </c>
      <c r="AB134" t="n">
        <v>3</v>
      </c>
      <c r="AC134" t="n">
        <v>5</v>
      </c>
      <c r="AD134" t="n">
        <v>13</v>
      </c>
      <c r="AE134" t="n">
        <v>28</v>
      </c>
      <c r="AF134" t="n">
        <v>4</v>
      </c>
      <c r="AG134" t="n">
        <v>10</v>
      </c>
      <c r="AH134" t="n">
        <v>4</v>
      </c>
      <c r="AI134" t="n">
        <v>8</v>
      </c>
      <c r="AJ134" t="n">
        <v>6</v>
      </c>
      <c r="AK134" t="n">
        <v>15</v>
      </c>
      <c r="AL134" t="n">
        <v>2</v>
      </c>
      <c r="AM134" t="n">
        <v>4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HYPERLINK("http://catalog.hathitrust.org/Record/007127647","HathiTrust Record")</f>
        <v/>
      </c>
      <c r="AS134">
        <f>HYPERLINK("https://creighton-primo.hosted.exlibrisgroup.com/primo-explore/search?tab=default_tab&amp;search_scope=EVERYTHING&amp;vid=01CRU&amp;lang=en_US&amp;offset=0&amp;query=any,contains,991001924839702656","Catalog Record")</f>
        <v/>
      </c>
      <c r="AT134">
        <f>HYPERLINK("http://www.worldcat.org/oclc/246082","WorldCat Record")</f>
        <v/>
      </c>
      <c r="AU134" t="inlineStr">
        <is>
          <t>1400005:eng</t>
        </is>
      </c>
      <c r="AV134" t="inlineStr">
        <is>
          <t>246082</t>
        </is>
      </c>
      <c r="AW134" t="inlineStr">
        <is>
          <t>991001924839702656</t>
        </is>
      </c>
      <c r="AX134" t="inlineStr">
        <is>
          <t>991001924839702656</t>
        </is>
      </c>
      <c r="AY134" t="inlineStr">
        <is>
          <t>2257272490002656</t>
        </is>
      </c>
      <c r="AZ134" t="inlineStr">
        <is>
          <t>BOOK</t>
        </is>
      </c>
      <c r="BC134" t="inlineStr">
        <is>
          <t>32285001111631</t>
        </is>
      </c>
      <c r="BD134" t="inlineStr">
        <is>
          <t>893516685</t>
        </is>
      </c>
    </row>
    <row r="135">
      <c r="A135" t="inlineStr">
        <is>
          <t>No</t>
        </is>
      </c>
      <c r="B135" t="inlineStr">
        <is>
          <t>PC4068.U5 T28</t>
        </is>
      </c>
      <c r="C135" t="inlineStr">
        <is>
          <t>0                      PC 4068000U  5                  T  28</t>
        </is>
      </c>
      <c r="D135" t="inlineStr">
        <is>
          <t>Teaching Spanish to the Hispanic bilingual : issues, aims, and methods / edited by Guadalupe Valdés, Anthony G. Lozano, Rodolfo García-Moya.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L135" t="inlineStr">
        <is>
          <t>New York : Teachers College, Columbia University, 1981.</t>
        </is>
      </c>
      <c r="M135" t="inlineStr">
        <is>
          <t>1981</t>
        </is>
      </c>
      <c r="O135" t="inlineStr">
        <is>
          <t>eng</t>
        </is>
      </c>
      <c r="P135" t="inlineStr">
        <is>
          <t>nyu</t>
        </is>
      </c>
      <c r="R135" t="inlineStr">
        <is>
          <t xml:space="preserve">PC </t>
        </is>
      </c>
      <c r="S135" t="n">
        <v>4</v>
      </c>
      <c r="T135" t="n">
        <v>4</v>
      </c>
      <c r="U135" t="inlineStr">
        <is>
          <t>1994-11-21</t>
        </is>
      </c>
      <c r="V135" t="inlineStr">
        <is>
          <t>1994-11-21</t>
        </is>
      </c>
      <c r="W135" t="inlineStr">
        <is>
          <t>1993-04-21</t>
        </is>
      </c>
      <c r="X135" t="inlineStr">
        <is>
          <t>1993-04-21</t>
        </is>
      </c>
      <c r="Y135" t="n">
        <v>334</v>
      </c>
      <c r="Z135" t="n">
        <v>320</v>
      </c>
      <c r="AA135" t="n">
        <v>322</v>
      </c>
      <c r="AB135" t="n">
        <v>3</v>
      </c>
      <c r="AC135" t="n">
        <v>3</v>
      </c>
      <c r="AD135" t="n">
        <v>14</v>
      </c>
      <c r="AE135" t="n">
        <v>14</v>
      </c>
      <c r="AF135" t="n">
        <v>3</v>
      </c>
      <c r="AG135" t="n">
        <v>3</v>
      </c>
      <c r="AH135" t="n">
        <v>5</v>
      </c>
      <c r="AI135" t="n">
        <v>5</v>
      </c>
      <c r="AJ135" t="n">
        <v>9</v>
      </c>
      <c r="AK135" t="n">
        <v>9</v>
      </c>
      <c r="AL135" t="n">
        <v>2</v>
      </c>
      <c r="AM135" t="n">
        <v>2</v>
      </c>
      <c r="AN135" t="n">
        <v>0</v>
      </c>
      <c r="AO135" t="n">
        <v>0</v>
      </c>
      <c r="AP135" t="inlineStr">
        <is>
          <t>No</t>
        </is>
      </c>
      <c r="AQ135" t="inlineStr">
        <is>
          <t>No</t>
        </is>
      </c>
      <c r="AS135">
        <f>HYPERLINK("https://creighton-primo.hosted.exlibrisgroup.com/primo-explore/search?tab=default_tab&amp;search_scope=EVERYTHING&amp;vid=01CRU&amp;lang=en_US&amp;offset=0&amp;query=any,contains,991005017209702656","Catalog Record")</f>
        <v/>
      </c>
      <c r="AT135">
        <f>HYPERLINK("http://www.worldcat.org/oclc/6627301","WorldCat Record")</f>
        <v/>
      </c>
      <c r="AU135" t="inlineStr">
        <is>
          <t>465048:eng</t>
        </is>
      </c>
      <c r="AV135" t="inlineStr">
        <is>
          <t>6627301</t>
        </is>
      </c>
      <c r="AW135" t="inlineStr">
        <is>
          <t>991005017209702656</t>
        </is>
      </c>
      <c r="AX135" t="inlineStr">
        <is>
          <t>991005017209702656</t>
        </is>
      </c>
      <c r="AY135" t="inlineStr">
        <is>
          <t>2255105870002656</t>
        </is>
      </c>
      <c r="AZ135" t="inlineStr">
        <is>
          <t>BOOK</t>
        </is>
      </c>
      <c r="BB135" t="inlineStr">
        <is>
          <t>9780807726297</t>
        </is>
      </c>
      <c r="BC135" t="inlineStr">
        <is>
          <t>32285001645505</t>
        </is>
      </c>
      <c r="BD135" t="inlineStr">
        <is>
          <t>893520295</t>
        </is>
      </c>
    </row>
    <row r="136">
      <c r="A136" t="inlineStr">
        <is>
          <t>No</t>
        </is>
      </c>
      <c r="B136" t="inlineStr">
        <is>
          <t>PC4071 .B55 1995</t>
        </is>
      </c>
      <c r="C136" t="inlineStr">
        <is>
          <t>0                      PC 4071000B  55          1995</t>
        </is>
      </c>
      <c r="D136" t="inlineStr">
        <is>
          <t>A sourcebook for Hispanic literature and language : a selected, annotated guide to Spanish, Spanish-American, and United States Hispanic bibliography, literature, linguistics, journals, and other source materials / by Donald W. Bleznick.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Bleznick, Donald William, 1924-</t>
        </is>
      </c>
      <c r="L136" t="inlineStr">
        <is>
          <t>Lanham, Md. : Scarecrow Press, c1995.</t>
        </is>
      </c>
      <c r="M136" t="inlineStr">
        <is>
          <t>1995</t>
        </is>
      </c>
      <c r="N136" t="inlineStr">
        <is>
          <t>3rd ed.</t>
        </is>
      </c>
      <c r="O136" t="inlineStr">
        <is>
          <t>eng</t>
        </is>
      </c>
      <c r="P136" t="inlineStr">
        <is>
          <t>mdu</t>
        </is>
      </c>
      <c r="R136" t="inlineStr">
        <is>
          <t xml:space="preserve">PC </t>
        </is>
      </c>
      <c r="S136" t="n">
        <v>1</v>
      </c>
      <c r="T136" t="n">
        <v>1</v>
      </c>
      <c r="U136" t="inlineStr">
        <is>
          <t>2000-11-26</t>
        </is>
      </c>
      <c r="V136" t="inlineStr">
        <is>
          <t>2000-11-26</t>
        </is>
      </c>
      <c r="W136" t="inlineStr">
        <is>
          <t>1996-06-11</t>
        </is>
      </c>
      <c r="X136" t="inlineStr">
        <is>
          <t>1996-06-11</t>
        </is>
      </c>
      <c r="Y136" t="n">
        <v>311</v>
      </c>
      <c r="Z136" t="n">
        <v>256</v>
      </c>
      <c r="AA136" t="n">
        <v>261</v>
      </c>
      <c r="AB136" t="n">
        <v>3</v>
      </c>
      <c r="AC136" t="n">
        <v>3</v>
      </c>
      <c r="AD136" t="n">
        <v>11</v>
      </c>
      <c r="AE136" t="n">
        <v>11</v>
      </c>
      <c r="AF136" t="n">
        <v>2</v>
      </c>
      <c r="AG136" t="n">
        <v>2</v>
      </c>
      <c r="AH136" t="n">
        <v>4</v>
      </c>
      <c r="AI136" t="n">
        <v>4</v>
      </c>
      <c r="AJ136" t="n">
        <v>6</v>
      </c>
      <c r="AK136" t="n">
        <v>6</v>
      </c>
      <c r="AL136" t="n">
        <v>2</v>
      </c>
      <c r="AM136" t="n">
        <v>2</v>
      </c>
      <c r="AN136" t="n">
        <v>0</v>
      </c>
      <c r="AO136" t="n">
        <v>0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HYPERLINK("https://creighton-primo.hosted.exlibrisgroup.com/primo-explore/search?tab=default_tab&amp;search_scope=EVERYTHING&amp;vid=01CRU&amp;lang=en_US&amp;offset=0&amp;query=any,contains,991002440099702656","Catalog Record")</f>
        <v/>
      </c>
      <c r="AT136">
        <f>HYPERLINK("http://www.worldcat.org/oclc/31814748","WorldCat Record")</f>
        <v/>
      </c>
      <c r="AU136" t="inlineStr">
        <is>
          <t>9593924947:eng</t>
        </is>
      </c>
      <c r="AV136" t="inlineStr">
        <is>
          <t>31814748</t>
        </is>
      </c>
      <c r="AW136" t="inlineStr">
        <is>
          <t>991002440099702656</t>
        </is>
      </c>
      <c r="AX136" t="inlineStr">
        <is>
          <t>991002440099702656</t>
        </is>
      </c>
      <c r="AY136" t="inlineStr">
        <is>
          <t>2255377120002656</t>
        </is>
      </c>
      <c r="AZ136" t="inlineStr">
        <is>
          <t>BOOK</t>
        </is>
      </c>
      <c r="BB136" t="inlineStr">
        <is>
          <t>9780810829817</t>
        </is>
      </c>
      <c r="BC136" t="inlineStr">
        <is>
          <t>32285002191285</t>
        </is>
      </c>
      <c r="BD136" t="inlineStr">
        <is>
          <t>893226836</t>
        </is>
      </c>
    </row>
    <row r="137">
      <c r="A137" t="inlineStr">
        <is>
          <t>No</t>
        </is>
      </c>
      <c r="B137" t="inlineStr">
        <is>
          <t>PC4073 .G84 2000</t>
        </is>
      </c>
      <c r="C137" t="inlineStr">
        <is>
          <t>0                      PC 4073000G  84          2000</t>
        </is>
      </c>
      <c r="D137" t="inlineStr">
        <is>
          <t>Repensando el aprendizaje de la lengua / Nicol©Łs Guevara.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Guevara, Nicola¿¿s.</t>
        </is>
      </c>
      <c r="L137" t="inlineStr">
        <is>
          <t>Santo Domingo : Centro Cultural Poveda, 2000.</t>
        </is>
      </c>
      <c r="M137" t="inlineStr">
        <is>
          <t>2000</t>
        </is>
      </c>
      <c r="N137" t="inlineStr">
        <is>
          <t>2. ed.</t>
        </is>
      </c>
      <c r="O137" t="inlineStr">
        <is>
          <t>spa</t>
        </is>
      </c>
      <c r="P137" t="inlineStr">
        <is>
          <t xml:space="preserve">dr </t>
        </is>
      </c>
      <c r="Q137" t="inlineStr">
        <is>
          <t>Cuadernos de sociedad y educaci©đn ; 8</t>
        </is>
      </c>
      <c r="R137" t="inlineStr">
        <is>
          <t xml:space="preserve">PC </t>
        </is>
      </c>
      <c r="S137" t="n">
        <v>1</v>
      </c>
      <c r="T137" t="n">
        <v>1</v>
      </c>
      <c r="U137" t="inlineStr">
        <is>
          <t>2006-02-10</t>
        </is>
      </c>
      <c r="V137" t="inlineStr">
        <is>
          <t>2006-02-10</t>
        </is>
      </c>
      <c r="W137" t="inlineStr">
        <is>
          <t>2006-01-23</t>
        </is>
      </c>
      <c r="X137" t="inlineStr">
        <is>
          <t>2006-01-23</t>
        </is>
      </c>
      <c r="Y137" t="n">
        <v>2</v>
      </c>
      <c r="Z137" t="n">
        <v>2</v>
      </c>
      <c r="AA137" t="n">
        <v>3</v>
      </c>
      <c r="AB137" t="n">
        <v>1</v>
      </c>
      <c r="AC137" t="n">
        <v>1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inlineStr">
        <is>
          <t>No</t>
        </is>
      </c>
      <c r="AQ137" t="inlineStr">
        <is>
          <t>No</t>
        </is>
      </c>
      <c r="AS137">
        <f>HYPERLINK("https://creighton-primo.hosted.exlibrisgroup.com/primo-explore/search?tab=default_tab&amp;search_scope=EVERYTHING&amp;vid=01CRU&amp;lang=en_US&amp;offset=0&amp;query=any,contains,991004720629702656","Catalog Record")</f>
        <v/>
      </c>
      <c r="AT137">
        <f>HYPERLINK("http://www.worldcat.org/oclc/62751826","WorldCat Record")</f>
        <v/>
      </c>
      <c r="AU137" t="inlineStr">
        <is>
          <t>47069837:spa</t>
        </is>
      </c>
      <c r="AV137" t="inlineStr">
        <is>
          <t>62751826</t>
        </is>
      </c>
      <c r="AW137" t="inlineStr">
        <is>
          <t>991004720629702656</t>
        </is>
      </c>
      <c r="AX137" t="inlineStr">
        <is>
          <t>991004720629702656</t>
        </is>
      </c>
      <c r="AY137" t="inlineStr">
        <is>
          <t>2271431020002656</t>
        </is>
      </c>
      <c r="AZ137" t="inlineStr">
        <is>
          <t>BOOK</t>
        </is>
      </c>
      <c r="BB137" t="inlineStr">
        <is>
          <t>9788492389322</t>
        </is>
      </c>
      <c r="BC137" t="inlineStr">
        <is>
          <t>32285005100200</t>
        </is>
      </c>
      <c r="BD137" t="inlineStr">
        <is>
          <t>893507156</t>
        </is>
      </c>
    </row>
    <row r="138">
      <c r="A138" t="inlineStr">
        <is>
          <t>No</t>
        </is>
      </c>
      <c r="B138" t="inlineStr">
        <is>
          <t>PC4073 .L66 1991</t>
        </is>
      </c>
      <c r="C138" t="inlineStr">
        <is>
          <t>0                      PC 4073000L  66          1991</t>
        </is>
      </c>
      <c r="D138" t="inlineStr">
        <is>
          <t>Gramática femenina / Angel López García y Ricardo Morant.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López García, Ángel, 1949-</t>
        </is>
      </c>
      <c r="L138" t="inlineStr">
        <is>
          <t>Madrid : Cátedra, 1991.</t>
        </is>
      </c>
      <c r="M138" t="inlineStr">
        <is>
          <t>1991</t>
        </is>
      </c>
      <c r="O138" t="inlineStr">
        <is>
          <t>spa</t>
        </is>
      </c>
      <c r="P138" t="inlineStr">
        <is>
          <t xml:space="preserve">sp </t>
        </is>
      </c>
      <c r="Q138" t="inlineStr">
        <is>
          <t>Lingüística</t>
        </is>
      </c>
      <c r="R138" t="inlineStr">
        <is>
          <t xml:space="preserve">PC </t>
        </is>
      </c>
      <c r="S138" t="n">
        <v>1</v>
      </c>
      <c r="T138" t="n">
        <v>1</v>
      </c>
      <c r="U138" t="inlineStr">
        <is>
          <t>2006-10-04</t>
        </is>
      </c>
      <c r="V138" t="inlineStr">
        <is>
          <t>2006-10-04</t>
        </is>
      </c>
      <c r="W138" t="inlineStr">
        <is>
          <t>2002-03-14</t>
        </is>
      </c>
      <c r="X138" t="inlineStr">
        <is>
          <t>2002-03-14</t>
        </is>
      </c>
      <c r="Y138" t="n">
        <v>91</v>
      </c>
      <c r="Z138" t="n">
        <v>51</v>
      </c>
      <c r="AA138" t="n">
        <v>58</v>
      </c>
      <c r="AB138" t="n">
        <v>2</v>
      </c>
      <c r="AC138" t="n">
        <v>2</v>
      </c>
      <c r="AD138" t="n">
        <v>3</v>
      </c>
      <c r="AE138" t="n">
        <v>3</v>
      </c>
      <c r="AF138" t="n">
        <v>1</v>
      </c>
      <c r="AG138" t="n">
        <v>1</v>
      </c>
      <c r="AH138" t="n">
        <v>2</v>
      </c>
      <c r="AI138" t="n">
        <v>2</v>
      </c>
      <c r="AJ138" t="n">
        <v>1</v>
      </c>
      <c r="AK138" t="n">
        <v>1</v>
      </c>
      <c r="AL138" t="n">
        <v>1</v>
      </c>
      <c r="AM138" t="n">
        <v>1</v>
      </c>
      <c r="AN138" t="n">
        <v>0</v>
      </c>
      <c r="AO138" t="n">
        <v>0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HYPERLINK("https://creighton-primo.hosted.exlibrisgroup.com/primo-explore/search?tab=default_tab&amp;search_scope=EVERYTHING&amp;vid=01CRU&amp;lang=en_US&amp;offset=0&amp;query=any,contains,991003765099702656","Catalog Record")</f>
        <v/>
      </c>
      <c r="AT138">
        <f>HYPERLINK("http://www.worldcat.org/oclc/26333684","WorldCat Record")</f>
        <v/>
      </c>
      <c r="AU138" t="inlineStr">
        <is>
          <t>26301596:spa</t>
        </is>
      </c>
      <c r="AV138" t="inlineStr">
        <is>
          <t>26333684</t>
        </is>
      </c>
      <c r="AW138" t="inlineStr">
        <is>
          <t>991003765099702656</t>
        </is>
      </c>
      <c r="AX138" t="inlineStr">
        <is>
          <t>991003765099702656</t>
        </is>
      </c>
      <c r="AY138" t="inlineStr">
        <is>
          <t>2265424780002656</t>
        </is>
      </c>
      <c r="AZ138" t="inlineStr">
        <is>
          <t>BOOK</t>
        </is>
      </c>
      <c r="BB138" t="inlineStr">
        <is>
          <t>9788437610337</t>
        </is>
      </c>
      <c r="BC138" t="inlineStr">
        <is>
          <t>32285004461058</t>
        </is>
      </c>
      <c r="BD138" t="inlineStr">
        <is>
          <t>893330759</t>
        </is>
      </c>
    </row>
    <row r="139">
      <c r="A139" t="inlineStr">
        <is>
          <t>No</t>
        </is>
      </c>
      <c r="B139" t="inlineStr">
        <is>
          <t>PC4075 .O75 1981</t>
        </is>
      </c>
      <c r="C139" t="inlineStr">
        <is>
          <t>0                      PC 4075000O  75          1981</t>
        </is>
      </c>
      <c r="D139" t="inlineStr">
        <is>
          <t>Orígenes de la lengua española / [recogidos] por Gregorio Mayans y Siscar.</t>
        </is>
      </c>
      <c r="E139" t="inlineStr">
        <is>
          <t>V.2</t>
        </is>
      </c>
      <c r="F139" t="inlineStr">
        <is>
          <t>Yes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L139" t="inlineStr">
        <is>
          <t>Madrid : Atlas, 1981.</t>
        </is>
      </c>
      <c r="M139" t="inlineStr">
        <is>
          <t>1981</t>
        </is>
      </c>
      <c r="O139" t="inlineStr">
        <is>
          <t>spa</t>
        </is>
      </c>
      <c r="P139" t="inlineStr">
        <is>
          <t xml:space="preserve">sp </t>
        </is>
      </c>
      <c r="R139" t="inlineStr">
        <is>
          <t xml:space="preserve">PC </t>
        </is>
      </c>
      <c r="S139" t="n">
        <v>0</v>
      </c>
      <c r="T139" t="n">
        <v>1</v>
      </c>
      <c r="U139" t="inlineStr">
        <is>
          <t>2010-04-21</t>
        </is>
      </c>
      <c r="V139" t="inlineStr">
        <is>
          <t>2010-04-21</t>
        </is>
      </c>
      <c r="W139" t="inlineStr">
        <is>
          <t>1993-04-21</t>
        </is>
      </c>
      <c r="X139" t="inlineStr">
        <is>
          <t>1993-04-21</t>
        </is>
      </c>
      <c r="Y139" t="n">
        <v>47</v>
      </c>
      <c r="Z139" t="n">
        <v>29</v>
      </c>
      <c r="AA139" t="n">
        <v>36</v>
      </c>
      <c r="AB139" t="n">
        <v>1</v>
      </c>
      <c r="AC139" t="n">
        <v>1</v>
      </c>
      <c r="AD139" t="n">
        <v>3</v>
      </c>
      <c r="AE139" t="n">
        <v>3</v>
      </c>
      <c r="AF139" t="n">
        <v>0</v>
      </c>
      <c r="AG139" t="n">
        <v>0</v>
      </c>
      <c r="AH139" t="n">
        <v>1</v>
      </c>
      <c r="AI139" t="n">
        <v>1</v>
      </c>
      <c r="AJ139" t="n">
        <v>3</v>
      </c>
      <c r="AK139" t="n">
        <v>3</v>
      </c>
      <c r="AL139" t="n">
        <v>0</v>
      </c>
      <c r="AM139" t="n">
        <v>0</v>
      </c>
      <c r="AN139" t="n">
        <v>0</v>
      </c>
      <c r="AO139" t="n">
        <v>0</v>
      </c>
      <c r="AP139" t="inlineStr">
        <is>
          <t>Yes</t>
        </is>
      </c>
      <c r="AQ139" t="inlineStr">
        <is>
          <t>Yes</t>
        </is>
      </c>
      <c r="AR139">
        <f>HYPERLINK("http://catalog.hathitrust.org/Record/000100841","HathiTrust Record")</f>
        <v/>
      </c>
      <c r="AS139">
        <f>HYPERLINK("https://creighton-primo.hosted.exlibrisgroup.com/primo-explore/search?tab=default_tab&amp;search_scope=EVERYTHING&amp;vid=01CRU&amp;lang=en_US&amp;offset=0&amp;query=any,contains,991005206919702656","Catalog Record")</f>
        <v/>
      </c>
      <c r="AT139">
        <f>HYPERLINK("http://www.worldcat.org/oclc/8124135","WorldCat Record")</f>
        <v/>
      </c>
      <c r="AU139" t="inlineStr">
        <is>
          <t>10678435572:spa</t>
        </is>
      </c>
      <c r="AV139" t="inlineStr">
        <is>
          <t>8124135</t>
        </is>
      </c>
      <c r="AW139" t="inlineStr">
        <is>
          <t>991005206919702656</t>
        </is>
      </c>
      <c r="AX139" t="inlineStr">
        <is>
          <t>991005206919702656</t>
        </is>
      </c>
      <c r="AY139" t="inlineStr">
        <is>
          <t>2271286350002656</t>
        </is>
      </c>
      <c r="AZ139" t="inlineStr">
        <is>
          <t>BOOK</t>
        </is>
      </c>
      <c r="BB139" t="inlineStr">
        <is>
          <t>9788436305340</t>
        </is>
      </c>
      <c r="BC139" t="inlineStr">
        <is>
          <t>32285001645539</t>
        </is>
      </c>
      <c r="BD139" t="inlineStr">
        <is>
          <t>893807999</t>
        </is>
      </c>
    </row>
    <row r="140">
      <c r="A140" t="inlineStr">
        <is>
          <t>No</t>
        </is>
      </c>
      <c r="B140" t="inlineStr">
        <is>
          <t>PC4075 .O75 1981</t>
        </is>
      </c>
      <c r="C140" t="inlineStr">
        <is>
          <t>0                      PC 4075000O  75          1981</t>
        </is>
      </c>
      <c r="D140" t="inlineStr">
        <is>
          <t>Orígenes de la lengua española / [recogidos] por Gregorio Mayans y Siscar.</t>
        </is>
      </c>
      <c r="E140" t="inlineStr">
        <is>
          <t>V.1</t>
        </is>
      </c>
      <c r="F140" t="inlineStr">
        <is>
          <t>Yes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L140" t="inlineStr">
        <is>
          <t>Madrid : Atlas, 1981.</t>
        </is>
      </c>
      <c r="M140" t="inlineStr">
        <is>
          <t>1981</t>
        </is>
      </c>
      <c r="O140" t="inlineStr">
        <is>
          <t>spa</t>
        </is>
      </c>
      <c r="P140" t="inlineStr">
        <is>
          <t xml:space="preserve">sp </t>
        </is>
      </c>
      <c r="R140" t="inlineStr">
        <is>
          <t xml:space="preserve">PC </t>
        </is>
      </c>
      <c r="S140" t="n">
        <v>1</v>
      </c>
      <c r="T140" t="n">
        <v>1</v>
      </c>
      <c r="U140" t="inlineStr">
        <is>
          <t>2010-04-21</t>
        </is>
      </c>
      <c r="V140" t="inlineStr">
        <is>
          <t>2010-04-21</t>
        </is>
      </c>
      <c r="W140" t="inlineStr">
        <is>
          <t>1993-04-21</t>
        </is>
      </c>
      <c r="X140" t="inlineStr">
        <is>
          <t>1993-04-21</t>
        </is>
      </c>
      <c r="Y140" t="n">
        <v>47</v>
      </c>
      <c r="Z140" t="n">
        <v>29</v>
      </c>
      <c r="AA140" t="n">
        <v>36</v>
      </c>
      <c r="AB140" t="n">
        <v>1</v>
      </c>
      <c r="AC140" t="n">
        <v>1</v>
      </c>
      <c r="AD140" t="n">
        <v>3</v>
      </c>
      <c r="AE140" t="n">
        <v>3</v>
      </c>
      <c r="AF140" t="n">
        <v>0</v>
      </c>
      <c r="AG140" t="n">
        <v>0</v>
      </c>
      <c r="AH140" t="n">
        <v>1</v>
      </c>
      <c r="AI140" t="n">
        <v>1</v>
      </c>
      <c r="AJ140" t="n">
        <v>3</v>
      </c>
      <c r="AK140" t="n">
        <v>3</v>
      </c>
      <c r="AL140" t="n">
        <v>0</v>
      </c>
      <c r="AM140" t="n">
        <v>0</v>
      </c>
      <c r="AN140" t="n">
        <v>0</v>
      </c>
      <c r="AO140" t="n">
        <v>0</v>
      </c>
      <c r="AP140" t="inlineStr">
        <is>
          <t>Yes</t>
        </is>
      </c>
      <c r="AQ140" t="inlineStr">
        <is>
          <t>Yes</t>
        </is>
      </c>
      <c r="AR140">
        <f>HYPERLINK("http://catalog.hathitrust.org/Record/000100841","HathiTrust Record")</f>
        <v/>
      </c>
      <c r="AS140">
        <f>HYPERLINK("https://creighton-primo.hosted.exlibrisgroup.com/primo-explore/search?tab=default_tab&amp;search_scope=EVERYTHING&amp;vid=01CRU&amp;lang=en_US&amp;offset=0&amp;query=any,contains,991005206919702656","Catalog Record")</f>
        <v/>
      </c>
      <c r="AT140">
        <f>HYPERLINK("http://www.worldcat.org/oclc/8124135","WorldCat Record")</f>
        <v/>
      </c>
      <c r="AU140" t="inlineStr">
        <is>
          <t>10678435572:spa</t>
        </is>
      </c>
      <c r="AV140" t="inlineStr">
        <is>
          <t>8124135</t>
        </is>
      </c>
      <c r="AW140" t="inlineStr">
        <is>
          <t>991005206919702656</t>
        </is>
      </c>
      <c r="AX140" t="inlineStr">
        <is>
          <t>991005206919702656</t>
        </is>
      </c>
      <c r="AY140" t="inlineStr">
        <is>
          <t>2271286350002656</t>
        </is>
      </c>
      <c r="AZ140" t="inlineStr">
        <is>
          <t>BOOK</t>
        </is>
      </c>
      <c r="BB140" t="inlineStr">
        <is>
          <t>9788436305340</t>
        </is>
      </c>
      <c r="BC140" t="inlineStr">
        <is>
          <t>32285001645521</t>
        </is>
      </c>
      <c r="BD140" t="inlineStr">
        <is>
          <t>893795783</t>
        </is>
      </c>
    </row>
    <row r="141">
      <c r="A141" t="inlineStr">
        <is>
          <t>No</t>
        </is>
      </c>
      <c r="B141" t="inlineStr">
        <is>
          <t>PC4075 .S6 1948</t>
        </is>
      </c>
      <c r="C141" t="inlineStr">
        <is>
          <t>0                      PC 4075000S  6           1948</t>
        </is>
      </c>
      <c r="D141" t="inlineStr">
        <is>
          <t>How Spanish grew / by Robert K. Spaulding.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Spaulding, Robert K. (Robert Kilburn), 1898-1991.</t>
        </is>
      </c>
      <c r="L141" t="inlineStr">
        <is>
          <t>Berkeley ; Los Angeles : University of California Press, 1948, c1943.</t>
        </is>
      </c>
      <c r="M141" t="inlineStr">
        <is>
          <t>1948</t>
        </is>
      </c>
      <c r="O141" t="inlineStr">
        <is>
          <t>eng</t>
        </is>
      </c>
      <c r="P141" t="inlineStr">
        <is>
          <t>cau</t>
        </is>
      </c>
      <c r="R141" t="inlineStr">
        <is>
          <t xml:space="preserve">PC </t>
        </is>
      </c>
      <c r="S141" t="n">
        <v>2</v>
      </c>
      <c r="T141" t="n">
        <v>2</v>
      </c>
      <c r="U141" t="inlineStr">
        <is>
          <t>2007-06-19</t>
        </is>
      </c>
      <c r="V141" t="inlineStr">
        <is>
          <t>2007-06-19</t>
        </is>
      </c>
      <c r="W141" t="inlineStr">
        <is>
          <t>1997-08-29</t>
        </is>
      </c>
      <c r="X141" t="inlineStr">
        <is>
          <t>1997-08-29</t>
        </is>
      </c>
      <c r="Y141" t="n">
        <v>65</v>
      </c>
      <c r="Z141" t="n">
        <v>52</v>
      </c>
      <c r="AA141" t="n">
        <v>760</v>
      </c>
      <c r="AB141" t="n">
        <v>2</v>
      </c>
      <c r="AC141" t="n">
        <v>9</v>
      </c>
      <c r="AD141" t="n">
        <v>3</v>
      </c>
      <c r="AE141" t="n">
        <v>38</v>
      </c>
      <c r="AF141" t="n">
        <v>1</v>
      </c>
      <c r="AG141" t="n">
        <v>14</v>
      </c>
      <c r="AH141" t="n">
        <v>1</v>
      </c>
      <c r="AI141" t="n">
        <v>8</v>
      </c>
      <c r="AJ141" t="n">
        <v>2</v>
      </c>
      <c r="AK141" t="n">
        <v>18</v>
      </c>
      <c r="AL141" t="n">
        <v>1</v>
      </c>
      <c r="AM141" t="n">
        <v>8</v>
      </c>
      <c r="AN141" t="n">
        <v>0</v>
      </c>
      <c r="AO141" t="n">
        <v>0</v>
      </c>
      <c r="AP141" t="inlineStr">
        <is>
          <t>No</t>
        </is>
      </c>
      <c r="AQ141" t="inlineStr">
        <is>
          <t>No</t>
        </is>
      </c>
      <c r="AS141">
        <f>HYPERLINK("https://creighton-primo.hosted.exlibrisgroup.com/primo-explore/search?tab=default_tab&amp;search_scope=EVERYTHING&amp;vid=01CRU&amp;lang=en_US&amp;offset=0&amp;query=any,contains,991000402649702656","Catalog Record")</f>
        <v/>
      </c>
      <c r="AT141">
        <f>HYPERLINK("http://www.worldcat.org/oclc/10631668","WorldCat Record")</f>
        <v/>
      </c>
      <c r="AU141" t="inlineStr">
        <is>
          <t>500389:eng</t>
        </is>
      </c>
      <c r="AV141" t="inlineStr">
        <is>
          <t>10631668</t>
        </is>
      </c>
      <c r="AW141" t="inlineStr">
        <is>
          <t>991000402649702656</t>
        </is>
      </c>
      <c r="AX141" t="inlineStr">
        <is>
          <t>991000402649702656</t>
        </is>
      </c>
      <c r="AY141" t="inlineStr">
        <is>
          <t>2272819350002656</t>
        </is>
      </c>
      <c r="AZ141" t="inlineStr">
        <is>
          <t>BOOK</t>
        </is>
      </c>
      <c r="BC141" t="inlineStr">
        <is>
          <t>32285003161295</t>
        </is>
      </c>
      <c r="BD141" t="inlineStr">
        <is>
          <t>893790466</t>
        </is>
      </c>
    </row>
    <row r="142">
      <c r="A142" t="inlineStr">
        <is>
          <t>No</t>
        </is>
      </c>
      <c r="B142" t="inlineStr">
        <is>
          <t>PC4101 .M3 1970</t>
        </is>
      </c>
      <c r="C142" t="inlineStr">
        <is>
          <t>0                      PC 4101000M  3           1970</t>
        </is>
      </c>
      <c r="D142" t="inlineStr">
        <is>
          <t>Diccionario gramatical y de dudas del idioma / por Emilio M. Martinez Amador.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Martínez Amador, Emilio María, 1881-1951.</t>
        </is>
      </c>
      <c r="L142" t="inlineStr">
        <is>
          <t>Barcelona : R. Sopena, [1970]</t>
        </is>
      </c>
      <c r="M142" t="inlineStr">
        <is>
          <t>1970</t>
        </is>
      </c>
      <c r="O142" t="inlineStr">
        <is>
          <t>eng</t>
        </is>
      </c>
      <c r="P142" t="inlineStr">
        <is>
          <t xml:space="preserve">sp </t>
        </is>
      </c>
      <c r="R142" t="inlineStr">
        <is>
          <t xml:space="preserve">PC </t>
        </is>
      </c>
      <c r="S142" t="n">
        <v>3</v>
      </c>
      <c r="T142" t="n">
        <v>3</v>
      </c>
      <c r="U142" t="inlineStr">
        <is>
          <t>2003-10-08</t>
        </is>
      </c>
      <c r="V142" t="inlineStr">
        <is>
          <t>2003-10-08</t>
        </is>
      </c>
      <c r="W142" t="inlineStr">
        <is>
          <t>2001-12-11</t>
        </is>
      </c>
      <c r="X142" t="inlineStr">
        <is>
          <t>2001-12-11</t>
        </is>
      </c>
      <c r="Y142" t="n">
        <v>19</v>
      </c>
      <c r="Z142" t="n">
        <v>19</v>
      </c>
      <c r="AA142" t="n">
        <v>19</v>
      </c>
      <c r="AB142" t="n">
        <v>1</v>
      </c>
      <c r="AC142" t="n">
        <v>1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HYPERLINK("https://creighton-primo.hosted.exlibrisgroup.com/primo-explore/search?tab=default_tab&amp;search_scope=EVERYTHING&amp;vid=01CRU&amp;lang=en_US&amp;offset=0&amp;query=any,contains,991003694609702656","Catalog Record")</f>
        <v/>
      </c>
      <c r="AT142">
        <f>HYPERLINK("http://www.worldcat.org/oclc/581468","WorldCat Record")</f>
        <v/>
      </c>
      <c r="AU142" t="inlineStr">
        <is>
          <t>5574440222:eng</t>
        </is>
      </c>
      <c r="AV142" t="inlineStr">
        <is>
          <t>581468</t>
        </is>
      </c>
      <c r="AW142" t="inlineStr">
        <is>
          <t>991003694609702656</t>
        </is>
      </c>
      <c r="AX142" t="inlineStr">
        <is>
          <t>991003694609702656</t>
        </is>
      </c>
      <c r="AY142" t="inlineStr">
        <is>
          <t>2271480390002656</t>
        </is>
      </c>
      <c r="AZ142" t="inlineStr">
        <is>
          <t>BOOK</t>
        </is>
      </c>
      <c r="BC142" t="inlineStr">
        <is>
          <t>32285004427505</t>
        </is>
      </c>
      <c r="BD142" t="inlineStr">
        <is>
          <t>893875051</t>
        </is>
      </c>
    </row>
    <row r="143">
      <c r="A143" t="inlineStr">
        <is>
          <t>No</t>
        </is>
      </c>
      <c r="B143" t="inlineStr">
        <is>
          <t>PC4105 .A3 1973</t>
        </is>
      </c>
      <c r="C143" t="inlineStr">
        <is>
          <t>0                      PC 4105000A  3           1973</t>
        </is>
      </c>
      <c r="D143" t="inlineStr">
        <is>
          <t>Esbozo de una nueva gramática de la lengua española.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Yes</t>
        </is>
      </c>
      <c r="J143" t="inlineStr">
        <is>
          <t>0</t>
        </is>
      </c>
      <c r="K143" t="inlineStr">
        <is>
          <t>Real Academia Española. Comisión de Gramática.</t>
        </is>
      </c>
      <c r="L143" t="inlineStr">
        <is>
          <t>Madrid, Espasa-Calpe, 1973.</t>
        </is>
      </c>
      <c r="M143" t="inlineStr">
        <is>
          <t>1973</t>
        </is>
      </c>
      <c r="O143" t="inlineStr">
        <is>
          <t>spa</t>
        </is>
      </c>
      <c r="P143" t="inlineStr">
        <is>
          <t xml:space="preserve">sp </t>
        </is>
      </c>
      <c r="R143" t="inlineStr">
        <is>
          <t xml:space="preserve">PC </t>
        </is>
      </c>
      <c r="S143" t="n">
        <v>2</v>
      </c>
      <c r="T143" t="n">
        <v>2</v>
      </c>
      <c r="U143" t="inlineStr">
        <is>
          <t>2003-01-15</t>
        </is>
      </c>
      <c r="V143" t="inlineStr">
        <is>
          <t>2003-01-15</t>
        </is>
      </c>
      <c r="W143" t="inlineStr">
        <is>
          <t>2003-01-15</t>
        </is>
      </c>
      <c r="X143" t="inlineStr">
        <is>
          <t>2003-01-15</t>
        </is>
      </c>
      <c r="Y143" t="n">
        <v>395</v>
      </c>
      <c r="Z143" t="n">
        <v>298</v>
      </c>
      <c r="AA143" t="n">
        <v>431</v>
      </c>
      <c r="AB143" t="n">
        <v>2</v>
      </c>
      <c r="AC143" t="n">
        <v>2</v>
      </c>
      <c r="AD143" t="n">
        <v>15</v>
      </c>
      <c r="AE143" t="n">
        <v>19</v>
      </c>
      <c r="AF143" t="n">
        <v>2</v>
      </c>
      <c r="AG143" t="n">
        <v>3</v>
      </c>
      <c r="AH143" t="n">
        <v>5</v>
      </c>
      <c r="AI143" t="n">
        <v>7</v>
      </c>
      <c r="AJ143" t="n">
        <v>10</v>
      </c>
      <c r="AK143" t="n">
        <v>11</v>
      </c>
      <c r="AL143" t="n">
        <v>1</v>
      </c>
      <c r="AM143" t="n">
        <v>1</v>
      </c>
      <c r="AN143" t="n">
        <v>0</v>
      </c>
      <c r="AO143" t="n">
        <v>0</v>
      </c>
      <c r="AP143" t="inlineStr">
        <is>
          <t>No</t>
        </is>
      </c>
      <c r="AQ143" t="inlineStr">
        <is>
          <t>Yes</t>
        </is>
      </c>
      <c r="AR143">
        <f>HYPERLINK("http://catalog.hathitrust.org/Record/000010813","HathiTrust Record")</f>
        <v/>
      </c>
      <c r="AS143">
        <f>HYPERLINK("https://creighton-primo.hosted.exlibrisgroup.com/primo-explore/search?tab=default_tab&amp;search_scope=EVERYTHING&amp;vid=01CRU&amp;lang=en_US&amp;offset=0&amp;query=any,contains,991003974969702656","Catalog Record")</f>
        <v/>
      </c>
      <c r="AT143">
        <f>HYPERLINK("http://www.worldcat.org/oclc/742617","WorldCat Record")</f>
        <v/>
      </c>
      <c r="AU143" t="inlineStr">
        <is>
          <t>3772559288:spa</t>
        </is>
      </c>
      <c r="AV143" t="inlineStr">
        <is>
          <t>742617</t>
        </is>
      </c>
      <c r="AW143" t="inlineStr">
        <is>
          <t>991003974969702656</t>
        </is>
      </c>
      <c r="AX143" t="inlineStr">
        <is>
          <t>991003974969702656</t>
        </is>
      </c>
      <c r="AY143" t="inlineStr">
        <is>
          <t>2267197450002656</t>
        </is>
      </c>
      <c r="AZ143" t="inlineStr">
        <is>
          <t>BOOK</t>
        </is>
      </c>
      <c r="BB143" t="inlineStr">
        <is>
          <t>9788423947591</t>
        </is>
      </c>
      <c r="BC143" t="inlineStr">
        <is>
          <t>32285004694229</t>
        </is>
      </c>
      <c r="BD143" t="inlineStr">
        <is>
          <t>893337198</t>
        </is>
      </c>
    </row>
    <row r="144">
      <c r="A144" t="inlineStr">
        <is>
          <t>No</t>
        </is>
      </c>
      <c r="B144" t="inlineStr">
        <is>
          <t>PC4105 .A6 1972</t>
        </is>
      </c>
      <c r="C144" t="inlineStr">
        <is>
          <t>0                      PC 4105000A  6           1972</t>
        </is>
      </c>
      <c r="D144" t="inlineStr">
        <is>
          <t>Estudios de gramática funcional del español / Emilio Alarcos LLorach.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Alarcos Llorach, Emilio.</t>
        </is>
      </c>
      <c r="L144" t="inlineStr">
        <is>
          <t>Madrid : Editorial Gredos, 1972.</t>
        </is>
      </c>
      <c r="M144" t="inlineStr">
        <is>
          <t>1972</t>
        </is>
      </c>
      <c r="O144" t="inlineStr">
        <is>
          <t>spa</t>
        </is>
      </c>
      <c r="P144" t="inlineStr">
        <is>
          <t xml:space="preserve">sp </t>
        </is>
      </c>
      <c r="Q144" t="inlineStr">
        <is>
          <t>Biblioteca románica hispánica. 2. Estudios y ensayos, 147</t>
        </is>
      </c>
      <c r="R144" t="inlineStr">
        <is>
          <t xml:space="preserve">PC </t>
        </is>
      </c>
      <c r="S144" t="n">
        <v>2</v>
      </c>
      <c r="T144" t="n">
        <v>2</v>
      </c>
      <c r="U144" t="inlineStr">
        <is>
          <t>2003-05-01</t>
        </is>
      </c>
      <c r="V144" t="inlineStr">
        <is>
          <t>2003-05-01</t>
        </is>
      </c>
      <c r="W144" t="inlineStr">
        <is>
          <t>2003-05-01</t>
        </is>
      </c>
      <c r="X144" t="inlineStr">
        <is>
          <t>2003-05-01</t>
        </is>
      </c>
      <c r="Y144" t="n">
        <v>56</v>
      </c>
      <c r="Z144" t="n">
        <v>39</v>
      </c>
      <c r="AA144" t="n">
        <v>264</v>
      </c>
      <c r="AB144" t="n">
        <v>1</v>
      </c>
      <c r="AC144" t="n">
        <v>1</v>
      </c>
      <c r="AD144" t="n">
        <v>0</v>
      </c>
      <c r="AE144" t="n">
        <v>10</v>
      </c>
      <c r="AF144" t="n">
        <v>0</v>
      </c>
      <c r="AG144" t="n">
        <v>0</v>
      </c>
      <c r="AH144" t="n">
        <v>0</v>
      </c>
      <c r="AI144" t="n">
        <v>5</v>
      </c>
      <c r="AJ144" t="n">
        <v>0</v>
      </c>
      <c r="AK144" t="n">
        <v>7</v>
      </c>
      <c r="AL144" t="n">
        <v>0</v>
      </c>
      <c r="AM144" t="n">
        <v>0</v>
      </c>
      <c r="AN144" t="n">
        <v>0</v>
      </c>
      <c r="AO144" t="n">
        <v>0</v>
      </c>
      <c r="AP144" t="inlineStr">
        <is>
          <t>No</t>
        </is>
      </c>
      <c r="AQ144" t="inlineStr">
        <is>
          <t>No</t>
        </is>
      </c>
      <c r="AS144">
        <f>HYPERLINK("https://creighton-primo.hosted.exlibrisgroup.com/primo-explore/search?tab=default_tab&amp;search_scope=EVERYTHING&amp;vid=01CRU&amp;lang=en_US&amp;offset=0&amp;query=any,contains,991004044569702656","Catalog Record")</f>
        <v/>
      </c>
      <c r="AT144">
        <f>HYPERLINK("http://www.worldcat.org/oclc/864075","WorldCat Record")</f>
        <v/>
      </c>
      <c r="AU144" t="inlineStr">
        <is>
          <t>1288369:spa</t>
        </is>
      </c>
      <c r="AV144" t="inlineStr">
        <is>
          <t>864075</t>
        </is>
      </c>
      <c r="AW144" t="inlineStr">
        <is>
          <t>991004044569702656</t>
        </is>
      </c>
      <c r="AX144" t="inlineStr">
        <is>
          <t>991004044569702656</t>
        </is>
      </c>
      <c r="AY144" t="inlineStr">
        <is>
          <t>2266389130002656</t>
        </is>
      </c>
      <c r="AZ144" t="inlineStr">
        <is>
          <t>BOOK</t>
        </is>
      </c>
      <c r="BC144" t="inlineStr">
        <is>
          <t>32285004683255</t>
        </is>
      </c>
      <c r="BD144" t="inlineStr">
        <is>
          <t>893605567</t>
        </is>
      </c>
    </row>
    <row r="145">
      <c r="A145" t="inlineStr">
        <is>
          <t>No</t>
        </is>
      </c>
      <c r="B145" t="inlineStr">
        <is>
          <t>PC4105 .A62 1999</t>
        </is>
      </c>
      <c r="C145" t="inlineStr">
        <is>
          <t>0                      PC 4105000A  62          1999</t>
        </is>
      </c>
      <c r="D145" t="inlineStr">
        <is>
          <t>Gramática de la lengua española / Emilio Alarcos Llorach.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Alarcos Llorach, Emilio.</t>
        </is>
      </c>
      <c r="L145" t="inlineStr">
        <is>
          <t>Madrid : Espasa Calpe, 1999.</t>
        </is>
      </c>
      <c r="M145" t="inlineStr">
        <is>
          <t>1999</t>
        </is>
      </c>
      <c r="N145" t="inlineStr">
        <is>
          <t>1. ed.</t>
        </is>
      </c>
      <c r="O145" t="inlineStr">
        <is>
          <t>spa</t>
        </is>
      </c>
      <c r="P145" t="inlineStr">
        <is>
          <t xml:space="preserve">sp </t>
        </is>
      </c>
      <c r="Q145" t="inlineStr">
        <is>
          <t>Colección Nebrija y Bello</t>
        </is>
      </c>
      <c r="R145" t="inlineStr">
        <is>
          <t xml:space="preserve">PC </t>
        </is>
      </c>
      <c r="S145" t="n">
        <v>1</v>
      </c>
      <c r="T145" t="n">
        <v>1</v>
      </c>
      <c r="U145" t="inlineStr">
        <is>
          <t>2010-07-12</t>
        </is>
      </c>
      <c r="V145" t="inlineStr">
        <is>
          <t>2010-07-12</t>
        </is>
      </c>
      <c r="W145" t="inlineStr">
        <is>
          <t>2008-01-17</t>
        </is>
      </c>
      <c r="X145" t="inlineStr">
        <is>
          <t>2008-01-17</t>
        </is>
      </c>
      <c r="Y145" t="n">
        <v>106</v>
      </c>
      <c r="Z145" t="n">
        <v>59</v>
      </c>
      <c r="AA145" t="n">
        <v>240</v>
      </c>
      <c r="AB145" t="n">
        <v>1</v>
      </c>
      <c r="AC145" t="n">
        <v>1</v>
      </c>
      <c r="AD145" t="n">
        <v>1</v>
      </c>
      <c r="AE145" t="n">
        <v>7</v>
      </c>
      <c r="AF145" t="n">
        <v>1</v>
      </c>
      <c r="AG145" t="n">
        <v>3</v>
      </c>
      <c r="AH145" t="n">
        <v>0</v>
      </c>
      <c r="AI145" t="n">
        <v>2</v>
      </c>
      <c r="AJ145" t="n">
        <v>0</v>
      </c>
      <c r="AK145" t="n">
        <v>4</v>
      </c>
      <c r="AL145" t="n">
        <v>0</v>
      </c>
      <c r="AM145" t="n">
        <v>0</v>
      </c>
      <c r="AN145" t="n">
        <v>0</v>
      </c>
      <c r="AO145" t="n">
        <v>0</v>
      </c>
      <c r="AP145" t="inlineStr">
        <is>
          <t>No</t>
        </is>
      </c>
      <c r="AQ145" t="inlineStr">
        <is>
          <t>No</t>
        </is>
      </c>
      <c r="AS145">
        <f>HYPERLINK("https://creighton-primo.hosted.exlibrisgroup.com/primo-explore/search?tab=default_tab&amp;search_scope=EVERYTHING&amp;vid=01CRU&amp;lang=en_US&amp;offset=0&amp;query=any,contains,991005173729702656","Catalog Record")</f>
        <v/>
      </c>
      <c r="AT145">
        <f>HYPERLINK("http://www.worldcat.org/oclc/41234809","WorldCat Record")</f>
        <v/>
      </c>
      <c r="AU145" t="inlineStr">
        <is>
          <t>3817587473:spa</t>
        </is>
      </c>
      <c r="AV145" t="inlineStr">
        <is>
          <t>41234809</t>
        </is>
      </c>
      <c r="AW145" t="inlineStr">
        <is>
          <t>991005173729702656</t>
        </is>
      </c>
      <c r="AX145" t="inlineStr">
        <is>
          <t>991005173729702656</t>
        </is>
      </c>
      <c r="AY145" t="inlineStr">
        <is>
          <t>2260101480002656</t>
        </is>
      </c>
      <c r="AZ145" t="inlineStr">
        <is>
          <t>BOOK</t>
        </is>
      </c>
      <c r="BB145" t="inlineStr">
        <is>
          <t>9788423979165</t>
        </is>
      </c>
      <c r="BC145" t="inlineStr">
        <is>
          <t>32285005378939</t>
        </is>
      </c>
      <c r="BD145" t="inlineStr">
        <is>
          <t>893507728</t>
        </is>
      </c>
    </row>
    <row r="146">
      <c r="A146" t="inlineStr">
        <is>
          <t>No</t>
        </is>
      </c>
      <c r="B146" t="inlineStr">
        <is>
          <t>PC4111 .T65</t>
        </is>
      </c>
      <c r="C146" t="inlineStr">
        <is>
          <t>0                      PC 4111000T  65</t>
        </is>
      </c>
      <c r="D146" t="inlineStr">
        <is>
          <t>Pitman's commercial Spanish grammar, by C.A. Toledano.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Pitman, Isaac, 1813-1897.</t>
        </is>
      </c>
      <c r="L146" t="inlineStr">
        <is>
          <t>New York, Isaac Pitman &amp; Sons, 1915.</t>
        </is>
      </c>
      <c r="M146" t="inlineStr">
        <is>
          <t>1915</t>
        </is>
      </c>
      <c r="O146" t="inlineStr">
        <is>
          <t>eng</t>
        </is>
      </c>
      <c r="P146" t="inlineStr">
        <is>
          <t>nyu</t>
        </is>
      </c>
      <c r="R146" t="inlineStr">
        <is>
          <t xml:space="preserve">PC </t>
        </is>
      </c>
      <c r="S146" t="n">
        <v>0</v>
      </c>
      <c r="T146" t="n">
        <v>0</v>
      </c>
      <c r="U146" t="inlineStr">
        <is>
          <t>2006-06-20</t>
        </is>
      </c>
      <c r="V146" t="inlineStr">
        <is>
          <t>2006-06-20</t>
        </is>
      </c>
      <c r="W146" t="inlineStr">
        <is>
          <t>1997-09-12</t>
        </is>
      </c>
      <c r="X146" t="inlineStr">
        <is>
          <t>1997-09-12</t>
        </is>
      </c>
      <c r="Y146" t="n">
        <v>4</v>
      </c>
      <c r="Z146" t="n">
        <v>4</v>
      </c>
      <c r="AA146" t="n">
        <v>10</v>
      </c>
      <c r="AB146" t="n">
        <v>1</v>
      </c>
      <c r="AC146" t="n">
        <v>1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inlineStr">
        <is>
          <t>Yes</t>
        </is>
      </c>
      <c r="AQ146" t="inlineStr">
        <is>
          <t>No</t>
        </is>
      </c>
      <c r="AR146">
        <f>HYPERLINK("http://catalog.hathitrust.org/Record/008434653","HathiTrust Record")</f>
        <v/>
      </c>
      <c r="AS146">
        <f>HYPERLINK("https://creighton-primo.hosted.exlibrisgroup.com/primo-explore/search?tab=default_tab&amp;search_scope=EVERYTHING&amp;vid=01CRU&amp;lang=en_US&amp;offset=0&amp;query=any,contains,991000541309702656","Catalog Record")</f>
        <v/>
      </c>
      <c r="AT146">
        <f>HYPERLINK("http://www.worldcat.org/oclc/11491619","WorldCat Record")</f>
        <v/>
      </c>
      <c r="AU146" t="inlineStr">
        <is>
          <t>1862285887:eng</t>
        </is>
      </c>
      <c r="AV146" t="inlineStr">
        <is>
          <t>11491619</t>
        </is>
      </c>
      <c r="AW146" t="inlineStr">
        <is>
          <t>991000541309702656</t>
        </is>
      </c>
      <c r="AX146" t="inlineStr">
        <is>
          <t>991000541309702656</t>
        </is>
      </c>
      <c r="AY146" t="inlineStr">
        <is>
          <t>2261701240002656</t>
        </is>
      </c>
      <c r="AZ146" t="inlineStr">
        <is>
          <t>BOOK</t>
        </is>
      </c>
      <c r="BC146" t="inlineStr">
        <is>
          <t>32285003225686</t>
        </is>
      </c>
      <c r="BD146" t="inlineStr">
        <is>
          <t>893243368</t>
        </is>
      </c>
    </row>
    <row r="147">
      <c r="A147" t="inlineStr">
        <is>
          <t>No</t>
        </is>
      </c>
      <c r="B147" t="inlineStr">
        <is>
          <t>PC4112 .A74</t>
        </is>
      </c>
      <c r="C147" t="inlineStr">
        <is>
          <t>0                      PC 4112000A  74</t>
        </is>
      </c>
      <c r="D147" t="inlineStr">
        <is>
          <t>Lengua española / [por] Doris King Arjona, Pablo Gil Casado [y] Albert Ramos Turner.</t>
        </is>
      </c>
      <c r="E147" t="inlineStr">
        <is>
          <t>V. 1</t>
        </is>
      </c>
      <c r="F147" t="inlineStr">
        <is>
          <t>Yes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Arjona, Doris King.</t>
        </is>
      </c>
      <c r="L147" t="inlineStr">
        <is>
          <t>[Glenview, Ill.] : Scott, Foresman, [1969-</t>
        </is>
      </c>
      <c r="M147" t="inlineStr">
        <is>
          <t>1969</t>
        </is>
      </c>
      <c r="O147" t="inlineStr">
        <is>
          <t>spa</t>
        </is>
      </c>
      <c r="P147" t="inlineStr">
        <is>
          <t>ilu</t>
        </is>
      </c>
      <c r="R147" t="inlineStr">
        <is>
          <t xml:space="preserve">PC </t>
        </is>
      </c>
      <c r="S147" t="n">
        <v>5</v>
      </c>
      <c r="T147" t="n">
        <v>8</v>
      </c>
      <c r="U147" t="inlineStr">
        <is>
          <t>1995-08-24</t>
        </is>
      </c>
      <c r="V147" t="inlineStr">
        <is>
          <t>1995-08-24</t>
        </is>
      </c>
      <c r="W147" t="inlineStr">
        <is>
          <t>1992-01-02</t>
        </is>
      </c>
      <c r="X147" t="inlineStr">
        <is>
          <t>2007-11-01</t>
        </is>
      </c>
      <c r="Y147" t="n">
        <v>63</v>
      </c>
      <c r="Z147" t="n">
        <v>61</v>
      </c>
      <c r="AA147" t="n">
        <v>61</v>
      </c>
      <c r="AB147" t="n">
        <v>2</v>
      </c>
      <c r="AC147" t="n">
        <v>2</v>
      </c>
      <c r="AD147" t="n">
        <v>3</v>
      </c>
      <c r="AE147" t="n">
        <v>3</v>
      </c>
      <c r="AF147" t="n">
        <v>0</v>
      </c>
      <c r="AG147" t="n">
        <v>0</v>
      </c>
      <c r="AH147" t="n">
        <v>0</v>
      </c>
      <c r="AI147" t="n">
        <v>0</v>
      </c>
      <c r="AJ147" t="n">
        <v>2</v>
      </c>
      <c r="AK147" t="n">
        <v>2</v>
      </c>
      <c r="AL147" t="n">
        <v>1</v>
      </c>
      <c r="AM147" t="n">
        <v>1</v>
      </c>
      <c r="AN147" t="n">
        <v>0</v>
      </c>
      <c r="AO147" t="n">
        <v>0</v>
      </c>
      <c r="AP147" t="inlineStr">
        <is>
          <t>No</t>
        </is>
      </c>
      <c r="AQ147" t="inlineStr">
        <is>
          <t>No</t>
        </is>
      </c>
      <c r="AS147">
        <f>HYPERLINK("https://creighton-primo.hosted.exlibrisgroup.com/primo-explore/search?tab=default_tab&amp;search_scope=EVERYTHING&amp;vid=01CRU&amp;lang=en_US&amp;offset=0&amp;query=any,contains,991003516149702656","Catalog Record")</f>
        <v/>
      </c>
      <c r="AT147">
        <f>HYPERLINK("http://www.worldcat.org/oclc/1073868","WorldCat Record")</f>
        <v/>
      </c>
      <c r="AU147" t="inlineStr">
        <is>
          <t>2031962:spa</t>
        </is>
      </c>
      <c r="AV147" t="inlineStr">
        <is>
          <t>1073868</t>
        </is>
      </c>
      <c r="AW147" t="inlineStr">
        <is>
          <t>991003516149702656</t>
        </is>
      </c>
      <c r="AX147" t="inlineStr">
        <is>
          <t>991003516149702656</t>
        </is>
      </c>
      <c r="AY147" t="inlineStr">
        <is>
          <t>2254960230002656</t>
        </is>
      </c>
      <c r="AZ147" t="inlineStr">
        <is>
          <t>BOOK</t>
        </is>
      </c>
      <c r="BC147" t="inlineStr">
        <is>
          <t>32285000881804</t>
        </is>
      </c>
      <c r="BD147" t="inlineStr">
        <is>
          <t>893900058</t>
        </is>
      </c>
    </row>
    <row r="148">
      <c r="A148" t="inlineStr">
        <is>
          <t>No</t>
        </is>
      </c>
      <c r="B148" t="inlineStr">
        <is>
          <t>PC4112 .A74</t>
        </is>
      </c>
      <c r="C148" t="inlineStr">
        <is>
          <t>0                      PC 4112000A  74</t>
        </is>
      </c>
      <c r="D148" t="inlineStr">
        <is>
          <t>Lengua española / [por] Doris King Arjona, Pablo Gil Casado [y] Albert Ramos Turner.</t>
        </is>
      </c>
      <c r="E148" t="inlineStr">
        <is>
          <t>V. 2 MANUAL</t>
        </is>
      </c>
      <c r="F148" t="inlineStr">
        <is>
          <t>Yes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Arjona, Doris King.</t>
        </is>
      </c>
      <c r="L148" t="inlineStr">
        <is>
          <t>[Glenview, Ill.] : Scott, Foresman, [1969-</t>
        </is>
      </c>
      <c r="M148" t="inlineStr">
        <is>
          <t>1969</t>
        </is>
      </c>
      <c r="O148" t="inlineStr">
        <is>
          <t>spa</t>
        </is>
      </c>
      <c r="P148" t="inlineStr">
        <is>
          <t>ilu</t>
        </is>
      </c>
      <c r="R148" t="inlineStr">
        <is>
          <t xml:space="preserve">PC </t>
        </is>
      </c>
      <c r="S148" t="n">
        <v>0</v>
      </c>
      <c r="T148" t="n">
        <v>8</v>
      </c>
      <c r="V148" t="inlineStr">
        <is>
          <t>1995-08-24</t>
        </is>
      </c>
      <c r="W148" t="inlineStr">
        <is>
          <t>2007-11-01</t>
        </is>
      </c>
      <c r="X148" t="inlineStr">
        <is>
          <t>2007-11-01</t>
        </is>
      </c>
      <c r="Y148" t="n">
        <v>63</v>
      </c>
      <c r="Z148" t="n">
        <v>61</v>
      </c>
      <c r="AA148" t="n">
        <v>61</v>
      </c>
      <c r="AB148" t="n">
        <v>2</v>
      </c>
      <c r="AC148" t="n">
        <v>2</v>
      </c>
      <c r="AD148" t="n">
        <v>3</v>
      </c>
      <c r="AE148" t="n">
        <v>3</v>
      </c>
      <c r="AF148" t="n">
        <v>0</v>
      </c>
      <c r="AG148" t="n">
        <v>0</v>
      </c>
      <c r="AH148" t="n">
        <v>0</v>
      </c>
      <c r="AI148" t="n">
        <v>0</v>
      </c>
      <c r="AJ148" t="n">
        <v>2</v>
      </c>
      <c r="AK148" t="n">
        <v>2</v>
      </c>
      <c r="AL148" t="n">
        <v>1</v>
      </c>
      <c r="AM148" t="n">
        <v>1</v>
      </c>
      <c r="AN148" t="n">
        <v>0</v>
      </c>
      <c r="AO148" t="n">
        <v>0</v>
      </c>
      <c r="AP148" t="inlineStr">
        <is>
          <t>No</t>
        </is>
      </c>
      <c r="AQ148" t="inlineStr">
        <is>
          <t>No</t>
        </is>
      </c>
      <c r="AS148">
        <f>HYPERLINK("https://creighton-primo.hosted.exlibrisgroup.com/primo-explore/search?tab=default_tab&amp;search_scope=EVERYTHING&amp;vid=01CRU&amp;lang=en_US&amp;offset=0&amp;query=any,contains,991003516149702656","Catalog Record")</f>
        <v/>
      </c>
      <c r="AT148">
        <f>HYPERLINK("http://www.worldcat.org/oclc/1073868","WorldCat Record")</f>
        <v/>
      </c>
      <c r="AU148" t="inlineStr">
        <is>
          <t>2031962:spa</t>
        </is>
      </c>
      <c r="AV148" t="inlineStr">
        <is>
          <t>1073868</t>
        </is>
      </c>
      <c r="AW148" t="inlineStr">
        <is>
          <t>991003516149702656</t>
        </is>
      </c>
      <c r="AX148" t="inlineStr">
        <is>
          <t>991003516149702656</t>
        </is>
      </c>
      <c r="AY148" t="inlineStr">
        <is>
          <t>2254960230002656</t>
        </is>
      </c>
      <c r="AZ148" t="inlineStr">
        <is>
          <t>BOOK</t>
        </is>
      </c>
      <c r="BC148" t="inlineStr">
        <is>
          <t>32285001645554</t>
        </is>
      </c>
      <c r="BD148" t="inlineStr">
        <is>
          <t>893893799</t>
        </is>
      </c>
    </row>
    <row r="149">
      <c r="A149" t="inlineStr">
        <is>
          <t>No</t>
        </is>
      </c>
      <c r="B149" t="inlineStr">
        <is>
          <t>PC4112 .A74</t>
        </is>
      </c>
      <c r="C149" t="inlineStr">
        <is>
          <t>0                      PC 4112000A  74</t>
        </is>
      </c>
      <c r="D149" t="inlineStr">
        <is>
          <t>Lengua española / [por] Doris King Arjona, Pablo Gil Casado [y] Albert Ramos Turner.</t>
        </is>
      </c>
      <c r="E149" t="inlineStr">
        <is>
          <t>V. 2</t>
        </is>
      </c>
      <c r="F149" t="inlineStr">
        <is>
          <t>Yes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Arjona, Doris King.</t>
        </is>
      </c>
      <c r="L149" t="inlineStr">
        <is>
          <t>[Glenview, Ill.] : Scott, Foresman, [1969-</t>
        </is>
      </c>
      <c r="M149" t="inlineStr">
        <is>
          <t>1969</t>
        </is>
      </c>
      <c r="O149" t="inlineStr">
        <is>
          <t>spa</t>
        </is>
      </c>
      <c r="P149" t="inlineStr">
        <is>
          <t>ilu</t>
        </is>
      </c>
      <c r="R149" t="inlineStr">
        <is>
          <t xml:space="preserve">PC </t>
        </is>
      </c>
      <c r="S149" t="n">
        <v>3</v>
      </c>
      <c r="T149" t="n">
        <v>8</v>
      </c>
      <c r="U149" t="inlineStr">
        <is>
          <t>1995-08-24</t>
        </is>
      </c>
      <c r="V149" t="inlineStr">
        <is>
          <t>1995-08-24</t>
        </is>
      </c>
      <c r="W149" t="inlineStr">
        <is>
          <t>1993-04-22</t>
        </is>
      </c>
      <c r="X149" t="inlineStr">
        <is>
          <t>2007-11-01</t>
        </is>
      </c>
      <c r="Y149" t="n">
        <v>63</v>
      </c>
      <c r="Z149" t="n">
        <v>61</v>
      </c>
      <c r="AA149" t="n">
        <v>61</v>
      </c>
      <c r="AB149" t="n">
        <v>2</v>
      </c>
      <c r="AC149" t="n">
        <v>2</v>
      </c>
      <c r="AD149" t="n">
        <v>3</v>
      </c>
      <c r="AE149" t="n">
        <v>3</v>
      </c>
      <c r="AF149" t="n">
        <v>0</v>
      </c>
      <c r="AG149" t="n">
        <v>0</v>
      </c>
      <c r="AH149" t="n">
        <v>0</v>
      </c>
      <c r="AI149" t="n">
        <v>0</v>
      </c>
      <c r="AJ149" t="n">
        <v>2</v>
      </c>
      <c r="AK149" t="n">
        <v>2</v>
      </c>
      <c r="AL149" t="n">
        <v>1</v>
      </c>
      <c r="AM149" t="n">
        <v>1</v>
      </c>
      <c r="AN149" t="n">
        <v>0</v>
      </c>
      <c r="AO149" t="n">
        <v>0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HYPERLINK("https://creighton-primo.hosted.exlibrisgroup.com/primo-explore/search?tab=default_tab&amp;search_scope=EVERYTHING&amp;vid=01CRU&amp;lang=en_US&amp;offset=0&amp;query=any,contains,991003516149702656","Catalog Record")</f>
        <v/>
      </c>
      <c r="AT149">
        <f>HYPERLINK("http://www.worldcat.org/oclc/1073868","WorldCat Record")</f>
        <v/>
      </c>
      <c r="AU149" t="inlineStr">
        <is>
          <t>2031962:spa</t>
        </is>
      </c>
      <c r="AV149" t="inlineStr">
        <is>
          <t>1073868</t>
        </is>
      </c>
      <c r="AW149" t="inlineStr">
        <is>
          <t>991003516149702656</t>
        </is>
      </c>
      <c r="AX149" t="inlineStr">
        <is>
          <t>991003516149702656</t>
        </is>
      </c>
      <c r="AY149" t="inlineStr">
        <is>
          <t>2254960230002656</t>
        </is>
      </c>
      <c r="AZ149" t="inlineStr">
        <is>
          <t>BOOK</t>
        </is>
      </c>
      <c r="BC149" t="inlineStr">
        <is>
          <t>32285001623221</t>
        </is>
      </c>
      <c r="BD149" t="inlineStr">
        <is>
          <t>893874839</t>
        </is>
      </c>
    </row>
    <row r="150">
      <c r="A150" t="inlineStr">
        <is>
          <t>No</t>
        </is>
      </c>
      <c r="B150" t="inlineStr">
        <is>
          <t>PC4112 .A74</t>
        </is>
      </c>
      <c r="C150" t="inlineStr">
        <is>
          <t>0                      PC 4112000A  74</t>
        </is>
      </c>
      <c r="D150" t="inlineStr">
        <is>
          <t>Lengua española / [por] Doris King Arjona, Pablo Gil Casado [y] Albert Ramos Turner.</t>
        </is>
      </c>
      <c r="E150" t="inlineStr">
        <is>
          <t>V. 1 MANUAL</t>
        </is>
      </c>
      <c r="F150" t="inlineStr">
        <is>
          <t>Yes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Arjona, Doris King.</t>
        </is>
      </c>
      <c r="L150" t="inlineStr">
        <is>
          <t>[Glenview, Ill.] : Scott, Foresman, [1969-</t>
        </is>
      </c>
      <c r="M150" t="inlineStr">
        <is>
          <t>1969</t>
        </is>
      </c>
      <c r="O150" t="inlineStr">
        <is>
          <t>spa</t>
        </is>
      </c>
      <c r="P150" t="inlineStr">
        <is>
          <t>ilu</t>
        </is>
      </c>
      <c r="R150" t="inlineStr">
        <is>
          <t xml:space="preserve">PC </t>
        </is>
      </c>
      <c r="S150" t="n">
        <v>0</v>
      </c>
      <c r="T150" t="n">
        <v>8</v>
      </c>
      <c r="V150" t="inlineStr">
        <is>
          <t>1995-08-24</t>
        </is>
      </c>
      <c r="W150" t="inlineStr">
        <is>
          <t>2004-04-22</t>
        </is>
      </c>
      <c r="X150" t="inlineStr">
        <is>
          <t>2007-11-01</t>
        </is>
      </c>
      <c r="Y150" t="n">
        <v>63</v>
      </c>
      <c r="Z150" t="n">
        <v>61</v>
      </c>
      <c r="AA150" t="n">
        <v>61</v>
      </c>
      <c r="AB150" t="n">
        <v>2</v>
      </c>
      <c r="AC150" t="n">
        <v>2</v>
      </c>
      <c r="AD150" t="n">
        <v>3</v>
      </c>
      <c r="AE150" t="n">
        <v>3</v>
      </c>
      <c r="AF150" t="n">
        <v>0</v>
      </c>
      <c r="AG150" t="n">
        <v>0</v>
      </c>
      <c r="AH150" t="n">
        <v>0</v>
      </c>
      <c r="AI150" t="n">
        <v>0</v>
      </c>
      <c r="AJ150" t="n">
        <v>2</v>
      </c>
      <c r="AK150" t="n">
        <v>2</v>
      </c>
      <c r="AL150" t="n">
        <v>1</v>
      </c>
      <c r="AM150" t="n">
        <v>1</v>
      </c>
      <c r="AN150" t="n">
        <v>0</v>
      </c>
      <c r="AO150" t="n">
        <v>0</v>
      </c>
      <c r="AP150" t="inlineStr">
        <is>
          <t>No</t>
        </is>
      </c>
      <c r="AQ150" t="inlineStr">
        <is>
          <t>No</t>
        </is>
      </c>
      <c r="AS150">
        <f>HYPERLINK("https://creighton-primo.hosted.exlibrisgroup.com/primo-explore/search?tab=default_tab&amp;search_scope=EVERYTHING&amp;vid=01CRU&amp;lang=en_US&amp;offset=0&amp;query=any,contains,991003516149702656","Catalog Record")</f>
        <v/>
      </c>
      <c r="AT150">
        <f>HYPERLINK("http://www.worldcat.org/oclc/1073868","WorldCat Record")</f>
        <v/>
      </c>
      <c r="AU150" t="inlineStr">
        <is>
          <t>2031962:spa</t>
        </is>
      </c>
      <c r="AV150" t="inlineStr">
        <is>
          <t>1073868</t>
        </is>
      </c>
      <c r="AW150" t="inlineStr">
        <is>
          <t>991003516149702656</t>
        </is>
      </c>
      <c r="AX150" t="inlineStr">
        <is>
          <t>991003516149702656</t>
        </is>
      </c>
      <c r="AY150" t="inlineStr">
        <is>
          <t>2254960230002656</t>
        </is>
      </c>
      <c r="AZ150" t="inlineStr">
        <is>
          <t>BOOK</t>
        </is>
      </c>
      <c r="BC150" t="inlineStr">
        <is>
          <t>32285001645547</t>
        </is>
      </c>
      <c r="BD150" t="inlineStr">
        <is>
          <t>893900057</t>
        </is>
      </c>
    </row>
    <row r="151">
      <c r="A151" t="inlineStr">
        <is>
          <t>No</t>
        </is>
      </c>
      <c r="B151" t="inlineStr">
        <is>
          <t>PC4112 .B88 2004</t>
        </is>
      </c>
      <c r="C151" t="inlineStr">
        <is>
          <t>0                      PC 4112000B  88          2004</t>
        </is>
      </c>
      <c r="D151" t="inlineStr">
        <is>
          <t>A new reference grammar of modern Spanish / John Butt, Carmen Benjamin.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Butt, John, 1943-</t>
        </is>
      </c>
      <c r="L151" t="inlineStr">
        <is>
          <t>New York : McGraw-Hill, c2004.</t>
        </is>
      </c>
      <c r="M151" t="inlineStr">
        <is>
          <t>2004</t>
        </is>
      </c>
      <c r="N151" t="inlineStr">
        <is>
          <t>4th ed.</t>
        </is>
      </c>
      <c r="O151" t="inlineStr">
        <is>
          <t>eng</t>
        </is>
      </c>
      <c r="P151" t="inlineStr">
        <is>
          <t>nyu</t>
        </is>
      </c>
      <c r="R151" t="inlineStr">
        <is>
          <t xml:space="preserve">PC </t>
        </is>
      </c>
      <c r="S151" t="n">
        <v>3</v>
      </c>
      <c r="T151" t="n">
        <v>3</v>
      </c>
      <c r="U151" t="inlineStr">
        <is>
          <t>2009-04-06</t>
        </is>
      </c>
      <c r="V151" t="inlineStr">
        <is>
          <t>2009-04-06</t>
        </is>
      </c>
      <c r="W151" t="inlineStr">
        <is>
          <t>2007-06-25</t>
        </is>
      </c>
      <c r="X151" t="inlineStr">
        <is>
          <t>2007-06-25</t>
        </is>
      </c>
      <c r="Y151" t="n">
        <v>252</v>
      </c>
      <c r="Z151" t="n">
        <v>232</v>
      </c>
      <c r="AA151" t="n">
        <v>1138</v>
      </c>
      <c r="AB151" t="n">
        <v>4</v>
      </c>
      <c r="AC151" t="n">
        <v>10</v>
      </c>
      <c r="AD151" t="n">
        <v>7</v>
      </c>
      <c r="AE151" t="n">
        <v>32</v>
      </c>
      <c r="AF151" t="n">
        <v>3</v>
      </c>
      <c r="AG151" t="n">
        <v>14</v>
      </c>
      <c r="AH151" t="n">
        <v>1</v>
      </c>
      <c r="AI151" t="n">
        <v>9</v>
      </c>
      <c r="AJ151" t="n">
        <v>2</v>
      </c>
      <c r="AK151" t="n">
        <v>12</v>
      </c>
      <c r="AL151" t="n">
        <v>2</v>
      </c>
      <c r="AM151" t="n">
        <v>6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HYPERLINK("http://catalog.hathitrust.org/Record/008318334","HathiTrust Record")</f>
        <v/>
      </c>
      <c r="AS151">
        <f>HYPERLINK("https://creighton-primo.hosted.exlibrisgroup.com/primo-explore/search?tab=default_tab&amp;search_scope=EVERYTHING&amp;vid=01CRU&amp;lang=en_US&amp;offset=0&amp;query=any,contains,991005087369702656","Catalog Record")</f>
        <v/>
      </c>
      <c r="AT151">
        <f>HYPERLINK("http://www.worldcat.org/oclc/56058008","WorldCat Record")</f>
        <v/>
      </c>
      <c r="AU151" t="inlineStr">
        <is>
          <t>4783197910:eng</t>
        </is>
      </c>
      <c r="AV151" t="inlineStr">
        <is>
          <t>56058008</t>
        </is>
      </c>
      <c r="AW151" t="inlineStr">
        <is>
          <t>991005087369702656</t>
        </is>
      </c>
      <c r="AX151" t="inlineStr">
        <is>
          <t>991005087369702656</t>
        </is>
      </c>
      <c r="AY151" t="inlineStr">
        <is>
          <t>2257072590002656</t>
        </is>
      </c>
      <c r="AZ151" t="inlineStr">
        <is>
          <t>BOOK</t>
        </is>
      </c>
      <c r="BB151" t="inlineStr">
        <is>
          <t>9780071440493</t>
        </is>
      </c>
      <c r="BC151" t="inlineStr">
        <is>
          <t>32285005318257</t>
        </is>
      </c>
      <c r="BD151" t="inlineStr">
        <is>
          <t>893520402</t>
        </is>
      </c>
    </row>
    <row r="152">
      <c r="A152" t="inlineStr">
        <is>
          <t>No</t>
        </is>
      </c>
      <c r="B152" t="inlineStr">
        <is>
          <t>PC4112 .C2 1993</t>
        </is>
      </c>
      <c r="C152" t="inlineStr">
        <is>
          <t>0                      PC 4112000C  2           1993</t>
        </is>
      </c>
      <c r="D152" t="inlineStr">
        <is>
          <t>Más fácil : a concise review of Spanish grammar / Estelita Calderón-Young, Rodney M. Mebane.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Calderón-Young, Estelita.</t>
        </is>
      </c>
      <c r="L152" t="inlineStr">
        <is>
          <t>Englewood Cliffs, N.J. : Prentice Hall, c1993.</t>
        </is>
      </c>
      <c r="M152" t="inlineStr">
        <is>
          <t>1993</t>
        </is>
      </c>
      <c r="O152" t="inlineStr">
        <is>
          <t>eng</t>
        </is>
      </c>
      <c r="P152" t="inlineStr">
        <is>
          <t>nju</t>
        </is>
      </c>
      <c r="R152" t="inlineStr">
        <is>
          <t xml:space="preserve">PC </t>
        </is>
      </c>
      <c r="S152" t="n">
        <v>6</v>
      </c>
      <c r="T152" t="n">
        <v>6</v>
      </c>
      <c r="U152" t="inlineStr">
        <is>
          <t>2009-01-21</t>
        </is>
      </c>
      <c r="V152" t="inlineStr">
        <is>
          <t>2009-01-21</t>
        </is>
      </c>
      <c r="W152" t="inlineStr">
        <is>
          <t>1995-08-21</t>
        </is>
      </c>
      <c r="X152" t="inlineStr">
        <is>
          <t>1995-08-21</t>
        </is>
      </c>
      <c r="Y152" t="n">
        <v>34</v>
      </c>
      <c r="Z152" t="n">
        <v>31</v>
      </c>
      <c r="AA152" t="n">
        <v>31</v>
      </c>
      <c r="AB152" t="n">
        <v>1</v>
      </c>
      <c r="AC152" t="n">
        <v>1</v>
      </c>
      <c r="AD152" t="n">
        <v>1</v>
      </c>
      <c r="AE152" t="n">
        <v>1</v>
      </c>
      <c r="AF152" t="n">
        <v>1</v>
      </c>
      <c r="AG152" t="n">
        <v>1</v>
      </c>
      <c r="AH152" t="n">
        <v>0</v>
      </c>
      <c r="AI152" t="n">
        <v>0</v>
      </c>
      <c r="AJ152" t="n">
        <v>1</v>
      </c>
      <c r="AK152" t="n">
        <v>1</v>
      </c>
      <c r="AL152" t="n">
        <v>0</v>
      </c>
      <c r="AM152" t="n">
        <v>0</v>
      </c>
      <c r="AN152" t="n">
        <v>0</v>
      </c>
      <c r="AO152" t="n">
        <v>0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HYPERLINK("https://creighton-primo.hosted.exlibrisgroup.com/primo-explore/search?tab=default_tab&amp;search_scope=EVERYTHING&amp;vid=01CRU&amp;lang=en_US&amp;offset=0&amp;query=any,contains,991002083269702656","Catalog Record")</f>
        <v/>
      </c>
      <c r="AT152">
        <f>HYPERLINK("http://www.worldcat.org/oclc/26722759","WorldCat Record")</f>
        <v/>
      </c>
      <c r="AU152" t="inlineStr">
        <is>
          <t>29491175:eng</t>
        </is>
      </c>
      <c r="AV152" t="inlineStr">
        <is>
          <t>26722759</t>
        </is>
      </c>
      <c r="AW152" t="inlineStr">
        <is>
          <t>991002083269702656</t>
        </is>
      </c>
      <c r="AX152" t="inlineStr">
        <is>
          <t>991002083269702656</t>
        </is>
      </c>
      <c r="AY152" t="inlineStr">
        <is>
          <t>2270050520002656</t>
        </is>
      </c>
      <c r="AZ152" t="inlineStr">
        <is>
          <t>BOOK</t>
        </is>
      </c>
      <c r="BB152" t="inlineStr">
        <is>
          <t>9780131783362</t>
        </is>
      </c>
      <c r="BC152" t="inlineStr">
        <is>
          <t>32285005500334</t>
        </is>
      </c>
      <c r="BD152" t="inlineStr">
        <is>
          <t>893439751</t>
        </is>
      </c>
    </row>
    <row r="153">
      <c r="A153" t="inlineStr">
        <is>
          <t>No</t>
        </is>
      </c>
      <c r="B153" t="inlineStr">
        <is>
          <t>PC4112 .D4 1999</t>
        </is>
      </c>
      <c r="C153" t="inlineStr">
        <is>
          <t>0                      PC 4112000D  4           1999</t>
        </is>
      </c>
      <c r="D153" t="inlineStr">
        <is>
          <t>Español contemporáneo / George DeMello.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De Mello, George.</t>
        </is>
      </c>
      <c r="L153" t="inlineStr">
        <is>
          <t>Lanham : University Press of America, c1999.</t>
        </is>
      </c>
      <c r="M153" t="inlineStr">
        <is>
          <t>1999</t>
        </is>
      </c>
      <c r="N153" t="inlineStr">
        <is>
          <t>3rd ed.</t>
        </is>
      </c>
      <c r="O153" t="inlineStr">
        <is>
          <t>spa</t>
        </is>
      </c>
      <c r="P153" t="inlineStr">
        <is>
          <t>mdu</t>
        </is>
      </c>
      <c r="R153" t="inlineStr">
        <is>
          <t xml:space="preserve">PC </t>
        </is>
      </c>
      <c r="S153" t="n">
        <v>3</v>
      </c>
      <c r="T153" t="n">
        <v>3</v>
      </c>
      <c r="U153" t="inlineStr">
        <is>
          <t>2008-09-24</t>
        </is>
      </c>
      <c r="V153" t="inlineStr">
        <is>
          <t>2008-09-24</t>
        </is>
      </c>
      <c r="W153" t="inlineStr">
        <is>
          <t>2001-02-27</t>
        </is>
      </c>
      <c r="X153" t="inlineStr">
        <is>
          <t>2001-02-27</t>
        </is>
      </c>
      <c r="Y153" t="n">
        <v>64</v>
      </c>
      <c r="Z153" t="n">
        <v>56</v>
      </c>
      <c r="AA153" t="n">
        <v>117</v>
      </c>
      <c r="AB153" t="n">
        <v>1</v>
      </c>
      <c r="AC153" t="n">
        <v>1</v>
      </c>
      <c r="AD153" t="n">
        <v>1</v>
      </c>
      <c r="AE153" t="n">
        <v>2</v>
      </c>
      <c r="AF153" t="n">
        <v>0</v>
      </c>
      <c r="AG153" t="n">
        <v>1</v>
      </c>
      <c r="AH153" t="n">
        <v>0</v>
      </c>
      <c r="AI153" t="n">
        <v>0</v>
      </c>
      <c r="AJ153" t="n">
        <v>1</v>
      </c>
      <c r="AK153" t="n">
        <v>2</v>
      </c>
      <c r="AL153" t="n">
        <v>0</v>
      </c>
      <c r="AM153" t="n">
        <v>0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HYPERLINK("http://catalog.hathitrust.org/Record/004115358","HathiTrust Record")</f>
        <v/>
      </c>
      <c r="AS153">
        <f>HYPERLINK("https://creighton-primo.hosted.exlibrisgroup.com/primo-explore/search?tab=default_tab&amp;search_scope=EVERYTHING&amp;vid=01CRU&amp;lang=en_US&amp;offset=0&amp;query=any,contains,991003453649702656","Catalog Record")</f>
        <v/>
      </c>
      <c r="AT153">
        <f>HYPERLINK("http://www.worldcat.org/oclc/42009406","WorldCat Record")</f>
        <v/>
      </c>
      <c r="AU153" t="inlineStr">
        <is>
          <t>1626379:spa</t>
        </is>
      </c>
      <c r="AV153" t="inlineStr">
        <is>
          <t>42009406</t>
        </is>
      </c>
      <c r="AW153" t="inlineStr">
        <is>
          <t>991003453649702656</t>
        </is>
      </c>
      <c r="AX153" t="inlineStr">
        <is>
          <t>991003453649702656</t>
        </is>
      </c>
      <c r="AY153" t="inlineStr">
        <is>
          <t>2259206260002656</t>
        </is>
      </c>
      <c r="AZ153" t="inlineStr">
        <is>
          <t>BOOK</t>
        </is>
      </c>
      <c r="BB153" t="inlineStr">
        <is>
          <t>9780761815068</t>
        </is>
      </c>
      <c r="BC153" t="inlineStr">
        <is>
          <t>32285004297825</t>
        </is>
      </c>
      <c r="BD153" t="inlineStr">
        <is>
          <t>893787330</t>
        </is>
      </c>
    </row>
    <row r="154">
      <c r="A154" t="inlineStr">
        <is>
          <t>No</t>
        </is>
      </c>
      <c r="B154" t="inlineStr">
        <is>
          <t>PC4112 .G48 1995</t>
        </is>
      </c>
      <c r="C154" t="inlineStr">
        <is>
          <t>0                      PC 4112000G  48          1995</t>
        </is>
      </c>
      <c r="D154" t="inlineStr">
        <is>
          <t>En contacto : gramática en acción / Mary McVey Gill, Brenda Wegmann, Teresa Méndez-Faith.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Gill, Mary McVey.</t>
        </is>
      </c>
      <c r="L154" t="inlineStr">
        <is>
          <t>Fort Worth : Holt, Rinehart and Winston : Harcourt Brace College Publishers, c1995.</t>
        </is>
      </c>
      <c r="M154" t="inlineStr">
        <is>
          <t>1995</t>
        </is>
      </c>
      <c r="N154" t="inlineStr">
        <is>
          <t>5. ed.</t>
        </is>
      </c>
      <c r="O154" t="inlineStr">
        <is>
          <t>spa</t>
        </is>
      </c>
      <c r="P154" t="inlineStr">
        <is>
          <t>txu</t>
        </is>
      </c>
      <c r="R154" t="inlineStr">
        <is>
          <t xml:space="preserve">PC </t>
        </is>
      </c>
      <c r="S154" t="n">
        <v>17</v>
      </c>
      <c r="T154" t="n">
        <v>17</v>
      </c>
      <c r="U154" t="inlineStr">
        <is>
          <t>2004-06-30</t>
        </is>
      </c>
      <c r="V154" t="inlineStr">
        <is>
          <t>2004-06-30</t>
        </is>
      </c>
      <c r="W154" t="inlineStr">
        <is>
          <t>1995-12-15</t>
        </is>
      </c>
      <c r="X154" t="inlineStr">
        <is>
          <t>1995-12-15</t>
        </is>
      </c>
      <c r="Y154" t="n">
        <v>15</v>
      </c>
      <c r="Z154" t="n">
        <v>14</v>
      </c>
      <c r="AA154" t="n">
        <v>109</v>
      </c>
      <c r="AB154" t="n">
        <v>1</v>
      </c>
      <c r="AC154" t="n">
        <v>2</v>
      </c>
      <c r="AD154" t="n">
        <v>0</v>
      </c>
      <c r="AE154" t="n">
        <v>1</v>
      </c>
      <c r="AF154" t="n">
        <v>0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  <c r="AL154" t="n">
        <v>0</v>
      </c>
      <c r="AM154" t="n">
        <v>1</v>
      </c>
      <c r="AN154" t="n">
        <v>0</v>
      </c>
      <c r="AO154" t="n">
        <v>0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HYPERLINK("https://creighton-primo.hosted.exlibrisgroup.com/primo-explore/search?tab=default_tab&amp;search_scope=EVERYTHING&amp;vid=01CRU&amp;lang=en_US&amp;offset=0&amp;query=any,contains,991002493249702656","Catalog Record")</f>
        <v/>
      </c>
      <c r="AT154">
        <f>HYPERLINK("http://www.worldcat.org/oclc/32432340","WorldCat Record")</f>
        <v/>
      </c>
      <c r="AU154" t="inlineStr">
        <is>
          <t>3943288093:spa</t>
        </is>
      </c>
      <c r="AV154" t="inlineStr">
        <is>
          <t>32432340</t>
        </is>
      </c>
      <c r="AW154" t="inlineStr">
        <is>
          <t>991002493249702656</t>
        </is>
      </c>
      <c r="AX154" t="inlineStr">
        <is>
          <t>991002493249702656</t>
        </is>
      </c>
      <c r="AY154" t="inlineStr">
        <is>
          <t>2256086700002656</t>
        </is>
      </c>
      <c r="AZ154" t="inlineStr">
        <is>
          <t>BOOK</t>
        </is>
      </c>
      <c r="BB154" t="inlineStr">
        <is>
          <t>9780030046186</t>
        </is>
      </c>
      <c r="BC154" t="inlineStr">
        <is>
          <t>32285002089240</t>
        </is>
      </c>
      <c r="BD154" t="inlineStr">
        <is>
          <t>893892622</t>
        </is>
      </c>
    </row>
    <row r="155">
      <c r="A155" t="inlineStr">
        <is>
          <t>No</t>
        </is>
      </c>
      <c r="B155" t="inlineStr">
        <is>
          <t>PC4112 .K38 1988</t>
        </is>
      </c>
      <c r="C155" t="inlineStr">
        <is>
          <t>0                      PC 4112000K  38          1988</t>
        </is>
      </c>
      <c r="D155" t="inlineStr">
        <is>
          <t>Spain after Franco : language in context / Juan Kattán-Ibarra, Tim Connell.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Kattán-Ibarra, Juan.</t>
        </is>
      </c>
      <c r="L155" t="inlineStr">
        <is>
          <t>Lincolnwood, Ill. : National Textbook Co., 1988.</t>
        </is>
      </c>
      <c r="M155" t="inlineStr">
        <is>
          <t>1988</t>
        </is>
      </c>
      <c r="N155" t="inlineStr">
        <is>
          <t>2nd ed.</t>
        </is>
      </c>
      <c r="O155" t="inlineStr">
        <is>
          <t>eng</t>
        </is>
      </c>
      <c r="P155" t="inlineStr">
        <is>
          <t>ilu</t>
        </is>
      </c>
      <c r="R155" t="inlineStr">
        <is>
          <t xml:space="preserve">PC </t>
        </is>
      </c>
      <c r="S155" t="n">
        <v>2</v>
      </c>
      <c r="T155" t="n">
        <v>2</v>
      </c>
      <c r="U155" t="inlineStr">
        <is>
          <t>2007-03-13</t>
        </is>
      </c>
      <c r="V155" t="inlineStr">
        <is>
          <t>2007-03-13</t>
        </is>
      </c>
      <c r="W155" t="inlineStr">
        <is>
          <t>1998-03-03</t>
        </is>
      </c>
      <c r="X155" t="inlineStr">
        <is>
          <t>1998-03-03</t>
        </is>
      </c>
      <c r="Y155" t="n">
        <v>40</v>
      </c>
      <c r="Z155" t="n">
        <v>39</v>
      </c>
      <c r="AA155" t="n">
        <v>124</v>
      </c>
      <c r="AB155" t="n">
        <v>1</v>
      </c>
      <c r="AC155" t="n">
        <v>2</v>
      </c>
      <c r="AD155" t="n">
        <v>4</v>
      </c>
      <c r="AE155" t="n">
        <v>8</v>
      </c>
      <c r="AF155" t="n">
        <v>1</v>
      </c>
      <c r="AG155" t="n">
        <v>2</v>
      </c>
      <c r="AH155" t="n">
        <v>1</v>
      </c>
      <c r="AI155" t="n">
        <v>3</v>
      </c>
      <c r="AJ155" t="n">
        <v>2</v>
      </c>
      <c r="AK155" t="n">
        <v>6</v>
      </c>
      <c r="AL155" t="n">
        <v>0</v>
      </c>
      <c r="AM155" t="n">
        <v>0</v>
      </c>
      <c r="AN155" t="n">
        <v>0</v>
      </c>
      <c r="AO155" t="n">
        <v>0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HYPERLINK("https://creighton-primo.hosted.exlibrisgroup.com/primo-explore/search?tab=default_tab&amp;search_scope=EVERYTHING&amp;vid=01CRU&amp;lang=en_US&amp;offset=0&amp;query=any,contains,991001426409702656","Catalog Record")</f>
        <v/>
      </c>
      <c r="AT155">
        <f>HYPERLINK("http://www.worldcat.org/oclc/19031368","WorldCat Record")</f>
        <v/>
      </c>
      <c r="AU155" t="inlineStr">
        <is>
          <t>5344620:eng</t>
        </is>
      </c>
      <c r="AV155" t="inlineStr">
        <is>
          <t>19031368</t>
        </is>
      </c>
      <c r="AW155" t="inlineStr">
        <is>
          <t>991001426409702656</t>
        </is>
      </c>
      <c r="AX155" t="inlineStr">
        <is>
          <t>991001426409702656</t>
        </is>
      </c>
      <c r="AY155" t="inlineStr">
        <is>
          <t>2255898800002656</t>
        </is>
      </c>
      <c r="AZ155" t="inlineStr">
        <is>
          <t>BOOK</t>
        </is>
      </c>
      <c r="BC155" t="inlineStr">
        <is>
          <t>32285003356218</t>
        </is>
      </c>
      <c r="BD155" t="inlineStr">
        <is>
          <t>893602599</t>
        </is>
      </c>
    </row>
    <row r="156">
      <c r="A156" t="inlineStr">
        <is>
          <t>No</t>
        </is>
      </c>
      <c r="B156" t="inlineStr">
        <is>
          <t>PC4112 .R35 1994</t>
        </is>
      </c>
      <c r="C156" t="inlineStr">
        <is>
          <t>0                      PC 4112000R  35          1994</t>
        </is>
      </c>
      <c r="D156" t="inlineStr">
        <is>
          <t>En breve : a concise review of Spanish grammar / Seymour Resnick, William Giuliano ; with the collaboration of Phyllis M. Golding.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Resnick, Seymour.</t>
        </is>
      </c>
      <c r="L156" t="inlineStr">
        <is>
          <t>Fort Worth : Holt, Rinehart and Winston, c1994.</t>
        </is>
      </c>
      <c r="M156" t="inlineStr">
        <is>
          <t>1994</t>
        </is>
      </c>
      <c r="N156" t="inlineStr">
        <is>
          <t>3rd ed.</t>
        </is>
      </c>
      <c r="O156" t="inlineStr">
        <is>
          <t>eng</t>
        </is>
      </c>
      <c r="P156" t="inlineStr">
        <is>
          <t>txu</t>
        </is>
      </c>
      <c r="R156" t="inlineStr">
        <is>
          <t xml:space="preserve">PC </t>
        </is>
      </c>
      <c r="S156" t="n">
        <v>35</v>
      </c>
      <c r="T156" t="n">
        <v>35</v>
      </c>
      <c r="U156" t="inlineStr">
        <is>
          <t>2004-04-07</t>
        </is>
      </c>
      <c r="V156" t="inlineStr">
        <is>
          <t>2004-04-07</t>
        </is>
      </c>
      <c r="W156" t="inlineStr">
        <is>
          <t>1995-09-27</t>
        </is>
      </c>
      <c r="X156" t="inlineStr">
        <is>
          <t>1995-09-27</t>
        </is>
      </c>
      <c r="Y156" t="n">
        <v>33</v>
      </c>
      <c r="Z156" t="n">
        <v>31</v>
      </c>
      <c r="AA156" t="n">
        <v>126</v>
      </c>
      <c r="AB156" t="n">
        <v>1</v>
      </c>
      <c r="AC156" t="n">
        <v>3</v>
      </c>
      <c r="AD156" t="n">
        <v>0</v>
      </c>
      <c r="AE156" t="n">
        <v>3</v>
      </c>
      <c r="AF156" t="n">
        <v>0</v>
      </c>
      <c r="AG156" t="n">
        <v>1</v>
      </c>
      <c r="AH156" t="n">
        <v>0</v>
      </c>
      <c r="AI156" t="n">
        <v>1</v>
      </c>
      <c r="AJ156" t="n">
        <v>0</v>
      </c>
      <c r="AK156" t="n">
        <v>1</v>
      </c>
      <c r="AL156" t="n">
        <v>0</v>
      </c>
      <c r="AM156" t="n">
        <v>1</v>
      </c>
      <c r="AN156" t="n">
        <v>0</v>
      </c>
      <c r="AO156" t="n">
        <v>0</v>
      </c>
      <c r="AP156" t="inlineStr">
        <is>
          <t>No</t>
        </is>
      </c>
      <c r="AQ156" t="inlineStr">
        <is>
          <t>No</t>
        </is>
      </c>
      <c r="AS156">
        <f>HYPERLINK("https://creighton-primo.hosted.exlibrisgroup.com/primo-explore/search?tab=default_tab&amp;search_scope=EVERYTHING&amp;vid=01CRU&amp;lang=en_US&amp;offset=0&amp;query=any,contains,991002439959702656","Catalog Record")</f>
        <v/>
      </c>
      <c r="AT156">
        <f>HYPERLINK("http://www.worldcat.org/oclc/31808191","WorldCat Record")</f>
        <v/>
      </c>
      <c r="AU156" t="inlineStr">
        <is>
          <t>887592:eng</t>
        </is>
      </c>
      <c r="AV156" t="inlineStr">
        <is>
          <t>31808191</t>
        </is>
      </c>
      <c r="AW156" t="inlineStr">
        <is>
          <t>991002439959702656</t>
        </is>
      </c>
      <c r="AX156" t="inlineStr">
        <is>
          <t>991002439959702656</t>
        </is>
      </c>
      <c r="AY156" t="inlineStr">
        <is>
          <t>2260163030002656</t>
        </is>
      </c>
      <c r="AZ156" t="inlineStr">
        <is>
          <t>BOOK</t>
        </is>
      </c>
      <c r="BB156" t="inlineStr">
        <is>
          <t>9780155007482</t>
        </is>
      </c>
      <c r="BC156" t="inlineStr">
        <is>
          <t>32285002094646</t>
        </is>
      </c>
      <c r="BD156" t="inlineStr">
        <is>
          <t>893697780</t>
        </is>
      </c>
    </row>
    <row r="157">
      <c r="A157" t="inlineStr">
        <is>
          <t>No</t>
        </is>
      </c>
      <c r="B157" t="inlineStr">
        <is>
          <t>PC4115 .W3</t>
        </is>
      </c>
      <c r="C157" t="inlineStr">
        <is>
          <t>0                      PC 4115000W  3</t>
        </is>
      </c>
      <c r="D157" t="inlineStr">
        <is>
          <t>Primer libro de lectura, by Gertrude M. Walsh...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Walsh, Gertrude M. (Gertrude Margaret), 1884-</t>
        </is>
      </c>
      <c r="L157" t="inlineStr">
        <is>
          <t>Boston, New York [etc.] D. C. Heath &amp; co. [c1919]</t>
        </is>
      </c>
      <c r="M157" t="inlineStr">
        <is>
          <t>1919</t>
        </is>
      </c>
      <c r="O157" t="inlineStr">
        <is>
          <t>spa</t>
        </is>
      </c>
      <c r="P157" t="inlineStr">
        <is>
          <t xml:space="preserve">xx </t>
        </is>
      </c>
      <c r="Q157" t="inlineStr">
        <is>
          <t>Heath's modern language series</t>
        </is>
      </c>
      <c r="R157" t="inlineStr">
        <is>
          <t xml:space="preserve">PC </t>
        </is>
      </c>
      <c r="S157" t="n">
        <v>1</v>
      </c>
      <c r="T157" t="n">
        <v>1</v>
      </c>
      <c r="U157" t="inlineStr">
        <is>
          <t>2000-08-18</t>
        </is>
      </c>
      <c r="V157" t="inlineStr">
        <is>
          <t>2000-08-18</t>
        </is>
      </c>
      <c r="W157" t="inlineStr">
        <is>
          <t>1997-09-12</t>
        </is>
      </c>
      <c r="X157" t="inlineStr">
        <is>
          <t>1997-09-12</t>
        </is>
      </c>
      <c r="Y157" t="n">
        <v>37</v>
      </c>
      <c r="Z157" t="n">
        <v>37</v>
      </c>
      <c r="AA157" t="n">
        <v>44</v>
      </c>
      <c r="AB157" t="n">
        <v>1</v>
      </c>
      <c r="AC157" t="n">
        <v>1</v>
      </c>
      <c r="AD157" t="n">
        <v>3</v>
      </c>
      <c r="AE157" t="n">
        <v>3</v>
      </c>
      <c r="AF157" t="n">
        <v>1</v>
      </c>
      <c r="AG157" t="n">
        <v>1</v>
      </c>
      <c r="AH157" t="n">
        <v>0</v>
      </c>
      <c r="AI157" t="n">
        <v>0</v>
      </c>
      <c r="AJ157" t="n">
        <v>2</v>
      </c>
      <c r="AK157" t="n">
        <v>2</v>
      </c>
      <c r="AL157" t="n">
        <v>0</v>
      </c>
      <c r="AM157" t="n">
        <v>0</v>
      </c>
      <c r="AN157" t="n">
        <v>0</v>
      </c>
      <c r="AO157" t="n">
        <v>0</v>
      </c>
      <c r="AP157" t="inlineStr">
        <is>
          <t>Yes</t>
        </is>
      </c>
      <c r="AQ157" t="inlineStr">
        <is>
          <t>No</t>
        </is>
      </c>
      <c r="AR157">
        <f>HYPERLINK("http://catalog.hathitrust.org/Record/006537783","HathiTrust Record")</f>
        <v/>
      </c>
      <c r="AS157">
        <f>HYPERLINK("https://creighton-primo.hosted.exlibrisgroup.com/primo-explore/search?tab=default_tab&amp;search_scope=EVERYTHING&amp;vid=01CRU&amp;lang=en_US&amp;offset=0&amp;query=any,contains,991004068509702656","Catalog Record")</f>
        <v/>
      </c>
      <c r="AT157">
        <f>HYPERLINK("http://www.worldcat.org/oclc/2292054","WorldCat Record")</f>
        <v/>
      </c>
      <c r="AU157" t="inlineStr">
        <is>
          <t>4716047:spa</t>
        </is>
      </c>
      <c r="AV157" t="inlineStr">
        <is>
          <t>2292054</t>
        </is>
      </c>
      <c r="AW157" t="inlineStr">
        <is>
          <t>991004068509702656</t>
        </is>
      </c>
      <c r="AX157" t="inlineStr">
        <is>
          <t>991004068509702656</t>
        </is>
      </c>
      <c r="AY157" t="inlineStr">
        <is>
          <t>2265382990002656</t>
        </is>
      </c>
      <c r="AZ157" t="inlineStr">
        <is>
          <t>BOOK</t>
        </is>
      </c>
      <c r="BC157" t="inlineStr">
        <is>
          <t>32285003225769</t>
        </is>
      </c>
      <c r="BD157" t="inlineStr">
        <is>
          <t>893806602</t>
        </is>
      </c>
    </row>
    <row r="158">
      <c r="A158" t="inlineStr">
        <is>
          <t>No</t>
        </is>
      </c>
      <c r="B158" t="inlineStr">
        <is>
          <t>PC4117 .A34</t>
        </is>
      </c>
      <c r="C158" t="inlineStr">
        <is>
          <t>0                      PC 4117000A  34</t>
        </is>
      </c>
      <c r="D158" t="inlineStr">
        <is>
          <t>Del solar hispánico; lecturas de literatura española e hispanoamericana, edited by Amelia A. de del Río ... [y] Angel del Río ...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Agostini de del Río, Amelia, 1896-1996, editor.</t>
        </is>
      </c>
      <c r="L158" t="inlineStr">
        <is>
          <t>New York, The Dryden Press [1945]</t>
        </is>
      </c>
      <c r="M158" t="inlineStr">
        <is>
          <t>1945</t>
        </is>
      </c>
      <c r="O158" t="inlineStr">
        <is>
          <t>spa</t>
        </is>
      </c>
      <c r="P158" t="inlineStr">
        <is>
          <t>nyu</t>
        </is>
      </c>
      <c r="Q158" t="inlineStr">
        <is>
          <t>The Dryden press modern language publications</t>
        </is>
      </c>
      <c r="R158" t="inlineStr">
        <is>
          <t xml:space="preserve">PC </t>
        </is>
      </c>
      <c r="S158" t="n">
        <v>3</v>
      </c>
      <c r="T158" t="n">
        <v>3</v>
      </c>
      <c r="U158" t="inlineStr">
        <is>
          <t>1998-02-01</t>
        </is>
      </c>
      <c r="V158" t="inlineStr">
        <is>
          <t>1998-02-01</t>
        </is>
      </c>
      <c r="W158" t="inlineStr">
        <is>
          <t>1997-09-12</t>
        </is>
      </c>
      <c r="X158" t="inlineStr">
        <is>
          <t>1997-09-12</t>
        </is>
      </c>
      <c r="Y158" t="n">
        <v>125</v>
      </c>
      <c r="Z158" t="n">
        <v>122</v>
      </c>
      <c r="AA158" t="n">
        <v>260</v>
      </c>
      <c r="AB158" t="n">
        <v>5</v>
      </c>
      <c r="AC158" t="n">
        <v>6</v>
      </c>
      <c r="AD158" t="n">
        <v>10</v>
      </c>
      <c r="AE158" t="n">
        <v>15</v>
      </c>
      <c r="AF158" t="n">
        <v>2</v>
      </c>
      <c r="AG158" t="n">
        <v>5</v>
      </c>
      <c r="AH158" t="n">
        <v>2</v>
      </c>
      <c r="AI158" t="n">
        <v>2</v>
      </c>
      <c r="AJ158" t="n">
        <v>5</v>
      </c>
      <c r="AK158" t="n">
        <v>8</v>
      </c>
      <c r="AL158" t="n">
        <v>4</v>
      </c>
      <c r="AM158" t="n">
        <v>5</v>
      </c>
      <c r="AN158" t="n">
        <v>0</v>
      </c>
      <c r="AO158" t="n">
        <v>0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HYPERLINK("https://creighton-primo.hosted.exlibrisgroup.com/primo-explore/search?tab=default_tab&amp;search_scope=EVERYTHING&amp;vid=01CRU&amp;lang=en_US&amp;offset=0&amp;query=any,contains,991004410509702656","Catalog Record")</f>
        <v/>
      </c>
      <c r="AT158">
        <f>HYPERLINK("http://www.worldcat.org/oclc/3338370","WorldCat Record")</f>
        <v/>
      </c>
      <c r="AU158" t="inlineStr">
        <is>
          <t>5114036:spa</t>
        </is>
      </c>
      <c r="AV158" t="inlineStr">
        <is>
          <t>3338370</t>
        </is>
      </c>
      <c r="AW158" t="inlineStr">
        <is>
          <t>991004410509702656</t>
        </is>
      </c>
      <c r="AX158" t="inlineStr">
        <is>
          <t>991004410509702656</t>
        </is>
      </c>
      <c r="AY158" t="inlineStr">
        <is>
          <t>2270522420002656</t>
        </is>
      </c>
      <c r="AZ158" t="inlineStr">
        <is>
          <t>BOOK</t>
        </is>
      </c>
      <c r="BC158" t="inlineStr">
        <is>
          <t>32285003225777</t>
        </is>
      </c>
      <c r="BD158" t="inlineStr">
        <is>
          <t>893446196</t>
        </is>
      </c>
    </row>
    <row r="159">
      <c r="A159" t="inlineStr">
        <is>
          <t>No</t>
        </is>
      </c>
      <c r="B159" t="inlineStr">
        <is>
          <t>PC4117 .C25</t>
        </is>
      </c>
      <c r="C159" t="inlineStr">
        <is>
          <t>0                      PC 4117000C  25</t>
        </is>
      </c>
      <c r="D159" t="inlineStr">
        <is>
          <t>La vida de un pícaro, by Juan Cano... edited with notes, direct-method exercises, and vocabulary.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Cano, Juan, 1890-</t>
        </is>
      </c>
      <c r="L159" t="inlineStr">
        <is>
          <t>New York, The Macmillan company, 1928.</t>
        </is>
      </c>
      <c r="M159" t="inlineStr">
        <is>
          <t>1928</t>
        </is>
      </c>
      <c r="O159" t="inlineStr">
        <is>
          <t>spa</t>
        </is>
      </c>
      <c r="P159" t="inlineStr">
        <is>
          <t xml:space="preserve">xx </t>
        </is>
      </c>
      <c r="Q159" t="inlineStr">
        <is>
          <t>On cover: The Macmillan Hispanic series</t>
        </is>
      </c>
      <c r="R159" t="inlineStr">
        <is>
          <t xml:space="preserve">PC </t>
        </is>
      </c>
      <c r="S159" t="n">
        <v>4</v>
      </c>
      <c r="T159" t="n">
        <v>4</v>
      </c>
      <c r="U159" t="inlineStr">
        <is>
          <t>2001-11-27</t>
        </is>
      </c>
      <c r="V159" t="inlineStr">
        <is>
          <t>2001-11-27</t>
        </is>
      </c>
      <c r="W159" t="inlineStr">
        <is>
          <t>1997-09-12</t>
        </is>
      </c>
      <c r="X159" t="inlineStr">
        <is>
          <t>1997-09-12</t>
        </is>
      </c>
      <c r="Y159" t="n">
        <v>162</v>
      </c>
      <c r="Z159" t="n">
        <v>151</v>
      </c>
      <c r="AA159" t="n">
        <v>174</v>
      </c>
      <c r="AB159" t="n">
        <v>1</v>
      </c>
      <c r="AC159" t="n">
        <v>1</v>
      </c>
      <c r="AD159" t="n">
        <v>12</v>
      </c>
      <c r="AE159" t="n">
        <v>13</v>
      </c>
      <c r="AF159" t="n">
        <v>4</v>
      </c>
      <c r="AG159" t="n">
        <v>4</v>
      </c>
      <c r="AH159" t="n">
        <v>2</v>
      </c>
      <c r="AI159" t="n">
        <v>2</v>
      </c>
      <c r="AJ159" t="n">
        <v>10</v>
      </c>
      <c r="AK159" t="n">
        <v>11</v>
      </c>
      <c r="AL159" t="n">
        <v>0</v>
      </c>
      <c r="AM159" t="n">
        <v>0</v>
      </c>
      <c r="AN159" t="n">
        <v>0</v>
      </c>
      <c r="AO159" t="n">
        <v>0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HYPERLINK("http://catalog.hathitrust.org/Record/006107597","HathiTrust Record")</f>
        <v/>
      </c>
      <c r="AS159">
        <f>HYPERLINK("https://creighton-primo.hosted.exlibrisgroup.com/primo-explore/search?tab=default_tab&amp;search_scope=EVERYTHING&amp;vid=01CRU&amp;lang=en_US&amp;offset=0&amp;query=any,contains,991003675429702656","Catalog Record")</f>
        <v/>
      </c>
      <c r="AT159">
        <f>HYPERLINK("http://www.worldcat.org/oclc/1295942","WorldCat Record")</f>
        <v/>
      </c>
      <c r="AU159" t="inlineStr">
        <is>
          <t>375390257:spa</t>
        </is>
      </c>
      <c r="AV159" t="inlineStr">
        <is>
          <t>1295942</t>
        </is>
      </c>
      <c r="AW159" t="inlineStr">
        <is>
          <t>991003675429702656</t>
        </is>
      </c>
      <c r="AX159" t="inlineStr">
        <is>
          <t>991003675429702656</t>
        </is>
      </c>
      <c r="AY159" t="inlineStr">
        <is>
          <t>2263776700002656</t>
        </is>
      </c>
      <c r="AZ159" t="inlineStr">
        <is>
          <t>BOOK</t>
        </is>
      </c>
      <c r="BC159" t="inlineStr">
        <is>
          <t>32285003225850</t>
        </is>
      </c>
      <c r="BD159" t="inlineStr">
        <is>
          <t>893252619</t>
        </is>
      </c>
    </row>
    <row r="160">
      <c r="A160" t="inlineStr">
        <is>
          <t>No</t>
        </is>
      </c>
      <c r="B160" t="inlineStr">
        <is>
          <t>PC4117 .C37</t>
        </is>
      </c>
      <c r="C160" t="inlineStr">
        <is>
          <t>0                      PC 4117000C  37</t>
        </is>
      </c>
      <c r="D160" t="inlineStr">
        <is>
          <t>Graded Spanish readers : books one to five / prepared by Carlos Castillo and Colley F. Sparkman.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Castillo, Carlos editor.</t>
        </is>
      </c>
      <c r="L160" t="inlineStr">
        <is>
          <t>Boston : Heath, 1937.</t>
        </is>
      </c>
      <c r="M160" t="inlineStr">
        <is>
          <t>1937</t>
        </is>
      </c>
      <c r="O160" t="inlineStr">
        <is>
          <t>eng</t>
        </is>
      </c>
      <c r="P160" t="inlineStr">
        <is>
          <t>mau</t>
        </is>
      </c>
      <c r="Q160" t="inlineStr">
        <is>
          <t>Heath-Chicago Spanish series</t>
        </is>
      </c>
      <c r="R160" t="inlineStr">
        <is>
          <t xml:space="preserve">PC </t>
        </is>
      </c>
      <c r="S160" t="n">
        <v>8</v>
      </c>
      <c r="T160" t="n">
        <v>8</v>
      </c>
      <c r="U160" t="inlineStr">
        <is>
          <t>1996-04-01</t>
        </is>
      </c>
      <c r="V160" t="inlineStr">
        <is>
          <t>1996-04-01</t>
        </is>
      </c>
      <c r="W160" t="inlineStr">
        <is>
          <t>1993-04-21</t>
        </is>
      </c>
      <c r="X160" t="inlineStr">
        <is>
          <t>1993-04-21</t>
        </is>
      </c>
      <c r="Y160" t="n">
        <v>28</v>
      </c>
      <c r="Z160" t="n">
        <v>26</v>
      </c>
      <c r="AA160" t="n">
        <v>41</v>
      </c>
      <c r="AB160" t="n">
        <v>1</v>
      </c>
      <c r="AC160" t="n">
        <v>1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HYPERLINK("https://creighton-primo.hosted.exlibrisgroup.com/primo-explore/search?tab=default_tab&amp;search_scope=EVERYTHING&amp;vid=01CRU&amp;lang=en_US&amp;offset=0&amp;query=any,contains,991004697629702656","Catalog Record")</f>
        <v/>
      </c>
      <c r="AT160">
        <f>HYPERLINK("http://www.worldcat.org/oclc/4647228","WorldCat Record")</f>
        <v/>
      </c>
      <c r="AU160" t="inlineStr">
        <is>
          <t>3770014846:eng</t>
        </is>
      </c>
      <c r="AV160" t="inlineStr">
        <is>
          <t>4647228</t>
        </is>
      </c>
      <c r="AW160" t="inlineStr">
        <is>
          <t>991004697629702656</t>
        </is>
      </c>
      <c r="AX160" t="inlineStr">
        <is>
          <t>991004697629702656</t>
        </is>
      </c>
      <c r="AY160" t="inlineStr">
        <is>
          <t>2260627560002656</t>
        </is>
      </c>
      <c r="AZ160" t="inlineStr">
        <is>
          <t>BOOK</t>
        </is>
      </c>
      <c r="BC160" t="inlineStr">
        <is>
          <t>32285001645562</t>
        </is>
      </c>
      <c r="BD160" t="inlineStr">
        <is>
          <t>893344148</t>
        </is>
      </c>
    </row>
    <row r="161">
      <c r="A161" t="inlineStr">
        <is>
          <t>No</t>
        </is>
      </c>
      <c r="B161" t="inlineStr">
        <is>
          <t>PC4117 .C829</t>
        </is>
      </c>
      <c r="C161" t="inlineStr">
        <is>
          <t>0                      PC 4117000C  829</t>
        </is>
      </c>
      <c r="D161" t="inlineStr">
        <is>
          <t>El cuento / [by] John A. Crow [and] Edward J. Dudley.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Crow, John A., 1906-2001.</t>
        </is>
      </c>
      <c r="L161" t="inlineStr">
        <is>
          <t>New York, Holt, Rinehart and Winston [c1966]</t>
        </is>
      </c>
      <c r="M161" t="inlineStr">
        <is>
          <t>1966</t>
        </is>
      </c>
      <c r="O161" t="inlineStr">
        <is>
          <t>eng</t>
        </is>
      </c>
      <c r="P161" t="inlineStr">
        <is>
          <t>nyu</t>
        </is>
      </c>
      <c r="R161" t="inlineStr">
        <is>
          <t xml:space="preserve">PC </t>
        </is>
      </c>
      <c r="S161" t="n">
        <v>5</v>
      </c>
      <c r="T161" t="n">
        <v>5</v>
      </c>
      <c r="U161" t="inlineStr">
        <is>
          <t>1999-09-24</t>
        </is>
      </c>
      <c r="V161" t="inlineStr">
        <is>
          <t>1999-09-24</t>
        </is>
      </c>
      <c r="W161" t="inlineStr">
        <is>
          <t>1997-09-10</t>
        </is>
      </c>
      <c r="X161" t="inlineStr">
        <is>
          <t>1997-09-10</t>
        </is>
      </c>
      <c r="Y161" t="n">
        <v>336</v>
      </c>
      <c r="Z161" t="n">
        <v>311</v>
      </c>
      <c r="AA161" t="n">
        <v>360</v>
      </c>
      <c r="AB161" t="n">
        <v>2</v>
      </c>
      <c r="AC161" t="n">
        <v>5</v>
      </c>
      <c r="AD161" t="n">
        <v>8</v>
      </c>
      <c r="AE161" t="n">
        <v>13</v>
      </c>
      <c r="AF161" t="n">
        <v>2</v>
      </c>
      <c r="AG161" t="n">
        <v>3</v>
      </c>
      <c r="AH161" t="n">
        <v>3</v>
      </c>
      <c r="AI161" t="n">
        <v>3</v>
      </c>
      <c r="AJ161" t="n">
        <v>7</v>
      </c>
      <c r="AK161" t="n">
        <v>9</v>
      </c>
      <c r="AL161" t="n">
        <v>0</v>
      </c>
      <c r="AM161" t="n">
        <v>3</v>
      </c>
      <c r="AN161" t="n">
        <v>0</v>
      </c>
      <c r="AO161" t="n">
        <v>0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HYPERLINK("http://catalog.hathitrust.org/Record/007135731","HathiTrust Record")</f>
        <v/>
      </c>
      <c r="AS161">
        <f>HYPERLINK("https://creighton-primo.hosted.exlibrisgroup.com/primo-explore/search?tab=default_tab&amp;search_scope=EVERYTHING&amp;vid=01CRU&amp;lang=en_US&amp;offset=0&amp;query=any,contains,991002512529702656","Catalog Record")</f>
        <v/>
      </c>
      <c r="AT161">
        <f>HYPERLINK("http://www.worldcat.org/oclc/365463","WorldCat Record")</f>
        <v/>
      </c>
      <c r="AU161" t="inlineStr">
        <is>
          <t>3857499632:eng</t>
        </is>
      </c>
      <c r="AV161" t="inlineStr">
        <is>
          <t>365463</t>
        </is>
      </c>
      <c r="AW161" t="inlineStr">
        <is>
          <t>991002512529702656</t>
        </is>
      </c>
      <c r="AX161" t="inlineStr">
        <is>
          <t>991002512529702656</t>
        </is>
      </c>
      <c r="AY161" t="inlineStr">
        <is>
          <t>2266041470002656</t>
        </is>
      </c>
      <c r="AZ161" t="inlineStr">
        <is>
          <t>BOOK</t>
        </is>
      </c>
      <c r="BC161" t="inlineStr">
        <is>
          <t>32285003170361</t>
        </is>
      </c>
      <c r="BD161" t="inlineStr">
        <is>
          <t>893786236</t>
        </is>
      </c>
    </row>
    <row r="162">
      <c r="A162" t="inlineStr">
        <is>
          <t>No</t>
        </is>
      </c>
      <c r="B162" t="inlineStr">
        <is>
          <t>PC4117 .K37</t>
        </is>
      </c>
      <c r="C162" t="inlineStr">
        <is>
          <t>0                      PC 4117000K  37</t>
        </is>
      </c>
      <c r="D162" t="inlineStr">
        <is>
          <t>El gaucho y la pampa, un drama y ocho cuentos, edited by L. Clark Keating and Joseph S. Flores.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Keating, L. Clark (Louis Clark), 1907-1991 editor.</t>
        </is>
      </c>
      <c r="L162" t="inlineStr">
        <is>
          <t>New York, Chicago [etc.] American book company [1943]</t>
        </is>
      </c>
      <c r="M162" t="inlineStr">
        <is>
          <t>1943</t>
        </is>
      </c>
      <c r="O162" t="inlineStr">
        <is>
          <t>spa</t>
        </is>
      </c>
      <c r="P162" t="inlineStr">
        <is>
          <t xml:space="preserve">xx </t>
        </is>
      </c>
      <c r="R162" t="inlineStr">
        <is>
          <t xml:space="preserve">PC </t>
        </is>
      </c>
      <c r="S162" t="n">
        <v>1</v>
      </c>
      <c r="T162" t="n">
        <v>1</v>
      </c>
      <c r="U162" t="inlineStr">
        <is>
          <t>2007-10-12</t>
        </is>
      </c>
      <c r="V162" t="inlineStr">
        <is>
          <t>2007-10-12</t>
        </is>
      </c>
      <c r="W162" t="inlineStr">
        <is>
          <t>1997-09-15</t>
        </is>
      </c>
      <c r="X162" t="inlineStr">
        <is>
          <t>1997-09-15</t>
        </is>
      </c>
      <c r="Y162" t="n">
        <v>114</v>
      </c>
      <c r="Z162" t="n">
        <v>106</v>
      </c>
      <c r="AA162" t="n">
        <v>119</v>
      </c>
      <c r="AB162" t="n">
        <v>1</v>
      </c>
      <c r="AC162" t="n">
        <v>1</v>
      </c>
      <c r="AD162" t="n">
        <v>1</v>
      </c>
      <c r="AE162" t="n">
        <v>1</v>
      </c>
      <c r="AF162" t="n">
        <v>0</v>
      </c>
      <c r="AG162" t="n">
        <v>0</v>
      </c>
      <c r="AH162" t="n">
        <v>0</v>
      </c>
      <c r="AI162" t="n">
        <v>0</v>
      </c>
      <c r="AJ162" t="n">
        <v>1</v>
      </c>
      <c r="AK162" t="n">
        <v>1</v>
      </c>
      <c r="AL162" t="n">
        <v>0</v>
      </c>
      <c r="AM162" t="n">
        <v>0</v>
      </c>
      <c r="AN162" t="n">
        <v>0</v>
      </c>
      <c r="AO162" t="n">
        <v>0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HYPERLINK("http://catalog.hathitrust.org/Record/101395623","HathiTrust Record")</f>
        <v/>
      </c>
      <c r="AS162">
        <f>HYPERLINK("https://creighton-primo.hosted.exlibrisgroup.com/primo-explore/search?tab=default_tab&amp;search_scope=EVERYTHING&amp;vid=01CRU&amp;lang=en_US&amp;offset=0&amp;query=any,contains,991004370929702656","Catalog Record")</f>
        <v/>
      </c>
      <c r="AT162">
        <f>HYPERLINK("http://www.worldcat.org/oclc/3190100","WorldCat Record")</f>
        <v/>
      </c>
      <c r="AU162" t="inlineStr">
        <is>
          <t>53657284:spa</t>
        </is>
      </c>
      <c r="AV162" t="inlineStr">
        <is>
          <t>3190100</t>
        </is>
      </c>
      <c r="AW162" t="inlineStr">
        <is>
          <t>991004370929702656</t>
        </is>
      </c>
      <c r="AX162" t="inlineStr">
        <is>
          <t>991004370929702656</t>
        </is>
      </c>
      <c r="AY162" t="inlineStr">
        <is>
          <t>2257906710002656</t>
        </is>
      </c>
      <c r="AZ162" t="inlineStr">
        <is>
          <t>BOOK</t>
        </is>
      </c>
      <c r="BC162" t="inlineStr">
        <is>
          <t>32285003225991</t>
        </is>
      </c>
      <c r="BD162" t="inlineStr">
        <is>
          <t>893506775</t>
        </is>
      </c>
    </row>
    <row r="163">
      <c r="A163" t="inlineStr">
        <is>
          <t>No</t>
        </is>
      </c>
      <c r="B163" t="inlineStr">
        <is>
          <t>PC4117 .M254 1979</t>
        </is>
      </c>
      <c r="C163" t="inlineStr">
        <is>
          <t>0                      PC 4117000M  254         1979</t>
        </is>
      </c>
      <c r="D163" t="inlineStr">
        <is>
          <t>Maestros hispánicos del siglo veinte / Emir Rodríguez Monegal, Suzanne Jill Levine [compiladores].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L163" t="inlineStr">
        <is>
          <t>New York : Harcourt Brace Jovanovich, c1979.</t>
        </is>
      </c>
      <c r="M163" t="inlineStr">
        <is>
          <t>1979</t>
        </is>
      </c>
      <c r="O163" t="inlineStr">
        <is>
          <t>spa</t>
        </is>
      </c>
      <c r="P163" t="inlineStr">
        <is>
          <t>nyu</t>
        </is>
      </c>
      <c r="R163" t="inlineStr">
        <is>
          <t xml:space="preserve">PC </t>
        </is>
      </c>
      <c r="S163" t="n">
        <v>1</v>
      </c>
      <c r="T163" t="n">
        <v>1</v>
      </c>
      <c r="U163" t="inlineStr">
        <is>
          <t>2005-03-23</t>
        </is>
      </c>
      <c r="V163" t="inlineStr">
        <is>
          <t>2005-03-23</t>
        </is>
      </c>
      <c r="W163" t="inlineStr">
        <is>
          <t>2005-03-23</t>
        </is>
      </c>
      <c r="X163" t="inlineStr">
        <is>
          <t>2005-03-23</t>
        </is>
      </c>
      <c r="Y163" t="n">
        <v>117</v>
      </c>
      <c r="Z163" t="n">
        <v>106</v>
      </c>
      <c r="AA163" t="n">
        <v>108</v>
      </c>
      <c r="AB163" t="n">
        <v>2</v>
      </c>
      <c r="AC163" t="n">
        <v>2</v>
      </c>
      <c r="AD163" t="n">
        <v>8</v>
      </c>
      <c r="AE163" t="n">
        <v>8</v>
      </c>
      <c r="AF163" t="n">
        <v>5</v>
      </c>
      <c r="AG163" t="n">
        <v>5</v>
      </c>
      <c r="AH163" t="n">
        <v>3</v>
      </c>
      <c r="AI163" t="n">
        <v>3</v>
      </c>
      <c r="AJ163" t="n">
        <v>3</v>
      </c>
      <c r="AK163" t="n">
        <v>3</v>
      </c>
      <c r="AL163" t="n">
        <v>1</v>
      </c>
      <c r="AM163" t="n">
        <v>1</v>
      </c>
      <c r="AN163" t="n">
        <v>0</v>
      </c>
      <c r="AO163" t="n">
        <v>0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HYPERLINK("http://catalog.hathitrust.org/Record/101004944","HathiTrust Record")</f>
        <v/>
      </c>
      <c r="AS163">
        <f>HYPERLINK("https://creighton-primo.hosted.exlibrisgroup.com/primo-explore/search?tab=default_tab&amp;search_scope=EVERYTHING&amp;vid=01CRU&amp;lang=en_US&amp;offset=0&amp;query=any,contains,991004509569702656","Catalog Record")</f>
        <v/>
      </c>
      <c r="AT163">
        <f>HYPERLINK("http://www.worldcat.org/oclc/5105226","WorldCat Record")</f>
        <v/>
      </c>
      <c r="AU163" t="inlineStr">
        <is>
          <t>16071780:spa</t>
        </is>
      </c>
      <c r="AV163" t="inlineStr">
        <is>
          <t>5105226</t>
        </is>
      </c>
      <c r="AW163" t="inlineStr">
        <is>
          <t>991004509569702656</t>
        </is>
      </c>
      <c r="AX163" t="inlineStr">
        <is>
          <t>991004509569702656</t>
        </is>
      </c>
      <c r="AY163" t="inlineStr">
        <is>
          <t>2267220040002656</t>
        </is>
      </c>
      <c r="AZ163" t="inlineStr">
        <is>
          <t>BOOK</t>
        </is>
      </c>
      <c r="BC163" t="inlineStr">
        <is>
          <t>32285005044457</t>
        </is>
      </c>
      <c r="BD163" t="inlineStr">
        <is>
          <t>893712686</t>
        </is>
      </c>
    </row>
    <row r="164">
      <c r="A164" t="inlineStr">
        <is>
          <t>No</t>
        </is>
      </c>
      <c r="B164" t="inlineStr">
        <is>
          <t>PC4120.P64 H37 1996</t>
        </is>
      </c>
      <c r="C164" t="inlineStr">
        <is>
          <t>0                      PC 4120000P  64                 H  37          1996</t>
        </is>
      </c>
      <c r="D164" t="inlineStr">
        <is>
          <t>Spanish for law enforcement personnel / William C. Harvey.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Harvey, William C.</t>
        </is>
      </c>
      <c r="L164" t="inlineStr">
        <is>
          <t>Hauppauge, N.Y. : Barron's, c1996.</t>
        </is>
      </c>
      <c r="M164" t="inlineStr">
        <is>
          <t>1996</t>
        </is>
      </c>
      <c r="O164" t="inlineStr">
        <is>
          <t>eng</t>
        </is>
      </c>
      <c r="P164" t="inlineStr">
        <is>
          <t>nyu</t>
        </is>
      </c>
      <c r="R164" t="inlineStr">
        <is>
          <t xml:space="preserve">PC </t>
        </is>
      </c>
      <c r="S164" t="n">
        <v>3</v>
      </c>
      <c r="T164" t="n">
        <v>3</v>
      </c>
      <c r="U164" t="inlineStr">
        <is>
          <t>2004-07-15</t>
        </is>
      </c>
      <c r="V164" t="inlineStr">
        <is>
          <t>2004-07-15</t>
        </is>
      </c>
      <c r="W164" t="inlineStr">
        <is>
          <t>1998-05-21</t>
        </is>
      </c>
      <c r="X164" t="inlineStr">
        <is>
          <t>1998-05-21</t>
        </is>
      </c>
      <c r="Y164" t="n">
        <v>349</v>
      </c>
      <c r="Z164" t="n">
        <v>345</v>
      </c>
      <c r="AA164" t="n">
        <v>500</v>
      </c>
      <c r="AB164" t="n">
        <v>6</v>
      </c>
      <c r="AC164" t="n">
        <v>7</v>
      </c>
      <c r="AD164" t="n">
        <v>7</v>
      </c>
      <c r="AE164" t="n">
        <v>7</v>
      </c>
      <c r="AF164" t="n">
        <v>0</v>
      </c>
      <c r="AG164" t="n">
        <v>0</v>
      </c>
      <c r="AH164" t="n">
        <v>0</v>
      </c>
      <c r="AI164" t="n">
        <v>0</v>
      </c>
      <c r="AJ164" t="n">
        <v>1</v>
      </c>
      <c r="AK164" t="n">
        <v>1</v>
      </c>
      <c r="AL164" t="n">
        <v>5</v>
      </c>
      <c r="AM164" t="n">
        <v>5</v>
      </c>
      <c r="AN164" t="n">
        <v>1</v>
      </c>
      <c r="AO164" t="n">
        <v>1</v>
      </c>
      <c r="AP164" t="inlineStr">
        <is>
          <t>No</t>
        </is>
      </c>
      <c r="AQ164" t="inlineStr">
        <is>
          <t>No</t>
        </is>
      </c>
      <c r="AS164">
        <f>HYPERLINK("https://creighton-primo.hosted.exlibrisgroup.com/primo-explore/search?tab=default_tab&amp;search_scope=EVERYTHING&amp;vid=01CRU&amp;lang=en_US&amp;offset=0&amp;query=any,contains,991002642699702656","Catalog Record")</f>
        <v/>
      </c>
      <c r="AT164">
        <f>HYPERLINK("http://www.worldcat.org/oclc/34594822","WorldCat Record")</f>
        <v/>
      </c>
      <c r="AU164" t="inlineStr">
        <is>
          <t>40561144:eng</t>
        </is>
      </c>
      <c r="AV164" t="inlineStr">
        <is>
          <t>34594822</t>
        </is>
      </c>
      <c r="AW164" t="inlineStr">
        <is>
          <t>991002642699702656</t>
        </is>
      </c>
      <c r="AX164" t="inlineStr">
        <is>
          <t>991002642699702656</t>
        </is>
      </c>
      <c r="AY164" t="inlineStr">
        <is>
          <t>2264831170002656</t>
        </is>
      </c>
      <c r="AZ164" t="inlineStr">
        <is>
          <t>BOOK</t>
        </is>
      </c>
      <c r="BB164" t="inlineStr">
        <is>
          <t>9780812093674</t>
        </is>
      </c>
      <c r="BC164" t="inlineStr">
        <is>
          <t>32285003411286</t>
        </is>
      </c>
      <c r="BD164" t="inlineStr">
        <is>
          <t>893792707</t>
        </is>
      </c>
    </row>
    <row r="165">
      <c r="A165" t="inlineStr">
        <is>
          <t>No</t>
        </is>
      </c>
      <c r="B165" t="inlineStr">
        <is>
          <t>PC4120.S34 S84 2007</t>
        </is>
      </c>
      <c r="C165" t="inlineStr">
        <is>
          <t>0                      PC 4120000S  34                 S  84          2007</t>
        </is>
      </c>
      <c r="D165" t="inlineStr">
        <is>
          <t>Working Spanish for teachers and education professionals / Gail Stein.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Stein, Gail.</t>
        </is>
      </c>
      <c r="L165" t="inlineStr">
        <is>
          <t>Hoboken, NJ : Wiley, c2007.</t>
        </is>
      </c>
      <c r="M165" t="inlineStr">
        <is>
          <t>2007</t>
        </is>
      </c>
      <c r="O165" t="inlineStr">
        <is>
          <t>eng</t>
        </is>
      </c>
      <c r="P165" t="inlineStr">
        <is>
          <t>nju</t>
        </is>
      </c>
      <c r="Q165" t="inlineStr">
        <is>
          <t>An on-the-job phrasebook</t>
        </is>
      </c>
      <c r="R165" t="inlineStr">
        <is>
          <t xml:space="preserve">PC </t>
        </is>
      </c>
      <c r="S165" t="n">
        <v>1</v>
      </c>
      <c r="T165" t="n">
        <v>1</v>
      </c>
      <c r="U165" t="inlineStr">
        <is>
          <t>2007-09-27</t>
        </is>
      </c>
      <c r="V165" t="inlineStr">
        <is>
          <t>2007-09-27</t>
        </is>
      </c>
      <c r="W165" t="inlineStr">
        <is>
          <t>2007-09-27</t>
        </is>
      </c>
      <c r="X165" t="inlineStr">
        <is>
          <t>2007-09-27</t>
        </is>
      </c>
      <c r="Y165" t="n">
        <v>151</v>
      </c>
      <c r="Z165" t="n">
        <v>135</v>
      </c>
      <c r="AA165" t="n">
        <v>198</v>
      </c>
      <c r="AB165" t="n">
        <v>3</v>
      </c>
      <c r="AC165" t="n">
        <v>3</v>
      </c>
      <c r="AD165" t="n">
        <v>4</v>
      </c>
      <c r="AE165" t="n">
        <v>4</v>
      </c>
      <c r="AF165" t="n">
        <v>1</v>
      </c>
      <c r="AG165" t="n">
        <v>1</v>
      </c>
      <c r="AH165" t="n">
        <v>1</v>
      </c>
      <c r="AI165" t="n">
        <v>1</v>
      </c>
      <c r="AJ165" t="n">
        <v>3</v>
      </c>
      <c r="AK165" t="n">
        <v>3</v>
      </c>
      <c r="AL165" t="n">
        <v>1</v>
      </c>
      <c r="AM165" t="n">
        <v>1</v>
      </c>
      <c r="AN165" t="n">
        <v>0</v>
      </c>
      <c r="AO165" t="n">
        <v>0</v>
      </c>
      <c r="AP165" t="inlineStr">
        <is>
          <t>No</t>
        </is>
      </c>
      <c r="AQ165" t="inlineStr">
        <is>
          <t>No</t>
        </is>
      </c>
      <c r="AS165">
        <f>HYPERLINK("https://creighton-primo.hosted.exlibrisgroup.com/primo-explore/search?tab=default_tab&amp;search_scope=EVERYTHING&amp;vid=01CRU&amp;lang=en_US&amp;offset=0&amp;query=any,contains,991005116539702656","Catalog Record")</f>
        <v/>
      </c>
      <c r="AT165">
        <f>HYPERLINK("http://www.worldcat.org/oclc/77256791","WorldCat Record")</f>
        <v/>
      </c>
      <c r="AU165" t="inlineStr">
        <is>
          <t>62922642:eng</t>
        </is>
      </c>
      <c r="AV165" t="inlineStr">
        <is>
          <t>77256791</t>
        </is>
      </c>
      <c r="AW165" t="inlineStr">
        <is>
          <t>991005116539702656</t>
        </is>
      </c>
      <c r="AX165" t="inlineStr">
        <is>
          <t>991005116539702656</t>
        </is>
      </c>
      <c r="AY165" t="inlineStr">
        <is>
          <t>2257390280002656</t>
        </is>
      </c>
      <c r="AZ165" t="inlineStr">
        <is>
          <t>BOOK</t>
        </is>
      </c>
      <c r="BB165" t="inlineStr">
        <is>
          <t>9780470095232</t>
        </is>
      </c>
      <c r="BC165" t="inlineStr">
        <is>
          <t>32285005327266</t>
        </is>
      </c>
      <c r="BD165" t="inlineStr">
        <is>
          <t>893254490</t>
        </is>
      </c>
    </row>
    <row r="166">
      <c r="A166" t="inlineStr">
        <is>
          <t>No</t>
        </is>
      </c>
      <c r="B166" t="inlineStr">
        <is>
          <t>PC4121 .C26 1966</t>
        </is>
      </c>
      <c r="C166" t="inlineStr">
        <is>
          <t>0                      PC 4121000C  26          1966</t>
        </is>
      </c>
      <c r="D166" t="inlineStr">
        <is>
          <t>Spanish for hotels and motels : a comprehensive manual with conversation and vocabulary used by employees of hotels and motels ... = Inglés para hoteles y moteles ... / compiled by Antonio Carbajo.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Carbajo, Antonio.</t>
        </is>
      </c>
      <c r="L166" t="inlineStr">
        <is>
          <t>Miami Springs, Fla. : Language Research Press, c1966.</t>
        </is>
      </c>
      <c r="M166" t="inlineStr">
        <is>
          <t>1966</t>
        </is>
      </c>
      <c r="O166" t="inlineStr">
        <is>
          <t>eng</t>
        </is>
      </c>
      <c r="P166" t="inlineStr">
        <is>
          <t>flu</t>
        </is>
      </c>
      <c r="R166" t="inlineStr">
        <is>
          <t xml:space="preserve">PC </t>
        </is>
      </c>
      <c r="S166" t="n">
        <v>1</v>
      </c>
      <c r="T166" t="n">
        <v>1</v>
      </c>
      <c r="U166" t="inlineStr">
        <is>
          <t>2001-09-14</t>
        </is>
      </c>
      <c r="V166" t="inlineStr">
        <is>
          <t>2001-09-14</t>
        </is>
      </c>
      <c r="W166" t="inlineStr">
        <is>
          <t>1998-05-21</t>
        </is>
      </c>
      <c r="X166" t="inlineStr">
        <is>
          <t>1998-05-21</t>
        </is>
      </c>
      <c r="Y166" t="n">
        <v>41</v>
      </c>
      <c r="Z166" t="n">
        <v>41</v>
      </c>
      <c r="AA166" t="n">
        <v>41</v>
      </c>
      <c r="AB166" t="n">
        <v>1</v>
      </c>
      <c r="AC166" t="n">
        <v>1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HYPERLINK("https://creighton-primo.hosted.exlibrisgroup.com/primo-explore/search?tab=default_tab&amp;search_scope=EVERYTHING&amp;vid=01CRU&amp;lang=en_US&amp;offset=0&amp;query=any,contains,991004405339702656","Catalog Record")</f>
        <v/>
      </c>
      <c r="AT166">
        <f>HYPERLINK("http://www.worldcat.org/oclc/3320000","WorldCat Record")</f>
        <v/>
      </c>
      <c r="AU166" t="inlineStr">
        <is>
          <t>1810270856:eng</t>
        </is>
      </c>
      <c r="AV166" t="inlineStr">
        <is>
          <t>3320000</t>
        </is>
      </c>
      <c r="AW166" t="inlineStr">
        <is>
          <t>991004405339702656</t>
        </is>
      </c>
      <c r="AX166" t="inlineStr">
        <is>
          <t>991004405339702656</t>
        </is>
      </c>
      <c r="AY166" t="inlineStr">
        <is>
          <t>2272520650002656</t>
        </is>
      </c>
      <c r="AZ166" t="inlineStr">
        <is>
          <t>BOOK</t>
        </is>
      </c>
      <c r="BC166" t="inlineStr">
        <is>
          <t>32285003411294</t>
        </is>
      </c>
      <c r="BD166" t="inlineStr">
        <is>
          <t>893876068</t>
        </is>
      </c>
    </row>
    <row r="167">
      <c r="A167" t="inlineStr">
        <is>
          <t>No</t>
        </is>
      </c>
      <c r="B167" t="inlineStr">
        <is>
          <t>PC4121 .C27 1966</t>
        </is>
      </c>
      <c r="C167" t="inlineStr">
        <is>
          <t>0                      PC 4121000C  27          1966</t>
        </is>
      </c>
      <c r="D167" t="inlineStr">
        <is>
          <t>Spanish for retail selling : a comprehensive manual with conversation and vocabulary used in all phases of retail selling = Inglés comercial : manual con la conversación y el vocabulario usados en el comercio / Antonio Carbajo.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Carbajo, Antonio.</t>
        </is>
      </c>
      <c r="L167" t="inlineStr">
        <is>
          <t>[Miami Springs, Fla. : Language Research Press], 1966.</t>
        </is>
      </c>
      <c r="M167" t="inlineStr">
        <is>
          <t>1966</t>
        </is>
      </c>
      <c r="O167" t="inlineStr">
        <is>
          <t>eng</t>
        </is>
      </c>
      <c r="P167" t="inlineStr">
        <is>
          <t>flu</t>
        </is>
      </c>
      <c r="R167" t="inlineStr">
        <is>
          <t xml:space="preserve">PC </t>
        </is>
      </c>
      <c r="S167" t="n">
        <v>1</v>
      </c>
      <c r="T167" t="n">
        <v>1</v>
      </c>
      <c r="U167" t="inlineStr">
        <is>
          <t>2001-09-14</t>
        </is>
      </c>
      <c r="V167" t="inlineStr">
        <is>
          <t>2001-09-14</t>
        </is>
      </c>
      <c r="W167" t="inlineStr">
        <is>
          <t>1998-05-21</t>
        </is>
      </c>
      <c r="X167" t="inlineStr">
        <is>
          <t>1998-05-21</t>
        </is>
      </c>
      <c r="Y167" t="n">
        <v>39</v>
      </c>
      <c r="Z167" t="n">
        <v>39</v>
      </c>
      <c r="AA167" t="n">
        <v>39</v>
      </c>
      <c r="AB167" t="n">
        <v>1</v>
      </c>
      <c r="AC167" t="n">
        <v>1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inlineStr">
        <is>
          <t>No</t>
        </is>
      </c>
      <c r="AQ167" t="inlineStr">
        <is>
          <t>No</t>
        </is>
      </c>
      <c r="AS167">
        <f>HYPERLINK("https://creighton-primo.hosted.exlibrisgroup.com/primo-explore/search?tab=default_tab&amp;search_scope=EVERYTHING&amp;vid=01CRU&amp;lang=en_US&amp;offset=0&amp;query=any,contains,991004372009702656","Catalog Record")</f>
        <v/>
      </c>
      <c r="AT167">
        <f>HYPERLINK("http://www.worldcat.org/oclc/3196169","WorldCat Record")</f>
        <v/>
      </c>
      <c r="AU167" t="inlineStr">
        <is>
          <t>1809334611:eng</t>
        </is>
      </c>
      <c r="AV167" t="inlineStr">
        <is>
          <t>3196169</t>
        </is>
      </c>
      <c r="AW167" t="inlineStr">
        <is>
          <t>991004372009702656</t>
        </is>
      </c>
      <c r="AX167" t="inlineStr">
        <is>
          <t>991004372009702656</t>
        </is>
      </c>
      <c r="AY167" t="inlineStr">
        <is>
          <t>2263216460002656</t>
        </is>
      </c>
      <c r="AZ167" t="inlineStr">
        <is>
          <t>BOOK</t>
        </is>
      </c>
      <c r="BC167" t="inlineStr">
        <is>
          <t>32285003411310</t>
        </is>
      </c>
      <c r="BD167" t="inlineStr">
        <is>
          <t>893259650</t>
        </is>
      </c>
    </row>
    <row r="168">
      <c r="A168" t="inlineStr">
        <is>
          <t>No</t>
        </is>
      </c>
      <c r="B168" t="inlineStr">
        <is>
          <t>PC4121 .C28 1963</t>
        </is>
      </c>
      <c r="C168" t="inlineStr">
        <is>
          <t>0                      PC 4121000C  28          1963</t>
        </is>
      </c>
      <c r="D168" t="inlineStr">
        <is>
          <t>Spanish for doctors, dentists, oculists, optometrists and nurses / compiled by Antonio Carbajo.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Carbajo, Antonio.</t>
        </is>
      </c>
      <c r="L168" t="inlineStr">
        <is>
          <t>Miami Springs, Fla. : Language Research Press, c1963.</t>
        </is>
      </c>
      <c r="M168" t="inlineStr">
        <is>
          <t>1963</t>
        </is>
      </c>
      <c r="N168" t="inlineStr">
        <is>
          <t>3d ed.</t>
        </is>
      </c>
      <c r="O168" t="inlineStr">
        <is>
          <t>eng</t>
        </is>
      </c>
      <c r="P168" t="inlineStr">
        <is>
          <t>flu</t>
        </is>
      </c>
      <c r="R168" t="inlineStr">
        <is>
          <t xml:space="preserve">PC </t>
        </is>
      </c>
      <c r="S168" t="n">
        <v>1</v>
      </c>
      <c r="T168" t="n">
        <v>1</v>
      </c>
      <c r="U168" t="inlineStr">
        <is>
          <t>2001-05-23</t>
        </is>
      </c>
      <c r="V168" t="inlineStr">
        <is>
          <t>2001-05-23</t>
        </is>
      </c>
      <c r="W168" t="inlineStr">
        <is>
          <t>1998-05-21</t>
        </is>
      </c>
      <c r="X168" t="inlineStr">
        <is>
          <t>1998-05-21</t>
        </is>
      </c>
      <c r="Y168" t="n">
        <v>39</v>
      </c>
      <c r="Z168" t="n">
        <v>38</v>
      </c>
      <c r="AA168" t="n">
        <v>47</v>
      </c>
      <c r="AB168" t="n">
        <v>1</v>
      </c>
      <c r="AC168" t="n">
        <v>1</v>
      </c>
      <c r="AD168" t="n">
        <v>1</v>
      </c>
      <c r="AE168" t="n">
        <v>1</v>
      </c>
      <c r="AF168" t="n">
        <v>0</v>
      </c>
      <c r="AG168" t="n">
        <v>0</v>
      </c>
      <c r="AH168" t="n">
        <v>0</v>
      </c>
      <c r="AI168" t="n">
        <v>0</v>
      </c>
      <c r="AJ168" t="n">
        <v>1</v>
      </c>
      <c r="AK168" t="n">
        <v>1</v>
      </c>
      <c r="AL168" t="n">
        <v>0</v>
      </c>
      <c r="AM168" t="n">
        <v>0</v>
      </c>
      <c r="AN168" t="n">
        <v>0</v>
      </c>
      <c r="AO168" t="n">
        <v>0</v>
      </c>
      <c r="AP168" t="inlineStr">
        <is>
          <t>No</t>
        </is>
      </c>
      <c r="AQ168" t="inlineStr">
        <is>
          <t>No</t>
        </is>
      </c>
      <c r="AS168">
        <f>HYPERLINK("https://creighton-primo.hosted.exlibrisgroup.com/primo-explore/search?tab=default_tab&amp;search_scope=EVERYTHING&amp;vid=01CRU&amp;lang=en_US&amp;offset=0&amp;query=any,contains,991004284079702656","Catalog Record")</f>
        <v/>
      </c>
      <c r="AT168">
        <f>HYPERLINK("http://www.worldcat.org/oclc/2918302","WorldCat Record")</f>
        <v/>
      </c>
      <c r="AU168" t="inlineStr">
        <is>
          <t>2302358:eng</t>
        </is>
      </c>
      <c r="AV168" t="inlineStr">
        <is>
          <t>2918302</t>
        </is>
      </c>
      <c r="AW168" t="inlineStr">
        <is>
          <t>991004284079702656</t>
        </is>
      </c>
      <c r="AX168" t="inlineStr">
        <is>
          <t>991004284079702656</t>
        </is>
      </c>
      <c r="AY168" t="inlineStr">
        <is>
          <t>2269226080002656</t>
        </is>
      </c>
      <c r="AZ168" t="inlineStr">
        <is>
          <t>BOOK</t>
        </is>
      </c>
      <c r="BC168" t="inlineStr">
        <is>
          <t>32285003411328</t>
        </is>
      </c>
      <c r="BD168" t="inlineStr">
        <is>
          <t>893706186</t>
        </is>
      </c>
    </row>
    <row r="169">
      <c r="A169" t="inlineStr">
        <is>
          <t>No</t>
        </is>
      </c>
      <c r="B169" t="inlineStr">
        <is>
          <t>PC4121 .L43 1997</t>
        </is>
      </c>
      <c r="C169" t="inlineStr">
        <is>
          <t>0                      PC 4121000L  43          1997</t>
        </is>
      </c>
      <c r="D169" t="inlineStr">
        <is>
          <t>Responde en español / Nilda Lebrón Montás ; [traducción al inglés, Fabeka Lebrón].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Lebrón Montás, Nilda.</t>
        </is>
      </c>
      <c r="L169" t="inlineStr">
        <is>
          <t>Santo Domingo, República Dominicana : [s.n.], 1997</t>
        </is>
      </c>
      <c r="M169" t="inlineStr">
        <is>
          <t>1997</t>
        </is>
      </c>
      <c r="N169" t="inlineStr">
        <is>
          <t>1. ed.</t>
        </is>
      </c>
      <c r="O169" t="inlineStr">
        <is>
          <t>spa</t>
        </is>
      </c>
      <c r="P169" t="inlineStr">
        <is>
          <t xml:space="preserve">dr </t>
        </is>
      </c>
      <c r="R169" t="inlineStr">
        <is>
          <t xml:space="preserve">PC </t>
        </is>
      </c>
      <c r="S169" t="n">
        <v>1</v>
      </c>
      <c r="T169" t="n">
        <v>1</v>
      </c>
      <c r="U169" t="inlineStr">
        <is>
          <t>2007-11-13</t>
        </is>
      </c>
      <c r="V169" t="inlineStr">
        <is>
          <t>2007-11-13</t>
        </is>
      </c>
      <c r="W169" t="inlineStr">
        <is>
          <t>2003-12-09</t>
        </is>
      </c>
      <c r="X169" t="inlineStr">
        <is>
          <t>2003-12-09</t>
        </is>
      </c>
      <c r="Y169" t="n">
        <v>1</v>
      </c>
      <c r="Z169" t="n">
        <v>1</v>
      </c>
      <c r="AA169" t="n">
        <v>1</v>
      </c>
      <c r="AB169" t="n">
        <v>1</v>
      </c>
      <c r="AC169" t="n">
        <v>1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HYPERLINK("https://creighton-primo.hosted.exlibrisgroup.com/primo-explore/search?tab=default_tab&amp;search_scope=EVERYTHING&amp;vid=01CRU&amp;lang=en_US&amp;offset=0&amp;query=any,contains,991004202939702656","Catalog Record")</f>
        <v/>
      </c>
      <c r="AT169">
        <f>HYPERLINK("http://www.worldcat.org/oclc/53698556","WorldCat Record")</f>
        <v/>
      </c>
      <c r="AU169" t="inlineStr">
        <is>
          <t>12773334:spa</t>
        </is>
      </c>
      <c r="AV169" t="inlineStr">
        <is>
          <t>53698556</t>
        </is>
      </c>
      <c r="AW169" t="inlineStr">
        <is>
          <t>991004202939702656</t>
        </is>
      </c>
      <c r="AX169" t="inlineStr">
        <is>
          <t>991004202939702656</t>
        </is>
      </c>
      <c r="AY169" t="inlineStr">
        <is>
          <t>2256822220002656</t>
        </is>
      </c>
      <c r="AZ169" t="inlineStr">
        <is>
          <t>BOOK</t>
        </is>
      </c>
      <c r="BC169" t="inlineStr">
        <is>
          <t>32285004887468</t>
        </is>
      </c>
      <c r="BD169" t="inlineStr">
        <is>
          <t>893241146</t>
        </is>
      </c>
    </row>
    <row r="170">
      <c r="A170" t="inlineStr">
        <is>
          <t>No</t>
        </is>
      </c>
      <c r="B170" t="inlineStr">
        <is>
          <t>PC4127.G3 S3</t>
        </is>
      </c>
      <c r="C170" t="inlineStr">
        <is>
          <t>0                      PC 4127000G  3                  S  3</t>
        </is>
      </c>
      <c r="D170" t="inlineStr">
        <is>
          <t>Vida gaucha, by Hilario Sáenz and Lloyd D. Teale ... Illustrations by Florencio Molina Campos.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Saenz, Hilario.</t>
        </is>
      </c>
      <c r="L170" t="inlineStr">
        <is>
          <t>New York, F. S. Crofts &amp; Co., inc., 1946.</t>
        </is>
      </c>
      <c r="M170" t="inlineStr">
        <is>
          <t>1946</t>
        </is>
      </c>
      <c r="O170" t="inlineStr">
        <is>
          <t>spa</t>
        </is>
      </c>
      <c r="P170" t="inlineStr">
        <is>
          <t xml:space="preserve">xx </t>
        </is>
      </c>
      <c r="R170" t="inlineStr">
        <is>
          <t xml:space="preserve">PC </t>
        </is>
      </c>
      <c r="S170" t="n">
        <v>1</v>
      </c>
      <c r="T170" t="n">
        <v>1</v>
      </c>
      <c r="U170" t="inlineStr">
        <is>
          <t>2007-10-12</t>
        </is>
      </c>
      <c r="V170" t="inlineStr">
        <is>
          <t>2007-10-12</t>
        </is>
      </c>
      <c r="W170" t="inlineStr">
        <is>
          <t>1997-09-12</t>
        </is>
      </c>
      <c r="X170" t="inlineStr">
        <is>
          <t>1997-09-12</t>
        </is>
      </c>
      <c r="Y170" t="n">
        <v>74</v>
      </c>
      <c r="Z170" t="n">
        <v>70</v>
      </c>
      <c r="AA170" t="n">
        <v>72</v>
      </c>
      <c r="AB170" t="n">
        <v>1</v>
      </c>
      <c r="AC170" t="n">
        <v>1</v>
      </c>
      <c r="AD170" t="n">
        <v>1</v>
      </c>
      <c r="AE170" t="n">
        <v>1</v>
      </c>
      <c r="AF170" t="n">
        <v>0</v>
      </c>
      <c r="AG170" t="n">
        <v>0</v>
      </c>
      <c r="AH170" t="n">
        <v>1</v>
      </c>
      <c r="AI170" t="n">
        <v>1</v>
      </c>
      <c r="AJ170" t="n">
        <v>0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HYPERLINK("http://catalog.hathitrust.org/Record/101395658","HathiTrust Record")</f>
        <v/>
      </c>
      <c r="AS170">
        <f>HYPERLINK("https://creighton-primo.hosted.exlibrisgroup.com/primo-explore/search?tab=default_tab&amp;search_scope=EVERYTHING&amp;vid=01CRU&amp;lang=en_US&amp;offset=0&amp;query=any,contains,991004004939702656","Catalog Record")</f>
        <v/>
      </c>
      <c r="AT170">
        <f>HYPERLINK("http://www.worldcat.org/oclc/2082445","WorldCat Record")</f>
        <v/>
      </c>
      <c r="AU170" t="inlineStr">
        <is>
          <t>4147335:spa</t>
        </is>
      </c>
      <c r="AV170" t="inlineStr">
        <is>
          <t>2082445</t>
        </is>
      </c>
      <c r="AW170" t="inlineStr">
        <is>
          <t>991004004939702656</t>
        </is>
      </c>
      <c r="AX170" t="inlineStr">
        <is>
          <t>991004004939702656</t>
        </is>
      </c>
      <c r="AY170" t="inlineStr">
        <is>
          <t>2257156080002656</t>
        </is>
      </c>
      <c r="AZ170" t="inlineStr">
        <is>
          <t>BOOK</t>
        </is>
      </c>
      <c r="BC170" t="inlineStr">
        <is>
          <t>32285003226221</t>
        </is>
      </c>
      <c r="BD170" t="inlineStr">
        <is>
          <t>893337232</t>
        </is>
      </c>
    </row>
    <row r="171">
      <c r="A171" t="inlineStr">
        <is>
          <t>No</t>
        </is>
      </c>
      <c r="B171" t="inlineStr">
        <is>
          <t>PC4127.G4 G72</t>
        </is>
      </c>
      <c r="C171" t="inlineStr">
        <is>
          <t>0                      PC 4127000G  4                  G  72</t>
        </is>
      </c>
      <c r="D171" t="inlineStr">
        <is>
          <t>Buenos amigos, buenos vecinos, by Raymond L. Grismer ... and César I. Arroyo ... illustrated by Melva Teubner.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Grismer, Raymond L. (Raymond Leonard), 1895-1979.</t>
        </is>
      </c>
      <c r="L171" t="inlineStr">
        <is>
          <t>New York, Cincinnati [etc.] American Book Company [1943]</t>
        </is>
      </c>
      <c r="M171" t="inlineStr">
        <is>
          <t>1943</t>
        </is>
      </c>
      <c r="O171" t="inlineStr">
        <is>
          <t>spa</t>
        </is>
      </c>
      <c r="P171" t="inlineStr">
        <is>
          <t>nyu</t>
        </is>
      </c>
      <c r="R171" t="inlineStr">
        <is>
          <t xml:space="preserve">PC </t>
        </is>
      </c>
      <c r="S171" t="n">
        <v>1</v>
      </c>
      <c r="T171" t="n">
        <v>1</v>
      </c>
      <c r="U171" t="inlineStr">
        <is>
          <t>2007-10-17</t>
        </is>
      </c>
      <c r="V171" t="inlineStr">
        <is>
          <t>2007-10-17</t>
        </is>
      </c>
      <c r="W171" t="inlineStr">
        <is>
          <t>1997-09-12</t>
        </is>
      </c>
      <c r="X171" t="inlineStr">
        <is>
          <t>1997-09-12</t>
        </is>
      </c>
      <c r="Y171" t="n">
        <v>72</v>
      </c>
      <c r="Z171" t="n">
        <v>65</v>
      </c>
      <c r="AA171" t="n">
        <v>67</v>
      </c>
      <c r="AB171" t="n">
        <v>1</v>
      </c>
      <c r="AC171" t="n">
        <v>1</v>
      </c>
      <c r="AD171" t="n">
        <v>4</v>
      </c>
      <c r="AE171" t="n">
        <v>4</v>
      </c>
      <c r="AF171" t="n">
        <v>3</v>
      </c>
      <c r="AG171" t="n">
        <v>3</v>
      </c>
      <c r="AH171" t="n">
        <v>1</v>
      </c>
      <c r="AI171" t="n">
        <v>1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inlineStr">
        <is>
          <t>No</t>
        </is>
      </c>
      <c r="AQ171" t="inlineStr">
        <is>
          <t>Yes</t>
        </is>
      </c>
      <c r="AR171">
        <f>HYPERLINK("http://catalog.hathitrust.org/Record/101005058","HathiTrust Record")</f>
        <v/>
      </c>
      <c r="AS171">
        <f>HYPERLINK("https://creighton-primo.hosted.exlibrisgroup.com/primo-explore/search?tab=default_tab&amp;search_scope=EVERYTHING&amp;vid=01CRU&amp;lang=en_US&amp;offset=0&amp;query=any,contains,991003866889702656","Catalog Record")</f>
        <v/>
      </c>
      <c r="AT171">
        <f>HYPERLINK("http://www.worldcat.org/oclc/1680417","WorldCat Record")</f>
        <v/>
      </c>
      <c r="AU171" t="inlineStr">
        <is>
          <t>2524605:spa</t>
        </is>
      </c>
      <c r="AV171" t="inlineStr">
        <is>
          <t>1680417</t>
        </is>
      </c>
      <c r="AW171" t="inlineStr">
        <is>
          <t>991003866889702656</t>
        </is>
      </c>
      <c r="AX171" t="inlineStr">
        <is>
          <t>991003866889702656</t>
        </is>
      </c>
      <c r="AY171" t="inlineStr">
        <is>
          <t>2256071620002656</t>
        </is>
      </c>
      <c r="AZ171" t="inlineStr">
        <is>
          <t>BOOK</t>
        </is>
      </c>
      <c r="BC171" t="inlineStr">
        <is>
          <t>32285003226239</t>
        </is>
      </c>
      <c r="BD171" t="inlineStr">
        <is>
          <t>893627826</t>
        </is>
      </c>
    </row>
    <row r="172">
      <c r="A172" t="inlineStr">
        <is>
          <t>No</t>
        </is>
      </c>
      <c r="B172" t="inlineStr">
        <is>
          <t>PC4127.H5 T4</t>
        </is>
      </c>
      <c r="C172" t="inlineStr">
        <is>
          <t>0                      PC 4127000H  5                  T  4</t>
        </is>
      </c>
      <c r="D172" t="inlineStr">
        <is>
          <t>España y la América española (bocetos y cuentos) by Giovanni Terzano ...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Terzano, Giovanni.</t>
        </is>
      </c>
      <c r="L172" t="inlineStr">
        <is>
          <t>Philadelphia, Chicago, The John C. Winston Company [c1921]</t>
        </is>
      </c>
      <c r="M172" t="inlineStr">
        <is>
          <t>1921</t>
        </is>
      </c>
      <c r="O172" t="inlineStr">
        <is>
          <t>spa</t>
        </is>
      </c>
      <c r="P172" t="inlineStr">
        <is>
          <t>pau</t>
        </is>
      </c>
      <c r="Q172" t="inlineStr">
        <is>
          <t>The Winston modern language series</t>
        </is>
      </c>
      <c r="R172" t="inlineStr">
        <is>
          <t xml:space="preserve">PC </t>
        </is>
      </c>
      <c r="S172" t="n">
        <v>1</v>
      </c>
      <c r="T172" t="n">
        <v>1</v>
      </c>
      <c r="U172" t="inlineStr">
        <is>
          <t>2003-07-21</t>
        </is>
      </c>
      <c r="V172" t="inlineStr">
        <is>
          <t>2003-07-21</t>
        </is>
      </c>
      <c r="W172" t="inlineStr">
        <is>
          <t>1997-09-12</t>
        </is>
      </c>
      <c r="X172" t="inlineStr">
        <is>
          <t>1997-09-12</t>
        </is>
      </c>
      <c r="Y172" t="n">
        <v>43</v>
      </c>
      <c r="Z172" t="n">
        <v>42</v>
      </c>
      <c r="AA172" t="n">
        <v>50</v>
      </c>
      <c r="AB172" t="n">
        <v>1</v>
      </c>
      <c r="AC172" t="n">
        <v>1</v>
      </c>
      <c r="AD172" t="n">
        <v>7</v>
      </c>
      <c r="AE172" t="n">
        <v>7</v>
      </c>
      <c r="AF172" t="n">
        <v>1</v>
      </c>
      <c r="AG172" t="n">
        <v>1</v>
      </c>
      <c r="AH172" t="n">
        <v>2</v>
      </c>
      <c r="AI172" t="n">
        <v>2</v>
      </c>
      <c r="AJ172" t="n">
        <v>7</v>
      </c>
      <c r="AK172" t="n">
        <v>7</v>
      </c>
      <c r="AL172" t="n">
        <v>0</v>
      </c>
      <c r="AM172" t="n">
        <v>0</v>
      </c>
      <c r="AN172" t="n">
        <v>0</v>
      </c>
      <c r="AO172" t="n">
        <v>0</v>
      </c>
      <c r="AP172" t="inlineStr">
        <is>
          <t>Yes</t>
        </is>
      </c>
      <c r="AQ172" t="inlineStr">
        <is>
          <t>No</t>
        </is>
      </c>
      <c r="AR172">
        <f>HYPERLINK("http://catalog.hathitrust.org/Record/006537780","HathiTrust Record")</f>
        <v/>
      </c>
      <c r="AS172">
        <f>HYPERLINK("https://creighton-primo.hosted.exlibrisgroup.com/primo-explore/search?tab=default_tab&amp;search_scope=EVERYTHING&amp;vid=01CRU&amp;lang=en_US&amp;offset=0&amp;query=any,contains,991005065009702656","Catalog Record")</f>
        <v/>
      </c>
      <c r="AT172">
        <f>HYPERLINK("http://www.worldcat.org/oclc/6945245","WorldCat Record")</f>
        <v/>
      </c>
      <c r="AU172" t="inlineStr">
        <is>
          <t>23295280:spa</t>
        </is>
      </c>
      <c r="AV172" t="inlineStr">
        <is>
          <t>6945245</t>
        </is>
      </c>
      <c r="AW172" t="inlineStr">
        <is>
          <t>991005065009702656</t>
        </is>
      </c>
      <c r="AX172" t="inlineStr">
        <is>
          <t>991005065009702656</t>
        </is>
      </c>
      <c r="AY172" t="inlineStr">
        <is>
          <t>2254755310002656</t>
        </is>
      </c>
      <c r="AZ172" t="inlineStr">
        <is>
          <t>BOOK</t>
        </is>
      </c>
      <c r="BC172" t="inlineStr">
        <is>
          <t>32285003226296</t>
        </is>
      </c>
      <c r="BD172" t="inlineStr">
        <is>
          <t>893795551</t>
        </is>
      </c>
    </row>
    <row r="173">
      <c r="A173" t="inlineStr">
        <is>
          <t>No</t>
        </is>
      </c>
      <c r="B173" t="inlineStr">
        <is>
          <t>PC4127.S63 K38 1995</t>
        </is>
      </c>
      <c r="C173" t="inlineStr">
        <is>
          <t>0                      PC 4127000S  63                 K  38          1995</t>
        </is>
      </c>
      <c r="D173" t="inlineStr">
        <is>
          <t>Perspectivas culturales de España / Juan Kattán-Ibarra.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Yes</t>
        </is>
      </c>
      <c r="J173" t="inlineStr">
        <is>
          <t>0</t>
        </is>
      </c>
      <c r="K173" t="inlineStr">
        <is>
          <t>Kattán-Ibarra, Juan.</t>
        </is>
      </c>
      <c r="L173" t="inlineStr">
        <is>
          <t>Lincolnwood, Ill., USA : National Textbook Co., c1989.</t>
        </is>
      </c>
      <c r="M173" t="inlineStr">
        <is>
          <t>1995</t>
        </is>
      </c>
      <c r="N173" t="inlineStr">
        <is>
          <t>2nd ed.</t>
        </is>
      </c>
      <c r="O173" t="inlineStr">
        <is>
          <t>spa</t>
        </is>
      </c>
      <c r="P173" t="inlineStr">
        <is>
          <t>ilu</t>
        </is>
      </c>
      <c r="R173" t="inlineStr">
        <is>
          <t xml:space="preserve">PC </t>
        </is>
      </c>
      <c r="S173" t="n">
        <v>2</v>
      </c>
      <c r="T173" t="n">
        <v>2</v>
      </c>
      <c r="U173" t="inlineStr">
        <is>
          <t>2007-03-13</t>
        </is>
      </c>
      <c r="V173" t="inlineStr">
        <is>
          <t>2007-03-13</t>
        </is>
      </c>
      <c r="W173" t="inlineStr">
        <is>
          <t>2005-03-02</t>
        </is>
      </c>
      <c r="X173" t="inlineStr">
        <is>
          <t>2005-03-02</t>
        </is>
      </c>
      <c r="Y173" t="n">
        <v>110</v>
      </c>
      <c r="Z173" t="n">
        <v>91</v>
      </c>
      <c r="AA173" t="n">
        <v>147</v>
      </c>
      <c r="AB173" t="n">
        <v>3</v>
      </c>
      <c r="AC173" t="n">
        <v>3</v>
      </c>
      <c r="AD173" t="n">
        <v>5</v>
      </c>
      <c r="AE173" t="n">
        <v>5</v>
      </c>
      <c r="AF173" t="n">
        <v>2</v>
      </c>
      <c r="AG173" t="n">
        <v>2</v>
      </c>
      <c r="AH173" t="n">
        <v>1</v>
      </c>
      <c r="AI173" t="n">
        <v>1</v>
      </c>
      <c r="AJ173" t="n">
        <v>1</v>
      </c>
      <c r="AK173" t="n">
        <v>1</v>
      </c>
      <c r="AL173" t="n">
        <v>2</v>
      </c>
      <c r="AM173" t="n">
        <v>2</v>
      </c>
      <c r="AN173" t="n">
        <v>0</v>
      </c>
      <c r="AO173" t="n">
        <v>0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HYPERLINK("http://catalog.hathitrust.org/Record/006956890","HathiTrust Record")</f>
        <v/>
      </c>
      <c r="AS173">
        <f>HYPERLINK("https://creighton-primo.hosted.exlibrisgroup.com/primo-explore/search?tab=default_tab&amp;search_scope=EVERYTHING&amp;vid=01CRU&amp;lang=en_US&amp;offset=0&amp;query=any,contains,991004490229702656","Catalog Record")</f>
        <v/>
      </c>
      <c r="AT173">
        <f>HYPERLINK("http://www.worldcat.org/oclc/31035363","WorldCat Record")</f>
        <v/>
      </c>
      <c r="AU173" t="inlineStr">
        <is>
          <t>21845758:spa</t>
        </is>
      </c>
      <c r="AV173" t="inlineStr">
        <is>
          <t>31035363</t>
        </is>
      </c>
      <c r="AW173" t="inlineStr">
        <is>
          <t>991004490229702656</t>
        </is>
      </c>
      <c r="AX173" t="inlineStr">
        <is>
          <t>991004490229702656</t>
        </is>
      </c>
      <c r="AY173" t="inlineStr">
        <is>
          <t>2265723870002656</t>
        </is>
      </c>
      <c r="AZ173" t="inlineStr">
        <is>
          <t>BOOK</t>
        </is>
      </c>
      <c r="BB173" t="inlineStr">
        <is>
          <t>9780844271590</t>
        </is>
      </c>
      <c r="BC173" t="inlineStr">
        <is>
          <t>32285005028864</t>
        </is>
      </c>
      <c r="BD173" t="inlineStr">
        <is>
          <t>893343895</t>
        </is>
      </c>
    </row>
    <row r="174">
      <c r="A174" t="inlineStr">
        <is>
          <t>No</t>
        </is>
      </c>
      <c r="B174" t="inlineStr">
        <is>
          <t>PC4127.S63 K38 1995 Supp.</t>
        </is>
      </c>
      <c r="C174" t="inlineStr">
        <is>
          <t>0                      PC 4127000S  63                 K  38          1995                  Supp.</t>
        </is>
      </c>
      <c r="D174" t="inlineStr">
        <is>
          <t>Instructor's manual Perspectivas culturales de espãna / Juan Kattán-Ibarra.</t>
        </is>
      </c>
      <c r="E174" t="inlineStr">
        <is>
          <t>Supp.*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Yes</t>
        </is>
      </c>
      <c r="J174" t="inlineStr">
        <is>
          <t>0</t>
        </is>
      </c>
      <c r="K174" t="inlineStr">
        <is>
          <t>Kattán-Ibarra, Juan.</t>
        </is>
      </c>
      <c r="L174" t="inlineStr">
        <is>
          <t>Lincolnwood, Ill.: National Textbook Co., c1995.</t>
        </is>
      </c>
      <c r="M174" t="inlineStr">
        <is>
          <t>1995</t>
        </is>
      </c>
      <c r="N174" t="inlineStr">
        <is>
          <t>2d ed., Teacher's ed.</t>
        </is>
      </c>
      <c r="O174" t="inlineStr">
        <is>
          <t>spa</t>
        </is>
      </c>
      <c r="P174" t="inlineStr">
        <is>
          <t>ilu</t>
        </is>
      </c>
      <c r="R174" t="inlineStr">
        <is>
          <t xml:space="preserve">PC </t>
        </is>
      </c>
      <c r="S174" t="n">
        <v>2</v>
      </c>
      <c r="T174" t="n">
        <v>2</v>
      </c>
      <c r="U174" t="inlineStr">
        <is>
          <t>2005-03-02</t>
        </is>
      </c>
      <c r="V174" t="inlineStr">
        <is>
          <t>2005-03-02</t>
        </is>
      </c>
      <c r="W174" t="inlineStr">
        <is>
          <t>2005-03-02</t>
        </is>
      </c>
      <c r="X174" t="inlineStr">
        <is>
          <t>2005-03-02</t>
        </is>
      </c>
      <c r="Y174" t="n">
        <v>7</v>
      </c>
      <c r="Z174" t="n">
        <v>5</v>
      </c>
      <c r="AA174" t="n">
        <v>147</v>
      </c>
      <c r="AB174" t="n">
        <v>1</v>
      </c>
      <c r="AC174" t="n">
        <v>3</v>
      </c>
      <c r="AD174" t="n">
        <v>0</v>
      </c>
      <c r="AE174" t="n">
        <v>5</v>
      </c>
      <c r="AF174" t="n">
        <v>0</v>
      </c>
      <c r="AG174" t="n">
        <v>2</v>
      </c>
      <c r="AH174" t="n">
        <v>0</v>
      </c>
      <c r="AI174" t="n">
        <v>1</v>
      </c>
      <c r="AJ174" t="n">
        <v>0</v>
      </c>
      <c r="AK174" t="n">
        <v>1</v>
      </c>
      <c r="AL174" t="n">
        <v>0</v>
      </c>
      <c r="AM174" t="n">
        <v>2</v>
      </c>
      <c r="AN174" t="n">
        <v>0</v>
      </c>
      <c r="AO174" t="n">
        <v>0</v>
      </c>
      <c r="AP174" t="inlineStr">
        <is>
          <t>No</t>
        </is>
      </c>
      <c r="AQ174" t="inlineStr">
        <is>
          <t>Yes</t>
        </is>
      </c>
      <c r="AR174">
        <f>HYPERLINK("http://catalog.hathitrust.org/Record/007044730","HathiTrust Record")</f>
        <v/>
      </c>
      <c r="AS174">
        <f>HYPERLINK("https://creighton-primo.hosted.exlibrisgroup.com/primo-explore/search?tab=default_tab&amp;search_scope=EVERYTHING&amp;vid=01CRU&amp;lang=en_US&amp;offset=0&amp;query=any,contains,991004490289702656","Catalog Record")</f>
        <v/>
      </c>
      <c r="AT174">
        <f>HYPERLINK("http://www.worldcat.org/oclc/33417663","WorldCat Record")</f>
        <v/>
      </c>
      <c r="AU174" t="inlineStr">
        <is>
          <t>21845758:spa</t>
        </is>
      </c>
      <c r="AV174" t="inlineStr">
        <is>
          <t>33417663</t>
        </is>
      </c>
      <c r="AW174" t="inlineStr">
        <is>
          <t>991004490289702656</t>
        </is>
      </c>
      <c r="AX174" t="inlineStr">
        <is>
          <t>991004490289702656</t>
        </is>
      </c>
      <c r="AY174" t="inlineStr">
        <is>
          <t>2271644470002656</t>
        </is>
      </c>
      <c r="AZ174" t="inlineStr">
        <is>
          <t>BOOK</t>
        </is>
      </c>
      <c r="BB174" t="inlineStr">
        <is>
          <t>9780844271620</t>
        </is>
      </c>
      <c r="BC174" t="inlineStr">
        <is>
          <t>32285005028997</t>
        </is>
      </c>
      <c r="BD174" t="inlineStr">
        <is>
          <t>893500634</t>
        </is>
      </c>
    </row>
    <row r="175">
      <c r="A175" t="inlineStr">
        <is>
          <t>No</t>
        </is>
      </c>
      <c r="B175" t="inlineStr">
        <is>
          <t>PC4131 .G66 2002</t>
        </is>
      </c>
      <c r="C175" t="inlineStr">
        <is>
          <t>0                      PC 4131000G  66          2002</t>
        </is>
      </c>
      <c r="D175" t="inlineStr">
        <is>
          <t>Fonetología general e hispánica / Carlisle González Tapia.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González Tapia, Carlisle.</t>
        </is>
      </c>
      <c r="L175" t="inlineStr">
        <is>
          <t>Santo Domingo, R.D. : Ediciones Tapia, 2002.</t>
        </is>
      </c>
      <c r="M175" t="inlineStr">
        <is>
          <t>2002</t>
        </is>
      </c>
      <c r="N175" t="inlineStr">
        <is>
          <t>2. ed.</t>
        </is>
      </c>
      <c r="O175" t="inlineStr">
        <is>
          <t>spa</t>
        </is>
      </c>
      <c r="P175" t="inlineStr">
        <is>
          <t xml:space="preserve">dr </t>
        </is>
      </c>
      <c r="Q175" t="inlineStr">
        <is>
          <t>Publicaciones de la Universidad Autónoma de Santo Domingo ; v. 1050. Colección Lingüistica y sociedad ; no. 24</t>
        </is>
      </c>
      <c r="R175" t="inlineStr">
        <is>
          <t xml:space="preserve">PC </t>
        </is>
      </c>
      <c r="S175" t="n">
        <v>1</v>
      </c>
      <c r="T175" t="n">
        <v>1</v>
      </c>
      <c r="U175" t="inlineStr">
        <is>
          <t>2003-05-19</t>
        </is>
      </c>
      <c r="V175" t="inlineStr">
        <is>
          <t>2003-05-19</t>
        </is>
      </c>
      <c r="W175" t="inlineStr">
        <is>
          <t>2003-05-19</t>
        </is>
      </c>
      <c r="X175" t="inlineStr">
        <is>
          <t>2003-05-19</t>
        </is>
      </c>
      <c r="Y175" t="n">
        <v>5</v>
      </c>
      <c r="Z175" t="n">
        <v>3</v>
      </c>
      <c r="AA175" t="n">
        <v>3</v>
      </c>
      <c r="AB175" t="n">
        <v>1</v>
      </c>
      <c r="AC175" t="n">
        <v>1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inlineStr">
        <is>
          <t>No</t>
        </is>
      </c>
      <c r="AQ175" t="inlineStr">
        <is>
          <t>No</t>
        </is>
      </c>
      <c r="AS175">
        <f>HYPERLINK("https://creighton-primo.hosted.exlibrisgroup.com/primo-explore/search?tab=default_tab&amp;search_scope=EVERYTHING&amp;vid=01CRU&amp;lang=en_US&amp;offset=0&amp;query=any,contains,991004055649702656","Catalog Record")</f>
        <v/>
      </c>
      <c r="AT175">
        <f>HYPERLINK("http://www.worldcat.org/oclc/51842905","WorldCat Record")</f>
        <v/>
      </c>
      <c r="AU175" t="inlineStr">
        <is>
          <t>9349364:spa</t>
        </is>
      </c>
      <c r="AV175" t="inlineStr">
        <is>
          <t>51842905</t>
        </is>
      </c>
      <c r="AW175" t="inlineStr">
        <is>
          <t>991004055649702656</t>
        </is>
      </c>
      <c r="AX175" t="inlineStr">
        <is>
          <t>991004055649702656</t>
        </is>
      </c>
      <c r="AY175" t="inlineStr">
        <is>
          <t>2268855900002656</t>
        </is>
      </c>
      <c r="AZ175" t="inlineStr">
        <is>
          <t>BOOK</t>
        </is>
      </c>
      <c r="BB175" t="inlineStr">
        <is>
          <t>9789993477082</t>
        </is>
      </c>
      <c r="BC175" t="inlineStr">
        <is>
          <t>32285004746524</t>
        </is>
      </c>
      <c r="BD175" t="inlineStr">
        <is>
          <t>893888261</t>
        </is>
      </c>
    </row>
    <row r="176">
      <c r="A176" t="inlineStr">
        <is>
          <t>No</t>
        </is>
      </c>
      <c r="B176" t="inlineStr">
        <is>
          <t>PC4131 .H3</t>
        </is>
      </c>
      <c r="C176" t="inlineStr">
        <is>
          <t>0                      PC 4131000H  3</t>
        </is>
      </c>
      <c r="D176" t="inlineStr">
        <is>
          <t>Spanish phonology / James W. Harris.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Harris, James W. (James Wesley)</t>
        </is>
      </c>
      <c r="L176" t="inlineStr">
        <is>
          <t>Cambridge, Mass. : M.I.T. Press, [1969]</t>
        </is>
      </c>
      <c r="M176" t="inlineStr">
        <is>
          <t>1969</t>
        </is>
      </c>
      <c r="O176" t="inlineStr">
        <is>
          <t>eng</t>
        </is>
      </c>
      <c r="P176" t="inlineStr">
        <is>
          <t>mau</t>
        </is>
      </c>
      <c r="Q176" t="inlineStr">
        <is>
          <t>The M.I.T. Press research monograph ; no. 54</t>
        </is>
      </c>
      <c r="R176" t="inlineStr">
        <is>
          <t xml:space="preserve">PC </t>
        </is>
      </c>
      <c r="S176" t="n">
        <v>3</v>
      </c>
      <c r="T176" t="n">
        <v>3</v>
      </c>
      <c r="U176" t="inlineStr">
        <is>
          <t>1999-04-13</t>
        </is>
      </c>
      <c r="V176" t="inlineStr">
        <is>
          <t>1999-04-13</t>
        </is>
      </c>
      <c r="W176" t="inlineStr">
        <is>
          <t>1997-09-12</t>
        </is>
      </c>
      <c r="X176" t="inlineStr">
        <is>
          <t>1997-09-12</t>
        </is>
      </c>
      <c r="Y176" t="n">
        <v>512</v>
      </c>
      <c r="Z176" t="n">
        <v>401</v>
      </c>
      <c r="AA176" t="n">
        <v>406</v>
      </c>
      <c r="AB176" t="n">
        <v>2</v>
      </c>
      <c r="AC176" t="n">
        <v>2</v>
      </c>
      <c r="AD176" t="n">
        <v>25</v>
      </c>
      <c r="AE176" t="n">
        <v>25</v>
      </c>
      <c r="AF176" t="n">
        <v>8</v>
      </c>
      <c r="AG176" t="n">
        <v>8</v>
      </c>
      <c r="AH176" t="n">
        <v>8</v>
      </c>
      <c r="AI176" t="n">
        <v>8</v>
      </c>
      <c r="AJ176" t="n">
        <v>15</v>
      </c>
      <c r="AK176" t="n">
        <v>15</v>
      </c>
      <c r="AL176" t="n">
        <v>1</v>
      </c>
      <c r="AM176" t="n">
        <v>1</v>
      </c>
      <c r="AN176" t="n">
        <v>0</v>
      </c>
      <c r="AO176" t="n">
        <v>0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HYPERLINK("https://creighton-primo.hosted.exlibrisgroup.com/primo-explore/search?tab=default_tab&amp;search_scope=EVERYTHING&amp;vid=01CRU&amp;lang=en_US&amp;offset=0&amp;query=any,contains,991000138629702656","Catalog Record")</f>
        <v/>
      </c>
      <c r="AT176">
        <f>HYPERLINK("http://www.worldcat.org/oclc/57265","WorldCat Record")</f>
        <v/>
      </c>
      <c r="AU176" t="inlineStr">
        <is>
          <t>118241257:eng</t>
        </is>
      </c>
      <c r="AV176" t="inlineStr">
        <is>
          <t>57265</t>
        </is>
      </c>
      <c r="AW176" t="inlineStr">
        <is>
          <t>991000138629702656</t>
        </is>
      </c>
      <c r="AX176" t="inlineStr">
        <is>
          <t>991000138629702656</t>
        </is>
      </c>
      <c r="AY176" t="inlineStr">
        <is>
          <t>2261755560002656</t>
        </is>
      </c>
      <c r="AZ176" t="inlineStr">
        <is>
          <t>BOOK</t>
        </is>
      </c>
      <c r="BB176" t="inlineStr">
        <is>
          <t>9780262080323</t>
        </is>
      </c>
      <c r="BC176" t="inlineStr">
        <is>
          <t>32285003226304</t>
        </is>
      </c>
      <c r="BD176" t="inlineStr">
        <is>
          <t>893896650</t>
        </is>
      </c>
    </row>
    <row r="177">
      <c r="A177" t="inlineStr">
        <is>
          <t>No</t>
        </is>
      </c>
      <c r="B177" t="inlineStr">
        <is>
          <t>PC4131 .N3</t>
        </is>
      </c>
      <c r="C177" t="inlineStr">
        <is>
          <t>0                      PC 4131000N  3</t>
        </is>
      </c>
      <c r="D177" t="inlineStr">
        <is>
          <t>Estudios de fonología española.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Navarro Tomás, Tomás, 1884-1979.</t>
        </is>
      </c>
      <c r="L177" t="inlineStr">
        <is>
          <t>Syracuse, N.Y., Syracuse University Press, 1946.</t>
        </is>
      </c>
      <c r="M177" t="inlineStr">
        <is>
          <t>1946</t>
        </is>
      </c>
      <c r="O177" t="inlineStr">
        <is>
          <t>spa</t>
        </is>
      </c>
      <c r="P177" t="inlineStr">
        <is>
          <t>nyu</t>
        </is>
      </c>
      <c r="Q177" t="inlineStr">
        <is>
          <t>Syracuse University. Centro de Estudios Hispánicos. [Publicaciones, 1]</t>
        </is>
      </c>
      <c r="R177" t="inlineStr">
        <is>
          <t xml:space="preserve">PC </t>
        </is>
      </c>
      <c r="S177" t="n">
        <v>1</v>
      </c>
      <c r="T177" t="n">
        <v>1</v>
      </c>
      <c r="U177" t="inlineStr">
        <is>
          <t>2001-06-25</t>
        </is>
      </c>
      <c r="V177" t="inlineStr">
        <is>
          <t>2001-06-25</t>
        </is>
      </c>
      <c r="W177" t="inlineStr">
        <is>
          <t>1997-09-12</t>
        </is>
      </c>
      <c r="X177" t="inlineStr">
        <is>
          <t>1997-09-12</t>
        </is>
      </c>
      <c r="Y177" t="n">
        <v>196</v>
      </c>
      <c r="Z177" t="n">
        <v>178</v>
      </c>
      <c r="AA177" t="n">
        <v>286</v>
      </c>
      <c r="AB177" t="n">
        <v>2</v>
      </c>
      <c r="AC177" t="n">
        <v>2</v>
      </c>
      <c r="AD177" t="n">
        <v>16</v>
      </c>
      <c r="AE177" t="n">
        <v>18</v>
      </c>
      <c r="AF177" t="n">
        <v>7</v>
      </c>
      <c r="AG177" t="n">
        <v>7</v>
      </c>
      <c r="AH177" t="n">
        <v>3</v>
      </c>
      <c r="AI177" t="n">
        <v>4</v>
      </c>
      <c r="AJ177" t="n">
        <v>9</v>
      </c>
      <c r="AK177" t="n">
        <v>11</v>
      </c>
      <c r="AL177" t="n">
        <v>1</v>
      </c>
      <c r="AM177" t="n">
        <v>1</v>
      </c>
      <c r="AN177" t="n">
        <v>0</v>
      </c>
      <c r="AO177" t="n">
        <v>0</v>
      </c>
      <c r="AP177" t="inlineStr">
        <is>
          <t>No</t>
        </is>
      </c>
      <c r="AQ177" t="inlineStr">
        <is>
          <t>No</t>
        </is>
      </c>
      <c r="AR177">
        <f>HYPERLINK("http://catalog.hathitrust.org/Record/001182781","HathiTrust Record")</f>
        <v/>
      </c>
      <c r="AS177">
        <f>HYPERLINK("https://creighton-primo.hosted.exlibrisgroup.com/primo-explore/search?tab=default_tab&amp;search_scope=EVERYTHING&amp;vid=01CRU&amp;lang=en_US&amp;offset=0&amp;query=any,contains,991004409679702656","Catalog Record")</f>
        <v/>
      </c>
      <c r="AT177">
        <f>HYPERLINK("http://www.worldcat.org/oclc/3334141","WorldCat Record")</f>
        <v/>
      </c>
      <c r="AU177" t="inlineStr">
        <is>
          <t>381079190:spa</t>
        </is>
      </c>
      <c r="AV177" t="inlineStr">
        <is>
          <t>3334141</t>
        </is>
      </c>
      <c r="AW177" t="inlineStr">
        <is>
          <t>991004409679702656</t>
        </is>
      </c>
      <c r="AX177" t="inlineStr">
        <is>
          <t>991004409679702656</t>
        </is>
      </c>
      <c r="AY177" t="inlineStr">
        <is>
          <t>2269886080002656</t>
        </is>
      </c>
      <c r="AZ177" t="inlineStr">
        <is>
          <t>BOOK</t>
        </is>
      </c>
      <c r="BC177" t="inlineStr">
        <is>
          <t>32285003226312</t>
        </is>
      </c>
      <c r="BD177" t="inlineStr">
        <is>
          <t>893876076</t>
        </is>
      </c>
    </row>
    <row r="178">
      <c r="A178" t="inlineStr">
        <is>
          <t>No</t>
        </is>
      </c>
      <c r="B178" t="inlineStr">
        <is>
          <t>PC4131 .Q5 1972</t>
        </is>
      </c>
      <c r="C178" t="inlineStr">
        <is>
          <t>0                      PC 4131000Q  5           1972</t>
        </is>
      </c>
      <c r="D178" t="inlineStr">
        <is>
          <t>Curso de fonética y fonología españolas para estudiantes angloamericanos / [por] Antonio Quilis y Joseph A. Fernandez.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Quilis, Antonio.</t>
        </is>
      </c>
      <c r="L178" t="inlineStr">
        <is>
          <t>Madrid : Consejo Superior de Investigaciones Científicas, Instituto "Miguel de Cervantes," 1972.</t>
        </is>
      </c>
      <c r="M178" t="inlineStr">
        <is>
          <t>1972</t>
        </is>
      </c>
      <c r="N178" t="inlineStr">
        <is>
          <t>6. ed. rev. y aum.</t>
        </is>
      </c>
      <c r="O178" t="inlineStr">
        <is>
          <t>spa</t>
        </is>
      </c>
      <c r="P178" t="inlineStr">
        <is>
          <t xml:space="preserve">sp </t>
        </is>
      </c>
      <c r="Q178" t="inlineStr">
        <is>
          <t>Collectanea phonetica ; 2</t>
        </is>
      </c>
      <c r="R178" t="inlineStr">
        <is>
          <t xml:space="preserve">PC </t>
        </is>
      </c>
      <c r="S178" t="n">
        <v>1</v>
      </c>
      <c r="T178" t="n">
        <v>1</v>
      </c>
      <c r="U178" t="inlineStr">
        <is>
          <t>2005-03-22</t>
        </is>
      </c>
      <c r="V178" t="inlineStr">
        <is>
          <t>2005-03-22</t>
        </is>
      </c>
      <c r="W178" t="inlineStr">
        <is>
          <t>2005-03-22</t>
        </is>
      </c>
      <c r="X178" t="inlineStr">
        <is>
          <t>2005-03-22</t>
        </is>
      </c>
      <c r="Y178" t="n">
        <v>24</v>
      </c>
      <c r="Z178" t="n">
        <v>19</v>
      </c>
      <c r="AA178" t="n">
        <v>314</v>
      </c>
      <c r="AB178" t="n">
        <v>1</v>
      </c>
      <c r="AC178" t="n">
        <v>2</v>
      </c>
      <c r="AD178" t="n">
        <v>0</v>
      </c>
      <c r="AE178" t="n">
        <v>12</v>
      </c>
      <c r="AF178" t="n">
        <v>0</v>
      </c>
      <c r="AG178" t="n">
        <v>2</v>
      </c>
      <c r="AH178" t="n">
        <v>0</v>
      </c>
      <c r="AI178" t="n">
        <v>5</v>
      </c>
      <c r="AJ178" t="n">
        <v>0</v>
      </c>
      <c r="AK178" t="n">
        <v>8</v>
      </c>
      <c r="AL178" t="n">
        <v>0</v>
      </c>
      <c r="AM178" t="n">
        <v>1</v>
      </c>
      <c r="AN178" t="n">
        <v>0</v>
      </c>
      <c r="AO178" t="n">
        <v>0</v>
      </c>
      <c r="AP178" t="inlineStr">
        <is>
          <t>No</t>
        </is>
      </c>
      <c r="AQ178" t="inlineStr">
        <is>
          <t>Yes</t>
        </is>
      </c>
      <c r="AR178">
        <f>HYPERLINK("http://catalog.hathitrust.org/Record/102073840","HathiTrust Record")</f>
        <v/>
      </c>
      <c r="AS178">
        <f>HYPERLINK("https://creighton-primo.hosted.exlibrisgroup.com/primo-explore/search?tab=default_tab&amp;search_scope=EVERYTHING&amp;vid=01CRU&amp;lang=en_US&amp;offset=0&amp;query=any,contains,991004508389702656","Catalog Record")</f>
        <v/>
      </c>
      <c r="AT178">
        <f>HYPERLINK("http://www.worldcat.org/oclc/728482","WorldCat Record")</f>
        <v/>
      </c>
      <c r="AU178" t="inlineStr">
        <is>
          <t>4916531998:spa</t>
        </is>
      </c>
      <c r="AV178" t="inlineStr">
        <is>
          <t>728482</t>
        </is>
      </c>
      <c r="AW178" t="inlineStr">
        <is>
          <t>991004508389702656</t>
        </is>
      </c>
      <c r="AX178" t="inlineStr">
        <is>
          <t>991004508389702656</t>
        </is>
      </c>
      <c r="AY178" t="inlineStr">
        <is>
          <t>2263066020002656</t>
        </is>
      </c>
      <c r="AZ178" t="inlineStr">
        <is>
          <t>BOOK</t>
        </is>
      </c>
      <c r="BC178" t="inlineStr">
        <is>
          <t>32285005029623</t>
        </is>
      </c>
      <c r="BD178" t="inlineStr">
        <is>
          <t>893513319</t>
        </is>
      </c>
    </row>
    <row r="179">
      <c r="A179" t="inlineStr">
        <is>
          <t>No</t>
        </is>
      </c>
      <c r="B179" t="inlineStr">
        <is>
          <t>PC4131.A32 F6 1974</t>
        </is>
      </c>
      <c r="C179" t="inlineStr">
        <is>
          <t>0                      PC 4131000A  32                 F  6           1974</t>
        </is>
      </c>
      <c r="D179" t="inlineStr">
        <is>
          <t>Fonología española / Emilio Alarcos Llorach.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Alarcos Llorach, Emilio.</t>
        </is>
      </c>
      <c r="L179" t="inlineStr">
        <is>
          <t>Madrid : Editorial Gredos, c1974.</t>
        </is>
      </c>
      <c r="M179" t="inlineStr">
        <is>
          <t>1974</t>
        </is>
      </c>
      <c r="N179" t="inlineStr">
        <is>
          <t>4. ed., aumentada y rev.</t>
        </is>
      </c>
      <c r="O179" t="inlineStr">
        <is>
          <t>spa</t>
        </is>
      </c>
      <c r="P179" t="inlineStr">
        <is>
          <t xml:space="preserve">sp </t>
        </is>
      </c>
      <c r="Q179" t="inlineStr">
        <is>
          <t>Biblioteca románica hispánica : 3, Manuales ; 1</t>
        </is>
      </c>
      <c r="R179" t="inlineStr">
        <is>
          <t xml:space="preserve">PC </t>
        </is>
      </c>
      <c r="S179" t="n">
        <v>1</v>
      </c>
      <c r="T179" t="n">
        <v>1</v>
      </c>
      <c r="U179" t="inlineStr">
        <is>
          <t>2005-04-06</t>
        </is>
      </c>
      <c r="V179" t="inlineStr">
        <is>
          <t>2005-04-06</t>
        </is>
      </c>
      <c r="W179" t="inlineStr">
        <is>
          <t>2005-04-06</t>
        </is>
      </c>
      <c r="X179" t="inlineStr">
        <is>
          <t>2005-04-06</t>
        </is>
      </c>
      <c r="Y179" t="n">
        <v>41</v>
      </c>
      <c r="Z179" t="n">
        <v>24</v>
      </c>
      <c r="AA179" t="n">
        <v>268</v>
      </c>
      <c r="AB179" t="n">
        <v>1</v>
      </c>
      <c r="AC179" t="n">
        <v>4</v>
      </c>
      <c r="AD179" t="n">
        <v>0</v>
      </c>
      <c r="AE179" t="n">
        <v>12</v>
      </c>
      <c r="AF179" t="n">
        <v>0</v>
      </c>
      <c r="AG179" t="n">
        <v>3</v>
      </c>
      <c r="AH179" t="n">
        <v>0</v>
      </c>
      <c r="AI179" t="n">
        <v>3</v>
      </c>
      <c r="AJ179" t="n">
        <v>0</v>
      </c>
      <c r="AK179" t="n">
        <v>6</v>
      </c>
      <c r="AL179" t="n">
        <v>0</v>
      </c>
      <c r="AM179" t="n">
        <v>3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HYPERLINK("http://catalog.hathitrust.org/Record/009918380","HathiTrust Record")</f>
        <v/>
      </c>
      <c r="AS179">
        <f>HYPERLINK("https://creighton-primo.hosted.exlibrisgroup.com/primo-explore/search?tab=default_tab&amp;search_scope=EVERYTHING&amp;vid=01CRU&amp;lang=en_US&amp;offset=0&amp;query=any,contains,991004523339702656","Catalog Record")</f>
        <v/>
      </c>
      <c r="AT179">
        <f>HYPERLINK("http://www.worldcat.org/oclc/2981683","WorldCat Record")</f>
        <v/>
      </c>
      <c r="AU179" t="inlineStr">
        <is>
          <t>10677869491:spa</t>
        </is>
      </c>
      <c r="AV179" t="inlineStr">
        <is>
          <t>2981683</t>
        </is>
      </c>
      <c r="AW179" t="inlineStr">
        <is>
          <t>991004523339702656</t>
        </is>
      </c>
      <c r="AX179" t="inlineStr">
        <is>
          <t>991004523339702656</t>
        </is>
      </c>
      <c r="AY179" t="inlineStr">
        <is>
          <t>2260138600002656</t>
        </is>
      </c>
      <c r="AZ179" t="inlineStr">
        <is>
          <t>BOOK</t>
        </is>
      </c>
      <c r="BB179" t="inlineStr">
        <is>
          <t>9788424911027</t>
        </is>
      </c>
      <c r="BC179" t="inlineStr">
        <is>
          <t>32285005029524</t>
        </is>
      </c>
      <c r="BD179" t="inlineStr">
        <is>
          <t>893895090</t>
        </is>
      </c>
    </row>
    <row r="180">
      <c r="A180" t="inlineStr">
        <is>
          <t>No</t>
        </is>
      </c>
      <c r="B180" t="inlineStr">
        <is>
          <t>PC4143 .F85 1991</t>
        </is>
      </c>
      <c r="C180" t="inlineStr">
        <is>
          <t>0                      PC 4143000F  85          1991</t>
        </is>
      </c>
      <c r="D180" t="inlineStr">
        <is>
          <t>Diccionario practico ortografía / Juan Luis Fuentes ; con la colaboración de José Manuel Blecua.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Fuentes de la Corte, Juan Luis.</t>
        </is>
      </c>
      <c r="L180" t="inlineStr">
        <is>
          <t>México, D.F. : Larousse, c1991.</t>
        </is>
      </c>
      <c r="M180" t="inlineStr">
        <is>
          <t>1991</t>
        </is>
      </c>
      <c r="N180" t="inlineStr">
        <is>
          <t>primera ed.</t>
        </is>
      </c>
      <c r="O180" t="inlineStr">
        <is>
          <t>spa</t>
        </is>
      </c>
      <c r="P180" t="inlineStr">
        <is>
          <t xml:space="preserve">mx </t>
        </is>
      </c>
      <c r="R180" t="inlineStr">
        <is>
          <t xml:space="preserve">PC </t>
        </is>
      </c>
      <c r="S180" t="n">
        <v>1</v>
      </c>
      <c r="T180" t="n">
        <v>1</v>
      </c>
      <c r="U180" t="inlineStr">
        <is>
          <t>1997-11-10</t>
        </is>
      </c>
      <c r="V180" t="inlineStr">
        <is>
          <t>1997-11-10</t>
        </is>
      </c>
      <c r="W180" t="inlineStr">
        <is>
          <t>1997-02-03</t>
        </is>
      </c>
      <c r="X180" t="inlineStr">
        <is>
          <t>1997-02-03</t>
        </is>
      </c>
      <c r="Y180" t="n">
        <v>10</v>
      </c>
      <c r="Z180" t="n">
        <v>9</v>
      </c>
      <c r="AA180" t="n">
        <v>9</v>
      </c>
      <c r="AB180" t="n">
        <v>1</v>
      </c>
      <c r="AC180" t="n">
        <v>1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HYPERLINK("https://creighton-primo.hosted.exlibrisgroup.com/primo-explore/search?tab=default_tab&amp;search_scope=EVERYTHING&amp;vid=01CRU&amp;lang=en_US&amp;offset=0&amp;query=any,contains,991002481129702656","Catalog Record")</f>
        <v/>
      </c>
      <c r="AT180">
        <f>HYPERLINK("http://www.worldcat.org/oclc/32303443","WorldCat Record")</f>
        <v/>
      </c>
      <c r="AU180" t="inlineStr">
        <is>
          <t>3857924119:spa</t>
        </is>
      </c>
      <c r="AV180" t="inlineStr">
        <is>
          <t>32303443</t>
        </is>
      </c>
      <c r="AW180" t="inlineStr">
        <is>
          <t>991002481129702656</t>
        </is>
      </c>
      <c r="AX180" t="inlineStr">
        <is>
          <t>991002481129702656</t>
        </is>
      </c>
      <c r="AY180" t="inlineStr">
        <is>
          <t>2264550810002656</t>
        </is>
      </c>
      <c r="AZ180" t="inlineStr">
        <is>
          <t>BOOK</t>
        </is>
      </c>
      <c r="BB180" t="inlineStr">
        <is>
          <t>9789706071699</t>
        </is>
      </c>
      <c r="BC180" t="inlineStr">
        <is>
          <t>32285002413572</t>
        </is>
      </c>
      <c r="BD180" t="inlineStr">
        <is>
          <t>893233022</t>
        </is>
      </c>
    </row>
    <row r="181">
      <c r="A181" t="inlineStr">
        <is>
          <t>No</t>
        </is>
      </c>
      <c r="B181" t="inlineStr">
        <is>
          <t>PC4271 .G65 2002</t>
        </is>
      </c>
      <c r="C181" t="inlineStr">
        <is>
          <t>0                      PC 4271000G  65          2002</t>
        </is>
      </c>
      <c r="D181" t="inlineStr">
        <is>
          <t>The big red book of Spanish verbs : 555 fully conjugated verbs / Ronni Gordon, David Stillman.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Gordon, Ronni L.</t>
        </is>
      </c>
      <c r="L181" t="inlineStr">
        <is>
          <t>Chicago : McGraw-Hill, c2002.</t>
        </is>
      </c>
      <c r="M181" t="inlineStr">
        <is>
          <t>2002</t>
        </is>
      </c>
      <c r="O181" t="inlineStr">
        <is>
          <t>eng</t>
        </is>
      </c>
      <c r="P181" t="inlineStr">
        <is>
          <t>ilu</t>
        </is>
      </c>
      <c r="R181" t="inlineStr">
        <is>
          <t xml:space="preserve">PC </t>
        </is>
      </c>
      <c r="S181" t="n">
        <v>4</v>
      </c>
      <c r="T181" t="n">
        <v>4</v>
      </c>
      <c r="U181" t="inlineStr">
        <is>
          <t>2003-04-14</t>
        </is>
      </c>
      <c r="V181" t="inlineStr">
        <is>
          <t>2003-04-14</t>
        </is>
      </c>
      <c r="W181" t="inlineStr">
        <is>
          <t>2002-08-20</t>
        </is>
      </c>
      <c r="X181" t="inlineStr">
        <is>
          <t>2002-08-20</t>
        </is>
      </c>
      <c r="Y181" t="n">
        <v>458</v>
      </c>
      <c r="Z181" t="n">
        <v>406</v>
      </c>
      <c r="AA181" t="n">
        <v>604</v>
      </c>
      <c r="AB181" t="n">
        <v>3</v>
      </c>
      <c r="AC181" t="n">
        <v>4</v>
      </c>
      <c r="AD181" t="n">
        <v>5</v>
      </c>
      <c r="AE181" t="n">
        <v>7</v>
      </c>
      <c r="AF181" t="n">
        <v>3</v>
      </c>
      <c r="AG181" t="n">
        <v>3</v>
      </c>
      <c r="AH181" t="n">
        <v>0</v>
      </c>
      <c r="AI181" t="n">
        <v>1</v>
      </c>
      <c r="AJ181" t="n">
        <v>1</v>
      </c>
      <c r="AK181" t="n">
        <v>1</v>
      </c>
      <c r="AL181" t="n">
        <v>1</v>
      </c>
      <c r="AM181" t="n">
        <v>2</v>
      </c>
      <c r="AN181" t="n">
        <v>0</v>
      </c>
      <c r="AO181" t="n">
        <v>0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HYPERLINK("https://creighton-primo.hosted.exlibrisgroup.com/primo-explore/search?tab=default_tab&amp;search_scope=EVERYTHING&amp;vid=01CRU&amp;lang=en_US&amp;offset=0&amp;query=any,contains,991003849679702656","Catalog Record")</f>
        <v/>
      </c>
      <c r="AT181">
        <f>HYPERLINK("http://www.worldcat.org/oclc/48123354","WorldCat Record")</f>
        <v/>
      </c>
      <c r="AU181" t="inlineStr">
        <is>
          <t>2865483693:eng</t>
        </is>
      </c>
      <c r="AV181" t="inlineStr">
        <is>
          <t>48123354</t>
        </is>
      </c>
      <c r="AW181" t="inlineStr">
        <is>
          <t>991003849679702656</t>
        </is>
      </c>
      <c r="AX181" t="inlineStr">
        <is>
          <t>991003849679702656</t>
        </is>
      </c>
      <c r="AY181" t="inlineStr">
        <is>
          <t>2259519040002656</t>
        </is>
      </c>
      <c r="AZ181" t="inlineStr">
        <is>
          <t>BOOK</t>
        </is>
      </c>
      <c r="BB181" t="inlineStr">
        <is>
          <t>9780658014871</t>
        </is>
      </c>
      <c r="BC181" t="inlineStr">
        <is>
          <t>32285004644182</t>
        </is>
      </c>
      <c r="BD181" t="inlineStr">
        <is>
          <t>893435532</t>
        </is>
      </c>
    </row>
    <row r="182">
      <c r="A182" t="inlineStr">
        <is>
          <t>No</t>
        </is>
      </c>
      <c r="B182" t="inlineStr">
        <is>
          <t>PC4271 .Q56 1980</t>
        </is>
      </c>
      <c r="C182" t="inlineStr">
        <is>
          <t>0                      PC 4271000Q  56          1980</t>
        </is>
      </c>
      <c r="D182" t="inlineStr">
        <is>
          <t>Los Quince mil verbos españoles : su gramática, clasificación y conjugación.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L182" t="inlineStr">
        <is>
          <t>Barcelona : Ramón Sopena, 1980.</t>
        </is>
      </c>
      <c r="M182" t="inlineStr">
        <is>
          <t>1980</t>
        </is>
      </c>
      <c r="O182" t="inlineStr">
        <is>
          <t>spa</t>
        </is>
      </c>
      <c r="P182" t="inlineStr">
        <is>
          <t xml:space="preserve">sp </t>
        </is>
      </c>
      <c r="R182" t="inlineStr">
        <is>
          <t xml:space="preserve">PC </t>
        </is>
      </c>
      <c r="S182" t="n">
        <v>2</v>
      </c>
      <c r="T182" t="n">
        <v>2</v>
      </c>
      <c r="U182" t="inlineStr">
        <is>
          <t>2001-12-10</t>
        </is>
      </c>
      <c r="V182" t="inlineStr">
        <is>
          <t>2001-12-10</t>
        </is>
      </c>
      <c r="W182" t="inlineStr">
        <is>
          <t>2001-12-10</t>
        </is>
      </c>
      <c r="X182" t="inlineStr">
        <is>
          <t>2001-12-10</t>
        </is>
      </c>
      <c r="Y182" t="n">
        <v>67</v>
      </c>
      <c r="Z182" t="n">
        <v>43</v>
      </c>
      <c r="AA182" t="n">
        <v>44</v>
      </c>
      <c r="AB182" t="n">
        <v>1</v>
      </c>
      <c r="AC182" t="n">
        <v>1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HYPERLINK("https://creighton-primo.hosted.exlibrisgroup.com/primo-explore/search?tab=default_tab&amp;search_scope=EVERYTHING&amp;vid=01CRU&amp;lang=en_US&amp;offset=0&amp;query=any,contains,991003693579702656","Catalog Record")</f>
        <v/>
      </c>
      <c r="AT182">
        <f>HYPERLINK("http://www.worldcat.org/oclc/7736748","WorldCat Record")</f>
        <v/>
      </c>
      <c r="AU182" t="inlineStr">
        <is>
          <t>767728929:spa</t>
        </is>
      </c>
      <c r="AV182" t="inlineStr">
        <is>
          <t>7736748</t>
        </is>
      </c>
      <c r="AW182" t="inlineStr">
        <is>
          <t>991003693579702656</t>
        </is>
      </c>
      <c r="AX182" t="inlineStr">
        <is>
          <t>991003693579702656</t>
        </is>
      </c>
      <c r="AY182" t="inlineStr">
        <is>
          <t>2256501790002656</t>
        </is>
      </c>
      <c r="AZ182" t="inlineStr">
        <is>
          <t>BOOK</t>
        </is>
      </c>
      <c r="BB182" t="inlineStr">
        <is>
          <t>9788430307913</t>
        </is>
      </c>
      <c r="BC182" t="inlineStr">
        <is>
          <t>32285004427083</t>
        </is>
      </c>
      <c r="BD182" t="inlineStr">
        <is>
          <t>893806097</t>
        </is>
      </c>
    </row>
    <row r="183">
      <c r="A183" t="inlineStr">
        <is>
          <t>No</t>
        </is>
      </c>
      <c r="B183" t="inlineStr">
        <is>
          <t>PC4271 .S47 1992</t>
        </is>
      </c>
      <c r="C183" t="inlineStr">
        <is>
          <t>0                      PC 4271000S  47          1992</t>
        </is>
      </c>
      <c r="D183" t="inlineStr">
        <is>
          <t>Spanish verbs : ser and estar : key to mastering the language / by J. Serrano and S. Serrano.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Serrano, Juan.</t>
        </is>
      </c>
      <c r="L183" t="inlineStr">
        <is>
          <t>New York : Hippocrene Books, c1992.</t>
        </is>
      </c>
      <c r="M183" t="inlineStr">
        <is>
          <t>1992</t>
        </is>
      </c>
      <c r="N183" t="inlineStr">
        <is>
          <t>1st ed.</t>
        </is>
      </c>
      <c r="O183" t="inlineStr">
        <is>
          <t>eng</t>
        </is>
      </c>
      <c r="P183" t="inlineStr">
        <is>
          <t>nyu</t>
        </is>
      </c>
      <c r="R183" t="inlineStr">
        <is>
          <t xml:space="preserve">PC </t>
        </is>
      </c>
      <c r="S183" t="n">
        <v>5</v>
      </c>
      <c r="T183" t="n">
        <v>5</v>
      </c>
      <c r="U183" t="inlineStr">
        <is>
          <t>2010-06-22</t>
        </is>
      </c>
      <c r="V183" t="inlineStr">
        <is>
          <t>2010-06-22</t>
        </is>
      </c>
      <c r="W183" t="inlineStr">
        <is>
          <t>1993-07-14</t>
        </is>
      </c>
      <c r="X183" t="inlineStr">
        <is>
          <t>1993-07-14</t>
        </is>
      </c>
      <c r="Y183" t="n">
        <v>104</v>
      </c>
      <c r="Z183" t="n">
        <v>84</v>
      </c>
      <c r="AA183" t="n">
        <v>85</v>
      </c>
      <c r="AB183" t="n">
        <v>1</v>
      </c>
      <c r="AC183" t="n">
        <v>1</v>
      </c>
      <c r="AD183" t="n">
        <v>1</v>
      </c>
      <c r="AE183" t="n">
        <v>1</v>
      </c>
      <c r="AF183" t="n">
        <v>1</v>
      </c>
      <c r="AG183" t="n">
        <v>1</v>
      </c>
      <c r="AH183" t="n">
        <v>0</v>
      </c>
      <c r="AI183" t="n">
        <v>0</v>
      </c>
      <c r="AJ183" t="n">
        <v>1</v>
      </c>
      <c r="AK183" t="n">
        <v>1</v>
      </c>
      <c r="AL183" t="n">
        <v>0</v>
      </c>
      <c r="AM183" t="n">
        <v>0</v>
      </c>
      <c r="AN183" t="n">
        <v>0</v>
      </c>
      <c r="AO183" t="n">
        <v>0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HYPERLINK("http://catalog.hathitrust.org/Record/008324796","HathiTrust Record")</f>
        <v/>
      </c>
      <c r="AS183">
        <f>HYPERLINK("https://creighton-primo.hosted.exlibrisgroup.com/primo-explore/search?tab=default_tab&amp;search_scope=EVERYTHING&amp;vid=01CRU&amp;lang=en_US&amp;offset=0&amp;query=any,contains,991002079139702656","Catalog Record")</f>
        <v/>
      </c>
      <c r="AT183">
        <f>HYPERLINK("http://www.worldcat.org/oclc/27137199","WorldCat Record")</f>
        <v/>
      </c>
      <c r="AU183" t="inlineStr">
        <is>
          <t>375739014:spa</t>
        </is>
      </c>
      <c r="AV183" t="inlineStr">
        <is>
          <t>27137199</t>
        </is>
      </c>
      <c r="AW183" t="inlineStr">
        <is>
          <t>991002079139702656</t>
        </is>
      </c>
      <c r="AX183" t="inlineStr">
        <is>
          <t>991002079139702656</t>
        </is>
      </c>
      <c r="AY183" t="inlineStr">
        <is>
          <t>2266716880002656</t>
        </is>
      </c>
      <c r="AZ183" t="inlineStr">
        <is>
          <t>BOOK</t>
        </is>
      </c>
      <c r="BB183" t="inlineStr">
        <is>
          <t>9780781800242</t>
        </is>
      </c>
      <c r="BC183" t="inlineStr">
        <is>
          <t>32285005500870</t>
        </is>
      </c>
      <c r="BD183" t="inlineStr">
        <is>
          <t>893709838</t>
        </is>
      </c>
    </row>
    <row r="184">
      <c r="A184" t="inlineStr">
        <is>
          <t>No</t>
        </is>
      </c>
      <c r="B184" t="inlineStr">
        <is>
          <t>PC4290 .M36</t>
        </is>
      </c>
      <c r="C184" t="inlineStr">
        <is>
          <t>0                      PC 4290000M  36</t>
        </is>
      </c>
      <c r="D184" t="inlineStr">
        <is>
          <t>Gramática del subjuntivo / A. Manteca Alonso-Cortés.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Manteca Alonso-Cortés, A., 1952-</t>
        </is>
      </c>
      <c r="L184" t="inlineStr">
        <is>
          <t>Madrid : Ediciones Cátedra, 1981.</t>
        </is>
      </c>
      <c r="M184" t="inlineStr">
        <is>
          <t>1981</t>
        </is>
      </c>
      <c r="O184" t="inlineStr">
        <is>
          <t>spa</t>
        </is>
      </c>
      <c r="P184" t="inlineStr">
        <is>
          <t xml:space="preserve">sp </t>
        </is>
      </c>
      <c r="Q184" t="inlineStr">
        <is>
          <t>Gramática generativa transformacional del español</t>
        </is>
      </c>
      <c r="R184" t="inlineStr">
        <is>
          <t xml:space="preserve">PC </t>
        </is>
      </c>
      <c r="S184" t="n">
        <v>0</v>
      </c>
      <c r="T184" t="n">
        <v>0</v>
      </c>
      <c r="U184" t="inlineStr">
        <is>
          <t>2010-01-05</t>
        </is>
      </c>
      <c r="V184" t="inlineStr">
        <is>
          <t>2010-01-05</t>
        </is>
      </c>
      <c r="W184" t="inlineStr">
        <is>
          <t>1993-04-21</t>
        </is>
      </c>
      <c r="X184" t="inlineStr">
        <is>
          <t>1993-04-21</t>
        </is>
      </c>
      <c r="Y184" t="n">
        <v>128</v>
      </c>
      <c r="Z184" t="n">
        <v>73</v>
      </c>
      <c r="AA184" t="n">
        <v>81</v>
      </c>
      <c r="AB184" t="n">
        <v>1</v>
      </c>
      <c r="AC184" t="n">
        <v>1</v>
      </c>
      <c r="AD184" t="n">
        <v>3</v>
      </c>
      <c r="AE184" t="n">
        <v>3</v>
      </c>
      <c r="AF184" t="n">
        <v>0</v>
      </c>
      <c r="AG184" t="n">
        <v>0</v>
      </c>
      <c r="AH184" t="n">
        <v>2</v>
      </c>
      <c r="AI184" t="n">
        <v>2</v>
      </c>
      <c r="AJ184" t="n">
        <v>2</v>
      </c>
      <c r="AK184" t="n">
        <v>2</v>
      </c>
      <c r="AL184" t="n">
        <v>0</v>
      </c>
      <c r="AM184" t="n">
        <v>0</v>
      </c>
      <c r="AN184" t="n">
        <v>0</v>
      </c>
      <c r="AO184" t="n">
        <v>0</v>
      </c>
      <c r="AP184" t="inlineStr">
        <is>
          <t>No</t>
        </is>
      </c>
      <c r="AQ184" t="inlineStr">
        <is>
          <t>Yes</t>
        </is>
      </c>
      <c r="AR184">
        <f>HYPERLINK("http://catalog.hathitrust.org/Record/000105559","HathiTrust Record")</f>
        <v/>
      </c>
      <c r="AS184">
        <f>HYPERLINK("https://creighton-primo.hosted.exlibrisgroup.com/primo-explore/search?tab=default_tab&amp;search_scope=EVERYTHING&amp;vid=01CRU&amp;lang=en_US&amp;offset=0&amp;query=any,contains,991000041949702656","Catalog Record")</f>
        <v/>
      </c>
      <c r="AT184">
        <f>HYPERLINK("http://www.worldcat.org/oclc/8661817","WorldCat Record")</f>
        <v/>
      </c>
      <c r="AU184" t="inlineStr">
        <is>
          <t>32370969:spa</t>
        </is>
      </c>
      <c r="AV184" t="inlineStr">
        <is>
          <t>8661817</t>
        </is>
      </c>
      <c r="AW184" t="inlineStr">
        <is>
          <t>991000041949702656</t>
        </is>
      </c>
      <c r="AX184" t="inlineStr">
        <is>
          <t>991000041949702656</t>
        </is>
      </c>
      <c r="AY184" t="inlineStr">
        <is>
          <t>2256788400002656</t>
        </is>
      </c>
      <c r="AZ184" t="inlineStr">
        <is>
          <t>BOOK</t>
        </is>
      </c>
      <c r="BB184" t="inlineStr">
        <is>
          <t>9788437603056</t>
        </is>
      </c>
      <c r="BC184" t="inlineStr">
        <is>
          <t>32285001645588</t>
        </is>
      </c>
      <c r="BD184" t="inlineStr">
        <is>
          <t>893777625</t>
        </is>
      </c>
    </row>
    <row r="185">
      <c r="A185" t="inlineStr">
        <is>
          <t>No</t>
        </is>
      </c>
      <c r="B185" t="inlineStr">
        <is>
          <t>PC43 .R6 1988</t>
        </is>
      </c>
      <c r="C185" t="inlineStr">
        <is>
          <t>0                      PC 0043000R  6           1988</t>
        </is>
      </c>
      <c r="D185" t="inlineStr">
        <is>
          <t>The Romance languages / edited by Martin Harris and Nigel Vincent.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Yes</t>
        </is>
      </c>
      <c r="J185" t="inlineStr">
        <is>
          <t>0</t>
        </is>
      </c>
      <c r="L185" t="inlineStr">
        <is>
          <t>London : Croom Helm, c1988.</t>
        </is>
      </c>
      <c r="M185" t="inlineStr">
        <is>
          <t>1988</t>
        </is>
      </c>
      <c r="O185" t="inlineStr">
        <is>
          <t>eng</t>
        </is>
      </c>
      <c r="P185" t="inlineStr">
        <is>
          <t>enk</t>
        </is>
      </c>
      <c r="Q185" t="inlineStr">
        <is>
          <t>Croom Helm Romance linguistics series</t>
        </is>
      </c>
      <c r="R185" t="inlineStr">
        <is>
          <t xml:space="preserve">PC </t>
        </is>
      </c>
      <c r="S185" t="n">
        <v>3</v>
      </c>
      <c r="T185" t="n">
        <v>3</v>
      </c>
      <c r="U185" t="inlineStr">
        <is>
          <t>2006-05-04</t>
        </is>
      </c>
      <c r="V185" t="inlineStr">
        <is>
          <t>2006-05-04</t>
        </is>
      </c>
      <c r="W185" t="inlineStr">
        <is>
          <t>1990-12-05</t>
        </is>
      </c>
      <c r="X185" t="inlineStr">
        <is>
          <t>1990-12-05</t>
        </is>
      </c>
      <c r="Y185" t="n">
        <v>204</v>
      </c>
      <c r="Z185" t="n">
        <v>107</v>
      </c>
      <c r="AA185" t="n">
        <v>521</v>
      </c>
      <c r="AB185" t="n">
        <v>1</v>
      </c>
      <c r="AC185" t="n">
        <v>3</v>
      </c>
      <c r="AD185" t="n">
        <v>5</v>
      </c>
      <c r="AE185" t="n">
        <v>23</v>
      </c>
      <c r="AF185" t="n">
        <v>2</v>
      </c>
      <c r="AG185" t="n">
        <v>9</v>
      </c>
      <c r="AH185" t="n">
        <v>2</v>
      </c>
      <c r="AI185" t="n">
        <v>6</v>
      </c>
      <c r="AJ185" t="n">
        <v>3</v>
      </c>
      <c r="AK185" t="n">
        <v>14</v>
      </c>
      <c r="AL185" t="n">
        <v>0</v>
      </c>
      <c r="AM185" t="n">
        <v>2</v>
      </c>
      <c r="AN185" t="n">
        <v>0</v>
      </c>
      <c r="AO185" t="n">
        <v>0</v>
      </c>
      <c r="AP185" t="inlineStr">
        <is>
          <t>No</t>
        </is>
      </c>
      <c r="AQ185" t="inlineStr">
        <is>
          <t>Yes</t>
        </is>
      </c>
      <c r="AR185">
        <f>HYPERLINK("http://catalog.hathitrust.org/Record/000901312","HathiTrust Record")</f>
        <v/>
      </c>
      <c r="AS185">
        <f>HYPERLINK("https://creighton-primo.hosted.exlibrisgroup.com/primo-explore/search?tab=default_tab&amp;search_scope=EVERYTHING&amp;vid=01CRU&amp;lang=en_US&amp;offset=0&amp;query=any,contains,991001328099702656","Catalog Record")</f>
        <v/>
      </c>
      <c r="AT185">
        <f>HYPERLINK("http://www.worldcat.org/oclc/18291605","WorldCat Record")</f>
        <v/>
      </c>
      <c r="AU185" t="inlineStr">
        <is>
          <t>1051864519:eng</t>
        </is>
      </c>
      <c r="AV185" t="inlineStr">
        <is>
          <t>18291605</t>
        </is>
      </c>
      <c r="AW185" t="inlineStr">
        <is>
          <t>991001328099702656</t>
        </is>
      </c>
      <c r="AX185" t="inlineStr">
        <is>
          <t>991001328099702656</t>
        </is>
      </c>
      <c r="AY185" t="inlineStr">
        <is>
          <t>2264590670002656</t>
        </is>
      </c>
      <c r="AZ185" t="inlineStr">
        <is>
          <t>BOOK</t>
        </is>
      </c>
      <c r="BB185" t="inlineStr">
        <is>
          <t>9780709937715</t>
        </is>
      </c>
      <c r="BC185" t="inlineStr">
        <is>
          <t>32285000358605</t>
        </is>
      </c>
      <c r="BD185" t="inlineStr">
        <is>
          <t>893684254</t>
        </is>
      </c>
    </row>
    <row r="186">
      <c r="A186" t="inlineStr">
        <is>
          <t>No</t>
        </is>
      </c>
      <c r="B186" t="inlineStr">
        <is>
          <t>PC43 .R6 1990</t>
        </is>
      </c>
      <c r="C186" t="inlineStr">
        <is>
          <t>0                      PC 0043000R  6           1990</t>
        </is>
      </c>
      <c r="D186" t="inlineStr">
        <is>
          <t>The Romance languages / edited by Martin Harris and Nigel Vincent.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Yes</t>
        </is>
      </c>
      <c r="J186" t="inlineStr">
        <is>
          <t>0</t>
        </is>
      </c>
      <c r="L186" t="inlineStr">
        <is>
          <t>New York : Oxford University Press, 1990, c1988.</t>
        </is>
      </c>
      <c r="M186" t="inlineStr">
        <is>
          <t>1990</t>
        </is>
      </c>
      <c r="O186" t="inlineStr">
        <is>
          <t>eng</t>
        </is>
      </c>
      <c r="P186" t="inlineStr">
        <is>
          <t>nyu</t>
        </is>
      </c>
      <c r="R186" t="inlineStr">
        <is>
          <t xml:space="preserve">PC </t>
        </is>
      </c>
      <c r="S186" t="n">
        <v>1</v>
      </c>
      <c r="T186" t="n">
        <v>1</v>
      </c>
      <c r="U186" t="inlineStr">
        <is>
          <t>2003-01-18</t>
        </is>
      </c>
      <c r="V186" t="inlineStr">
        <is>
          <t>2003-01-18</t>
        </is>
      </c>
      <c r="W186" t="inlineStr">
        <is>
          <t>1998-03-24</t>
        </is>
      </c>
      <c r="X186" t="inlineStr">
        <is>
          <t>1998-03-24</t>
        </is>
      </c>
      <c r="Y186" t="n">
        <v>84</v>
      </c>
      <c r="Z186" t="n">
        <v>68</v>
      </c>
      <c r="AA186" t="n">
        <v>521</v>
      </c>
      <c r="AB186" t="n">
        <v>1</v>
      </c>
      <c r="AC186" t="n">
        <v>3</v>
      </c>
      <c r="AD186" t="n">
        <v>4</v>
      </c>
      <c r="AE186" t="n">
        <v>23</v>
      </c>
      <c r="AF186" t="n">
        <v>2</v>
      </c>
      <c r="AG186" t="n">
        <v>9</v>
      </c>
      <c r="AH186" t="n">
        <v>2</v>
      </c>
      <c r="AI186" t="n">
        <v>6</v>
      </c>
      <c r="AJ186" t="n">
        <v>2</v>
      </c>
      <c r="AK186" t="n">
        <v>14</v>
      </c>
      <c r="AL186" t="n">
        <v>0</v>
      </c>
      <c r="AM186" t="n">
        <v>2</v>
      </c>
      <c r="AN186" t="n">
        <v>0</v>
      </c>
      <c r="AO186" t="n">
        <v>0</v>
      </c>
      <c r="AP186" t="inlineStr">
        <is>
          <t>No</t>
        </is>
      </c>
      <c r="AQ186" t="inlineStr">
        <is>
          <t>Yes</t>
        </is>
      </c>
      <c r="AR186">
        <f>HYPERLINK("http://catalog.hathitrust.org/Record/008324770","HathiTrust Record")</f>
        <v/>
      </c>
      <c r="AS186">
        <f>HYPERLINK("https://creighton-primo.hosted.exlibrisgroup.com/primo-explore/search?tab=default_tab&amp;search_scope=EVERYTHING&amp;vid=01CRU&amp;lang=en_US&amp;offset=0&amp;query=any,contains,991001889379702656","Catalog Record")</f>
        <v/>
      </c>
      <c r="AT186">
        <f>HYPERLINK("http://www.worldcat.org/oclc/23828159","WorldCat Record")</f>
        <v/>
      </c>
      <c r="AU186" t="inlineStr">
        <is>
          <t>1051864519:eng</t>
        </is>
      </c>
      <c r="AV186" t="inlineStr">
        <is>
          <t>23828159</t>
        </is>
      </c>
      <c r="AW186" t="inlineStr">
        <is>
          <t>991001889379702656</t>
        </is>
      </c>
      <c r="AX186" t="inlineStr">
        <is>
          <t>991001889379702656</t>
        </is>
      </c>
      <c r="AY186" t="inlineStr">
        <is>
          <t>2262943990002656</t>
        </is>
      </c>
      <c r="AZ186" t="inlineStr">
        <is>
          <t>BOOK</t>
        </is>
      </c>
      <c r="BB186" t="inlineStr">
        <is>
          <t>9780195208290</t>
        </is>
      </c>
      <c r="BC186" t="inlineStr">
        <is>
          <t>32285003380309</t>
        </is>
      </c>
      <c r="BD186" t="inlineStr">
        <is>
          <t>893772991</t>
        </is>
      </c>
    </row>
    <row r="187">
      <c r="A187" t="inlineStr">
        <is>
          <t>No</t>
        </is>
      </c>
      <c r="B187" t="inlineStr">
        <is>
          <t>PC4410 .A43 1988</t>
        </is>
      </c>
      <c r="C187" t="inlineStr">
        <is>
          <t>0                      PC 4410000A  43          1988</t>
        </is>
      </c>
      <c r="D187" t="inlineStr">
        <is>
          <t>Guía de estudio sobre el párrafo / Ilis M. Alfonzo.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Alfonzo Perdomo, Ilis M.</t>
        </is>
      </c>
      <c r="L187" t="inlineStr">
        <is>
          <t>Caracas, Venezuela : Contexto Editores, 1988.</t>
        </is>
      </c>
      <c r="M187" t="inlineStr">
        <is>
          <t>1988</t>
        </is>
      </c>
      <c r="N187" t="inlineStr">
        <is>
          <t>4a ed. corregida y aumentada</t>
        </is>
      </c>
      <c r="O187" t="inlineStr">
        <is>
          <t>spa</t>
        </is>
      </c>
      <c r="P187" t="inlineStr">
        <is>
          <t xml:space="preserve">ve </t>
        </is>
      </c>
      <c r="R187" t="inlineStr">
        <is>
          <t xml:space="preserve">PC </t>
        </is>
      </c>
      <c r="S187" t="n">
        <v>1</v>
      </c>
      <c r="T187" t="n">
        <v>1</v>
      </c>
      <c r="U187" t="inlineStr">
        <is>
          <t>2003-05-06</t>
        </is>
      </c>
      <c r="V187" t="inlineStr">
        <is>
          <t>2003-05-06</t>
        </is>
      </c>
      <c r="W187" t="inlineStr">
        <is>
          <t>2003-05-06</t>
        </is>
      </c>
      <c r="X187" t="inlineStr">
        <is>
          <t>2003-05-06</t>
        </is>
      </c>
      <c r="Y187" t="n">
        <v>2</v>
      </c>
      <c r="Z187" t="n">
        <v>2</v>
      </c>
      <c r="AA187" t="n">
        <v>2</v>
      </c>
      <c r="AB187" t="n">
        <v>1</v>
      </c>
      <c r="AC187" t="n">
        <v>1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0</v>
      </c>
      <c r="AN187" t="n">
        <v>0</v>
      </c>
      <c r="AO187" t="n">
        <v>0</v>
      </c>
      <c r="AP187" t="inlineStr">
        <is>
          <t>No</t>
        </is>
      </c>
      <c r="AQ187" t="inlineStr">
        <is>
          <t>No</t>
        </is>
      </c>
      <c r="AS187">
        <f>HYPERLINK("https://creighton-primo.hosted.exlibrisgroup.com/primo-explore/search?tab=default_tab&amp;search_scope=EVERYTHING&amp;vid=01CRU&amp;lang=en_US&amp;offset=0&amp;query=any,contains,991004045499702656","Catalog Record")</f>
        <v/>
      </c>
      <c r="AT187">
        <f>HYPERLINK("http://www.worldcat.org/oclc/20573709","WorldCat Record")</f>
        <v/>
      </c>
      <c r="AU187" t="inlineStr">
        <is>
          <t>22370573:spa</t>
        </is>
      </c>
      <c r="AV187" t="inlineStr">
        <is>
          <t>20573709</t>
        </is>
      </c>
      <c r="AW187" t="inlineStr">
        <is>
          <t>991004045499702656</t>
        </is>
      </c>
      <c r="AX187" t="inlineStr">
        <is>
          <t>991004045499702656</t>
        </is>
      </c>
      <c r="AY187" t="inlineStr">
        <is>
          <t>2258528750002656</t>
        </is>
      </c>
      <c r="AZ187" t="inlineStr">
        <is>
          <t>BOOK</t>
        </is>
      </c>
      <c r="BB187" t="inlineStr">
        <is>
          <t>9789806103054</t>
        </is>
      </c>
      <c r="BC187" t="inlineStr">
        <is>
          <t>32285004632153</t>
        </is>
      </c>
      <c r="BD187" t="inlineStr">
        <is>
          <t>893253178</t>
        </is>
      </c>
    </row>
    <row r="188">
      <c r="A188" t="inlineStr">
        <is>
          <t>No</t>
        </is>
      </c>
      <c r="B188" t="inlineStr">
        <is>
          <t>PC4410 .M43 2001</t>
        </is>
      </c>
      <c r="C188" t="inlineStr">
        <is>
          <t>0                      PC 4410000M  43          2001</t>
        </is>
      </c>
      <c r="D188" t="inlineStr">
        <is>
          <t>Curso superior de lengua española básica I / Sonia Medrano, Cristiana Hernández.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Medrano Ruiz, Sonia.</t>
        </is>
      </c>
      <c r="L188" t="inlineStr">
        <is>
          <t>Santo Domingo, República Dominicana : Universidad Autónoma de Santo Domingo (USAD), 2001.</t>
        </is>
      </c>
      <c r="M188" t="inlineStr">
        <is>
          <t>2001</t>
        </is>
      </c>
      <c r="N188" t="inlineStr">
        <is>
          <t>2. ed. (corr. y ampliada).</t>
        </is>
      </c>
      <c r="O188" t="inlineStr">
        <is>
          <t>spa</t>
        </is>
      </c>
      <c r="P188" t="inlineStr">
        <is>
          <t xml:space="preserve">dr </t>
        </is>
      </c>
      <c r="R188" t="inlineStr">
        <is>
          <t xml:space="preserve">PC </t>
        </is>
      </c>
      <c r="S188" t="n">
        <v>2</v>
      </c>
      <c r="T188" t="n">
        <v>2</v>
      </c>
      <c r="U188" t="inlineStr">
        <is>
          <t>2003-12-10</t>
        </is>
      </c>
      <c r="V188" t="inlineStr">
        <is>
          <t>2003-12-10</t>
        </is>
      </c>
      <c r="W188" t="inlineStr">
        <is>
          <t>2003-12-09</t>
        </is>
      </c>
      <c r="X188" t="inlineStr">
        <is>
          <t>2003-12-09</t>
        </is>
      </c>
      <c r="Y188" t="n">
        <v>2</v>
      </c>
      <c r="Z188" t="n">
        <v>1</v>
      </c>
      <c r="AA188" t="n">
        <v>1</v>
      </c>
      <c r="AB188" t="n">
        <v>1</v>
      </c>
      <c r="AC188" t="n">
        <v>1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inlineStr">
        <is>
          <t>No</t>
        </is>
      </c>
      <c r="AQ188" t="inlineStr">
        <is>
          <t>No</t>
        </is>
      </c>
      <c r="AS188">
        <f>HYPERLINK("https://creighton-primo.hosted.exlibrisgroup.com/primo-explore/search?tab=default_tab&amp;search_scope=EVERYTHING&amp;vid=01CRU&amp;lang=en_US&amp;offset=0&amp;query=any,contains,991004202849702656","Catalog Record")</f>
        <v/>
      </c>
      <c r="AT188">
        <f>HYPERLINK("http://www.worldcat.org/oclc/53691285","WorldCat Record")</f>
        <v/>
      </c>
      <c r="AU188" t="inlineStr">
        <is>
          <t>1811455099:spa</t>
        </is>
      </c>
      <c r="AV188" t="inlineStr">
        <is>
          <t>53691285</t>
        </is>
      </c>
      <c r="AW188" t="inlineStr">
        <is>
          <t>991004202849702656</t>
        </is>
      </c>
      <c r="AX188" t="inlineStr">
        <is>
          <t>991004202849702656</t>
        </is>
      </c>
      <c r="AY188" t="inlineStr">
        <is>
          <t>2258734100002656</t>
        </is>
      </c>
      <c r="AZ188" t="inlineStr">
        <is>
          <t>BOOK</t>
        </is>
      </c>
      <c r="BB188" t="inlineStr">
        <is>
          <t>9789993461012</t>
        </is>
      </c>
      <c r="BC188" t="inlineStr">
        <is>
          <t>32285004887443</t>
        </is>
      </c>
      <c r="BD188" t="inlineStr">
        <is>
          <t>893423506</t>
        </is>
      </c>
    </row>
    <row r="189">
      <c r="A189" t="inlineStr">
        <is>
          <t>No</t>
        </is>
      </c>
      <c r="B189" t="inlineStr">
        <is>
          <t>PC4410 .M432 1996</t>
        </is>
      </c>
      <c r="C189" t="inlineStr">
        <is>
          <t>0                      PC 4410000M  432         1996</t>
        </is>
      </c>
      <c r="D189" t="inlineStr">
        <is>
          <t>Curso superior de lengua española básica II / Sonia Medrano, Cristiana Hernández.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Medrano Ruiz, Sonia.</t>
        </is>
      </c>
      <c r="L189" t="inlineStr">
        <is>
          <t>Santo Domingo, R.D. : Universidad Autónoma de Santo Domingo (USAD), 1996.</t>
        </is>
      </c>
      <c r="M189" t="inlineStr">
        <is>
          <t>1996</t>
        </is>
      </c>
      <c r="O189" t="inlineStr">
        <is>
          <t>spa</t>
        </is>
      </c>
      <c r="P189" t="inlineStr">
        <is>
          <t xml:space="preserve">dr </t>
        </is>
      </c>
      <c r="Q189" t="inlineStr">
        <is>
          <t>Colección Lingüística y sociedad ; no. 8</t>
        </is>
      </c>
      <c r="R189" t="inlineStr">
        <is>
          <t xml:space="preserve">PC </t>
        </is>
      </c>
      <c r="S189" t="n">
        <v>1</v>
      </c>
      <c r="T189" t="n">
        <v>1</v>
      </c>
      <c r="U189" t="inlineStr">
        <is>
          <t>2003-12-10</t>
        </is>
      </c>
      <c r="V189" t="inlineStr">
        <is>
          <t>2003-12-10</t>
        </is>
      </c>
      <c r="W189" t="inlineStr">
        <is>
          <t>2003-12-09</t>
        </is>
      </c>
      <c r="X189" t="inlineStr">
        <is>
          <t>2003-12-09</t>
        </is>
      </c>
      <c r="Y189" t="n">
        <v>1</v>
      </c>
      <c r="Z189" t="n">
        <v>1</v>
      </c>
      <c r="AA189" t="n">
        <v>1</v>
      </c>
      <c r="AB189" t="n">
        <v>1</v>
      </c>
      <c r="AC189" t="n">
        <v>1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inlineStr">
        <is>
          <t>No</t>
        </is>
      </c>
      <c r="AQ189" t="inlineStr">
        <is>
          <t>No</t>
        </is>
      </c>
      <c r="AS189">
        <f>HYPERLINK("https://creighton-primo.hosted.exlibrisgroup.com/primo-explore/search?tab=default_tab&amp;search_scope=EVERYTHING&amp;vid=01CRU&amp;lang=en_US&amp;offset=0&amp;query=any,contains,991004203039702656","Catalog Record")</f>
        <v/>
      </c>
      <c r="AT189">
        <f>HYPERLINK("http://www.worldcat.org/oclc/53690318","WorldCat Record")</f>
        <v/>
      </c>
      <c r="AU189" t="inlineStr">
        <is>
          <t>12528181:spa</t>
        </is>
      </c>
      <c r="AV189" t="inlineStr">
        <is>
          <t>53690318</t>
        </is>
      </c>
      <c r="AW189" t="inlineStr">
        <is>
          <t>991004203039702656</t>
        </is>
      </c>
      <c r="AX189" t="inlineStr">
        <is>
          <t>991004203039702656</t>
        </is>
      </c>
      <c r="AY189" t="inlineStr">
        <is>
          <t>2270799650002656</t>
        </is>
      </c>
      <c r="AZ189" t="inlineStr">
        <is>
          <t>BOOK</t>
        </is>
      </c>
      <c r="BB189" t="inlineStr">
        <is>
          <t>9789993461012</t>
        </is>
      </c>
      <c r="BC189" t="inlineStr">
        <is>
          <t>32285004887435</t>
        </is>
      </c>
      <c r="BD189" t="inlineStr">
        <is>
          <t>893423507</t>
        </is>
      </c>
    </row>
    <row r="190">
      <c r="A190" t="inlineStr">
        <is>
          <t>No</t>
        </is>
      </c>
      <c r="B190" t="inlineStr">
        <is>
          <t>PC4420 .C29 1980</t>
        </is>
      </c>
      <c r="C190" t="inlineStr">
        <is>
          <t>0                      PC 4420000C  29          1980</t>
        </is>
      </c>
      <c r="D190" t="inlineStr">
        <is>
          <t>El texto informativo y el esquema del contenido / Rosa P. de Carpineti ; con la colaboración de Mabel V.M. de Rosetti.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Carpineti, Rosa P. de.</t>
        </is>
      </c>
      <c r="L190" t="inlineStr">
        <is>
          <t>Buenos Aires : Plus Ultra, c1980.</t>
        </is>
      </c>
      <c r="M190" t="inlineStr">
        <is>
          <t>1980</t>
        </is>
      </c>
      <c r="O190" t="inlineStr">
        <is>
          <t>spa</t>
        </is>
      </c>
      <c r="P190" t="inlineStr">
        <is>
          <t xml:space="preserve">ag </t>
        </is>
      </c>
      <c r="Q190" t="inlineStr">
        <is>
          <t>Didáctica del lenguaje y la comunicación</t>
        </is>
      </c>
      <c r="R190" t="inlineStr">
        <is>
          <t xml:space="preserve">PC </t>
        </is>
      </c>
      <c r="S190" t="n">
        <v>1</v>
      </c>
      <c r="T190" t="n">
        <v>1</v>
      </c>
      <c r="U190" t="inlineStr">
        <is>
          <t>2003-05-06</t>
        </is>
      </c>
      <c r="V190" t="inlineStr">
        <is>
          <t>2003-05-06</t>
        </is>
      </c>
      <c r="W190" t="inlineStr">
        <is>
          <t>2003-05-06</t>
        </is>
      </c>
      <c r="X190" t="inlineStr">
        <is>
          <t>2003-05-06</t>
        </is>
      </c>
      <c r="Y190" t="n">
        <v>3</v>
      </c>
      <c r="Z190" t="n">
        <v>2</v>
      </c>
      <c r="AA190" t="n">
        <v>3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inlineStr">
        <is>
          <t>No</t>
        </is>
      </c>
      <c r="AQ190" t="inlineStr">
        <is>
          <t>No</t>
        </is>
      </c>
      <c r="AS190">
        <f>HYPERLINK("https://creighton-primo.hosted.exlibrisgroup.com/primo-explore/search?tab=default_tab&amp;search_scope=EVERYTHING&amp;vid=01CRU&amp;lang=en_US&amp;offset=0&amp;query=any,contains,991004045579702656","Catalog Record")</f>
        <v/>
      </c>
      <c r="AT190">
        <f>HYPERLINK("http://www.worldcat.org/oclc/24557493","WorldCat Record")</f>
        <v/>
      </c>
      <c r="AU190" t="inlineStr">
        <is>
          <t>26240701:spa</t>
        </is>
      </c>
      <c r="AV190" t="inlineStr">
        <is>
          <t>24557493</t>
        </is>
      </c>
      <c r="AW190" t="inlineStr">
        <is>
          <t>991004045579702656</t>
        </is>
      </c>
      <c r="AX190" t="inlineStr">
        <is>
          <t>991004045579702656</t>
        </is>
      </c>
      <c r="AY190" t="inlineStr">
        <is>
          <t>2266907410002656</t>
        </is>
      </c>
      <c r="AZ190" t="inlineStr">
        <is>
          <t>BOOK</t>
        </is>
      </c>
      <c r="BB190" t="inlineStr">
        <is>
          <t>9789502103044</t>
        </is>
      </c>
      <c r="BC190" t="inlineStr">
        <is>
          <t>32285004632120</t>
        </is>
      </c>
      <c r="BD190" t="inlineStr">
        <is>
          <t>893435829</t>
        </is>
      </c>
    </row>
    <row r="191">
      <c r="A191" t="inlineStr">
        <is>
          <t>No</t>
        </is>
      </c>
      <c r="B191" t="inlineStr">
        <is>
          <t>PC4450 .L56 1992</t>
        </is>
      </c>
      <c r="C191" t="inlineStr">
        <is>
          <t>0                      PC 4450000L  56          1992</t>
        </is>
      </c>
      <c r="D191" t="inlineStr">
        <is>
          <t>La puntuación en el español / Arturo Linares Rivas.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Linares Rivas, Arturo, 1949-</t>
        </is>
      </c>
      <c r="L191" t="inlineStr">
        <is>
          <t>Mérida, Venezuela : Universidad de Los Andes, Consejo de Publicaciones, 1992.</t>
        </is>
      </c>
      <c r="M191" t="inlineStr">
        <is>
          <t>1992</t>
        </is>
      </c>
      <c r="N191" t="inlineStr">
        <is>
          <t>1a. ed.</t>
        </is>
      </c>
      <c r="O191" t="inlineStr">
        <is>
          <t>spa</t>
        </is>
      </c>
      <c r="P191" t="inlineStr">
        <is>
          <t xml:space="preserve">ve </t>
        </is>
      </c>
      <c r="R191" t="inlineStr">
        <is>
          <t xml:space="preserve">PC </t>
        </is>
      </c>
      <c r="S191" t="n">
        <v>2</v>
      </c>
      <c r="T191" t="n">
        <v>2</v>
      </c>
      <c r="U191" t="inlineStr">
        <is>
          <t>2002-12-18</t>
        </is>
      </c>
      <c r="V191" t="inlineStr">
        <is>
          <t>2002-12-18</t>
        </is>
      </c>
      <c r="W191" t="inlineStr">
        <is>
          <t>2002-12-03</t>
        </is>
      </c>
      <c r="X191" t="inlineStr">
        <is>
          <t>2002-12-03</t>
        </is>
      </c>
      <c r="Y191" t="n">
        <v>1</v>
      </c>
      <c r="Z191" t="n">
        <v>1</v>
      </c>
      <c r="AA191" t="n">
        <v>1</v>
      </c>
      <c r="AB191" t="n">
        <v>1</v>
      </c>
      <c r="AC191" t="n">
        <v>1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inlineStr">
        <is>
          <t>No</t>
        </is>
      </c>
      <c r="AQ191" t="inlineStr">
        <is>
          <t>No</t>
        </is>
      </c>
      <c r="AS191">
        <f>HYPERLINK("https://creighton-primo.hosted.exlibrisgroup.com/primo-explore/search?tab=default_tab&amp;search_scope=EVERYTHING&amp;vid=01CRU&amp;lang=en_US&amp;offset=0&amp;query=any,contains,991003953009702656","Catalog Record")</f>
        <v/>
      </c>
      <c r="AT191">
        <f>HYPERLINK("http://www.worldcat.org/oclc/51065796","WorldCat Record")</f>
        <v/>
      </c>
      <c r="AU191" t="inlineStr">
        <is>
          <t>7401421:spa</t>
        </is>
      </c>
      <c r="AV191" t="inlineStr">
        <is>
          <t>51065796</t>
        </is>
      </c>
      <c r="AW191" t="inlineStr">
        <is>
          <t>991003953009702656</t>
        </is>
      </c>
      <c r="AX191" t="inlineStr">
        <is>
          <t>991003953009702656</t>
        </is>
      </c>
      <c r="AY191" t="inlineStr">
        <is>
          <t>2262289290002656</t>
        </is>
      </c>
      <c r="AZ191" t="inlineStr">
        <is>
          <t>BOOK</t>
        </is>
      </c>
      <c r="BB191" t="inlineStr">
        <is>
          <t>9789802214860</t>
        </is>
      </c>
      <c r="BC191" t="inlineStr">
        <is>
          <t>32285004630959</t>
        </is>
      </c>
      <c r="BD191" t="inlineStr">
        <is>
          <t>893794308</t>
        </is>
      </c>
    </row>
    <row r="192">
      <c r="A192" t="inlineStr">
        <is>
          <t>No</t>
        </is>
      </c>
      <c r="B192" t="inlineStr">
        <is>
          <t>PC4460 .B4</t>
        </is>
      </c>
      <c r="C192" t="inlineStr">
        <is>
          <t>0                      PC 4460000B  4</t>
        </is>
      </c>
      <c r="D192" t="inlineStr">
        <is>
          <t>Spanish idioms with their English equivalents embracing nearly ten thousand phrases / collected by Sarah Cary Becker and Federico Mora.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L192" t="inlineStr">
        <is>
          <t>Boston : Ginn, 1887, c1886.</t>
        </is>
      </c>
      <c r="M192" t="inlineStr">
        <is>
          <t>1887</t>
        </is>
      </c>
      <c r="O192" t="inlineStr">
        <is>
          <t>eng</t>
        </is>
      </c>
      <c r="P192" t="inlineStr">
        <is>
          <t>mau</t>
        </is>
      </c>
      <c r="R192" t="inlineStr">
        <is>
          <t xml:space="preserve">PC </t>
        </is>
      </c>
      <c r="S192" t="n">
        <v>1</v>
      </c>
      <c r="T192" t="n">
        <v>1</v>
      </c>
      <c r="U192" t="inlineStr">
        <is>
          <t>2007-06-19</t>
        </is>
      </c>
      <c r="V192" t="inlineStr">
        <is>
          <t>2007-06-19</t>
        </is>
      </c>
      <c r="W192" t="inlineStr">
        <is>
          <t>1997-09-12</t>
        </is>
      </c>
      <c r="X192" t="inlineStr">
        <is>
          <t>1997-09-12</t>
        </is>
      </c>
      <c r="Y192" t="n">
        <v>29</v>
      </c>
      <c r="Z192" t="n">
        <v>23</v>
      </c>
      <c r="AA192" t="n">
        <v>146</v>
      </c>
      <c r="AB192" t="n">
        <v>1</v>
      </c>
      <c r="AC192" t="n">
        <v>3</v>
      </c>
      <c r="AD192" t="n">
        <v>1</v>
      </c>
      <c r="AE192" t="n">
        <v>6</v>
      </c>
      <c r="AF192" t="n">
        <v>0</v>
      </c>
      <c r="AG192" t="n">
        <v>1</v>
      </c>
      <c r="AH192" t="n">
        <v>0</v>
      </c>
      <c r="AI192" t="n">
        <v>1</v>
      </c>
      <c r="AJ192" t="n">
        <v>1</v>
      </c>
      <c r="AK192" t="n">
        <v>2</v>
      </c>
      <c r="AL192" t="n">
        <v>0</v>
      </c>
      <c r="AM192" t="n">
        <v>2</v>
      </c>
      <c r="AN192" t="n">
        <v>0</v>
      </c>
      <c r="AO192" t="n">
        <v>0</v>
      </c>
      <c r="AP192" t="inlineStr">
        <is>
          <t>No</t>
        </is>
      </c>
      <c r="AQ192" t="inlineStr">
        <is>
          <t>No</t>
        </is>
      </c>
      <c r="AS192">
        <f>HYPERLINK("https://creighton-primo.hosted.exlibrisgroup.com/primo-explore/search?tab=default_tab&amp;search_scope=EVERYTHING&amp;vid=01CRU&amp;lang=en_US&amp;offset=0&amp;query=any,contains,991001505059702656","Catalog Record")</f>
        <v/>
      </c>
      <c r="AT192">
        <f>HYPERLINK("http://www.worldcat.org/oclc/19822472","WorldCat Record")</f>
        <v/>
      </c>
      <c r="AU192" t="inlineStr">
        <is>
          <t>2906460:eng</t>
        </is>
      </c>
      <c r="AV192" t="inlineStr">
        <is>
          <t>19822472</t>
        </is>
      </c>
      <c r="AW192" t="inlineStr">
        <is>
          <t>991001505059702656</t>
        </is>
      </c>
      <c r="AX192" t="inlineStr">
        <is>
          <t>991001505059702656</t>
        </is>
      </c>
      <c r="AY192" t="inlineStr">
        <is>
          <t>2265695240002656</t>
        </is>
      </c>
      <c r="AZ192" t="inlineStr">
        <is>
          <t>BOOK</t>
        </is>
      </c>
      <c r="BC192" t="inlineStr">
        <is>
          <t>32285003226395</t>
        </is>
      </c>
      <c r="BD192" t="inlineStr">
        <is>
          <t>893503455</t>
        </is>
      </c>
    </row>
    <row r="193">
      <c r="A193" t="inlineStr">
        <is>
          <t>No</t>
        </is>
      </c>
      <c r="B193" t="inlineStr">
        <is>
          <t>PC4460 .P48 1985</t>
        </is>
      </c>
      <c r="C193" t="inlineStr">
        <is>
          <t>0                      PC 4460000P  48          1985</t>
        </is>
      </c>
      <c r="D193" t="inlineStr">
        <is>
          <t>Guide to Spanish idioms : a practical guide to 2500 Spanish idioms = Guía de modismos españoles / Raymond H. Pierson.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Pierson, Raymond H.</t>
        </is>
      </c>
      <c r="L193" t="inlineStr">
        <is>
          <t>Lincolnwood, Ill., U.S.A. : Passport Books, c1985.</t>
        </is>
      </c>
      <c r="M193" t="inlineStr">
        <is>
          <t>1985</t>
        </is>
      </c>
      <c r="O193" t="inlineStr">
        <is>
          <t>eng</t>
        </is>
      </c>
      <c r="P193" t="inlineStr">
        <is>
          <t>ilu</t>
        </is>
      </c>
      <c r="R193" t="inlineStr">
        <is>
          <t xml:space="preserve">PC </t>
        </is>
      </c>
      <c r="S193" t="n">
        <v>10</v>
      </c>
      <c r="T193" t="n">
        <v>10</v>
      </c>
      <c r="U193" t="inlineStr">
        <is>
          <t>2010-06-22</t>
        </is>
      </c>
      <c r="V193" t="inlineStr">
        <is>
          <t>2010-06-22</t>
        </is>
      </c>
      <c r="W193" t="inlineStr">
        <is>
          <t>1996-07-09</t>
        </is>
      </c>
      <c r="X193" t="inlineStr">
        <is>
          <t>1996-07-09</t>
        </is>
      </c>
      <c r="Y193" t="n">
        <v>360</v>
      </c>
      <c r="Z193" t="n">
        <v>337</v>
      </c>
      <c r="AA193" t="n">
        <v>379</v>
      </c>
      <c r="AB193" t="n">
        <v>2</v>
      </c>
      <c r="AC193" t="n">
        <v>3</v>
      </c>
      <c r="AD193" t="n">
        <v>5</v>
      </c>
      <c r="AE193" t="n">
        <v>6</v>
      </c>
      <c r="AF193" t="n">
        <v>0</v>
      </c>
      <c r="AG193" t="n">
        <v>0</v>
      </c>
      <c r="AH193" t="n">
        <v>1</v>
      </c>
      <c r="AI193" t="n">
        <v>2</v>
      </c>
      <c r="AJ193" t="n">
        <v>5</v>
      </c>
      <c r="AK193" t="n">
        <v>6</v>
      </c>
      <c r="AL193" t="n">
        <v>0</v>
      </c>
      <c r="AM193" t="n">
        <v>0</v>
      </c>
      <c r="AN193" t="n">
        <v>0</v>
      </c>
      <c r="AO193" t="n">
        <v>0</v>
      </c>
      <c r="AP193" t="inlineStr">
        <is>
          <t>No</t>
        </is>
      </c>
      <c r="AQ193" t="inlineStr">
        <is>
          <t>No</t>
        </is>
      </c>
      <c r="AS193">
        <f>HYPERLINK("https://creighton-primo.hosted.exlibrisgroup.com/primo-explore/search?tab=default_tab&amp;search_scope=EVERYTHING&amp;vid=01CRU&amp;lang=en_US&amp;offset=0&amp;query=any,contains,991000738209702656","Catalog Record")</f>
        <v/>
      </c>
      <c r="AT193">
        <f>HYPERLINK("http://www.worldcat.org/oclc/12804680","WorldCat Record")</f>
        <v/>
      </c>
      <c r="AU193" t="inlineStr">
        <is>
          <t>2863394814:eng</t>
        </is>
      </c>
      <c r="AV193" t="inlineStr">
        <is>
          <t>12804680</t>
        </is>
      </c>
      <c r="AW193" t="inlineStr">
        <is>
          <t>991000738209702656</t>
        </is>
      </c>
      <c r="AX193" t="inlineStr">
        <is>
          <t>991000738209702656</t>
        </is>
      </c>
      <c r="AY193" t="inlineStr">
        <is>
          <t>2255929500002656</t>
        </is>
      </c>
      <c r="AZ193" t="inlineStr">
        <is>
          <t>BOOK</t>
        </is>
      </c>
      <c r="BB193" t="inlineStr">
        <is>
          <t>9780844273259</t>
        </is>
      </c>
      <c r="BC193" t="inlineStr">
        <is>
          <t>32285002210044</t>
        </is>
      </c>
      <c r="BD193" t="inlineStr">
        <is>
          <t>893231371</t>
        </is>
      </c>
    </row>
    <row r="194">
      <c r="A194" t="inlineStr">
        <is>
          <t>No</t>
        </is>
      </c>
      <c r="B194" t="inlineStr">
        <is>
          <t>PC4511 .D66 1999</t>
        </is>
      </c>
      <c r="C194" t="inlineStr">
        <is>
          <t>0                      PC 4511000D  66          1999</t>
        </is>
      </c>
      <c r="D194" t="inlineStr">
        <is>
          <t>Diccionario de métrica española / José Domínguez Caparrós.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Domínguez Caparrós, José.</t>
        </is>
      </c>
      <c r="L194" t="inlineStr">
        <is>
          <t>Madrid : Alianza Editorial, c1999.</t>
        </is>
      </c>
      <c r="M194" t="inlineStr">
        <is>
          <t>1999</t>
        </is>
      </c>
      <c r="O194" t="inlineStr">
        <is>
          <t>spa</t>
        </is>
      </c>
      <c r="P194" t="inlineStr">
        <is>
          <t xml:space="preserve">sp </t>
        </is>
      </c>
      <c r="Q194" t="inlineStr">
        <is>
          <t>El libro de bolsillo ; 8,110. Biblioteca temática. Biblioteca de consulta</t>
        </is>
      </c>
      <c r="R194" t="inlineStr">
        <is>
          <t xml:space="preserve">PC </t>
        </is>
      </c>
      <c r="S194" t="n">
        <v>1</v>
      </c>
      <c r="T194" t="n">
        <v>1</v>
      </c>
      <c r="U194" t="inlineStr">
        <is>
          <t>2002-08-27</t>
        </is>
      </c>
      <c r="V194" t="inlineStr">
        <is>
          <t>2002-08-27</t>
        </is>
      </c>
      <c r="W194" t="inlineStr">
        <is>
          <t>2002-08-27</t>
        </is>
      </c>
      <c r="X194" t="inlineStr">
        <is>
          <t>2002-08-27</t>
        </is>
      </c>
      <c r="Y194" t="n">
        <v>40</v>
      </c>
      <c r="Z194" t="n">
        <v>18</v>
      </c>
      <c r="AA194" t="n">
        <v>32</v>
      </c>
      <c r="AB194" t="n">
        <v>1</v>
      </c>
      <c r="AC194" t="n">
        <v>1</v>
      </c>
      <c r="AD194" t="n">
        <v>0</v>
      </c>
      <c r="AE194" t="n">
        <v>2</v>
      </c>
      <c r="AF194" t="n">
        <v>0</v>
      </c>
      <c r="AG194" t="n">
        <v>1</v>
      </c>
      <c r="AH194" t="n">
        <v>0</v>
      </c>
      <c r="AI194" t="n">
        <v>1</v>
      </c>
      <c r="AJ194" t="n">
        <v>0</v>
      </c>
      <c r="AK194" t="n">
        <v>1</v>
      </c>
      <c r="AL194" t="n">
        <v>0</v>
      </c>
      <c r="AM194" t="n">
        <v>0</v>
      </c>
      <c r="AN194" t="n">
        <v>0</v>
      </c>
      <c r="AO194" t="n">
        <v>0</v>
      </c>
      <c r="AP194" t="inlineStr">
        <is>
          <t>No</t>
        </is>
      </c>
      <c r="AQ194" t="inlineStr">
        <is>
          <t>No</t>
        </is>
      </c>
      <c r="AS194">
        <f>HYPERLINK("https://creighton-primo.hosted.exlibrisgroup.com/primo-explore/search?tab=default_tab&amp;search_scope=EVERYTHING&amp;vid=01CRU&amp;lang=en_US&amp;offset=0&amp;query=any,contains,991003836079702656","Catalog Record")</f>
        <v/>
      </c>
      <c r="AT194">
        <f>HYPERLINK("http://www.worldcat.org/oclc/42811068","WorldCat Record")</f>
        <v/>
      </c>
      <c r="AU194" t="inlineStr">
        <is>
          <t>5613676765:spa</t>
        </is>
      </c>
      <c r="AV194" t="inlineStr">
        <is>
          <t>42811068</t>
        </is>
      </c>
      <c r="AW194" t="inlineStr">
        <is>
          <t>991003836079702656</t>
        </is>
      </c>
      <c r="AX194" t="inlineStr">
        <is>
          <t>991003836079702656</t>
        </is>
      </c>
      <c r="AY194" t="inlineStr">
        <is>
          <t>2263848500002656</t>
        </is>
      </c>
      <c r="AZ194" t="inlineStr">
        <is>
          <t>BOOK</t>
        </is>
      </c>
      <c r="BB194" t="inlineStr">
        <is>
          <t>9788420636764</t>
        </is>
      </c>
      <c r="BC194" t="inlineStr">
        <is>
          <t>32285004644786</t>
        </is>
      </c>
      <c r="BD194" t="inlineStr">
        <is>
          <t>893699463</t>
        </is>
      </c>
    </row>
    <row r="195">
      <c r="A195" t="inlineStr">
        <is>
          <t>No</t>
        </is>
      </c>
      <c r="B195" t="inlineStr">
        <is>
          <t>PC4511 .L6 1987</t>
        </is>
      </c>
      <c r="C195" t="inlineStr">
        <is>
          <t>0                      PC 4511000L  6           1987</t>
        </is>
      </c>
      <c r="D195" t="inlineStr">
        <is>
          <t>Métrica española del siglo XX / Francisco López Estrada.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López Estrada, Francisco.</t>
        </is>
      </c>
      <c r="L195" t="inlineStr">
        <is>
          <t>Madrid : Gredos, 1987.</t>
        </is>
      </c>
      <c r="M195" t="inlineStr">
        <is>
          <t>1987</t>
        </is>
      </c>
      <c r="N195" t="inlineStr">
        <is>
          <t>1a ed., 3a reimpr.</t>
        </is>
      </c>
      <c r="O195" t="inlineStr">
        <is>
          <t>spa</t>
        </is>
      </c>
      <c r="P195" t="inlineStr">
        <is>
          <t xml:space="preserve">sp </t>
        </is>
      </c>
      <c r="Q195" t="inlineStr">
        <is>
          <t>Biblioteca románica hispánica. III, Manuales ; 24</t>
        </is>
      </c>
      <c r="R195" t="inlineStr">
        <is>
          <t xml:space="preserve">PC </t>
        </is>
      </c>
      <c r="S195" t="n">
        <v>1</v>
      </c>
      <c r="T195" t="n">
        <v>1</v>
      </c>
      <c r="U195" t="inlineStr">
        <is>
          <t>1998-09-14</t>
        </is>
      </c>
      <c r="V195" t="inlineStr">
        <is>
          <t>1998-09-14</t>
        </is>
      </c>
      <c r="W195" t="inlineStr">
        <is>
          <t>1994-07-20</t>
        </is>
      </c>
      <c r="X195" t="inlineStr">
        <is>
          <t>1994-07-20</t>
        </is>
      </c>
      <c r="Y195" t="n">
        <v>29</v>
      </c>
      <c r="Z195" t="n">
        <v>16</v>
      </c>
      <c r="AA195" t="n">
        <v>25</v>
      </c>
      <c r="AB195" t="n">
        <v>1</v>
      </c>
      <c r="AC195" t="n">
        <v>2</v>
      </c>
      <c r="AD195" t="n">
        <v>0</v>
      </c>
      <c r="AE195" t="n">
        <v>2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1</v>
      </c>
      <c r="AL195" t="n">
        <v>0</v>
      </c>
      <c r="AM195" t="n">
        <v>1</v>
      </c>
      <c r="AN195" t="n">
        <v>0</v>
      </c>
      <c r="AO195" t="n">
        <v>0</v>
      </c>
      <c r="AP195" t="inlineStr">
        <is>
          <t>No</t>
        </is>
      </c>
      <c r="AQ195" t="inlineStr">
        <is>
          <t>No</t>
        </is>
      </c>
      <c r="AS195">
        <f>HYPERLINK("https://creighton-primo.hosted.exlibrisgroup.com/primo-explore/search?tab=default_tab&amp;search_scope=EVERYTHING&amp;vid=01CRU&amp;lang=en_US&amp;offset=0&amp;query=any,contains,991001445249702656","Catalog Record")</f>
        <v/>
      </c>
      <c r="AT195">
        <f>HYPERLINK("http://www.worldcat.org/oclc/19269323","WorldCat Record")</f>
        <v/>
      </c>
      <c r="AU195" t="inlineStr">
        <is>
          <t>5090484211:spa</t>
        </is>
      </c>
      <c r="AV195" t="inlineStr">
        <is>
          <t>19269323</t>
        </is>
      </c>
      <c r="AW195" t="inlineStr">
        <is>
          <t>991001445249702656</t>
        </is>
      </c>
      <c r="AX195" t="inlineStr">
        <is>
          <t>991001445249702656</t>
        </is>
      </c>
      <c r="AY195" t="inlineStr">
        <is>
          <t>2265326860002656</t>
        </is>
      </c>
      <c r="AZ195" t="inlineStr">
        <is>
          <t>BOOK</t>
        </is>
      </c>
      <c r="BB195" t="inlineStr">
        <is>
          <t>9788424911928</t>
        </is>
      </c>
      <c r="BC195" t="inlineStr">
        <is>
          <t>32285001932382</t>
        </is>
      </c>
      <c r="BD195" t="inlineStr">
        <is>
          <t>893346531</t>
        </is>
      </c>
    </row>
    <row r="196">
      <c r="A196" t="inlineStr">
        <is>
          <t>No</t>
        </is>
      </c>
      <c r="B196" t="inlineStr">
        <is>
          <t>PC4511 .N4 1974</t>
        </is>
      </c>
      <c r="C196" t="inlineStr">
        <is>
          <t>0                      PC 4511000N  4           1974</t>
        </is>
      </c>
      <c r="D196" t="inlineStr">
        <is>
          <t>Métrica española : reseña histórica y descriptiva / T. Navarro Tomás.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Yes</t>
        </is>
      </c>
      <c r="J196" t="inlineStr">
        <is>
          <t>0</t>
        </is>
      </c>
      <c r="K196" t="inlineStr">
        <is>
          <t>Navarro Tomás, Tomás, 1884-1979.</t>
        </is>
      </c>
      <c r="L196" t="inlineStr">
        <is>
          <t>Madrid : Guadarrama ; Barcelona : Labor, 1974.</t>
        </is>
      </c>
      <c r="M196" t="inlineStr">
        <is>
          <t>1974</t>
        </is>
      </c>
      <c r="N196" t="inlineStr">
        <is>
          <t>5a ed.</t>
        </is>
      </c>
      <c r="O196" t="inlineStr">
        <is>
          <t>spa</t>
        </is>
      </c>
      <c r="P196" t="inlineStr">
        <is>
          <t xml:space="preserve">sp </t>
        </is>
      </c>
      <c r="Q196" t="inlineStr">
        <is>
          <t>Colección Textos universitarios ; 1</t>
        </is>
      </c>
      <c r="R196" t="inlineStr">
        <is>
          <t xml:space="preserve">PC </t>
        </is>
      </c>
      <c r="S196" t="n">
        <v>1</v>
      </c>
      <c r="T196" t="n">
        <v>1</v>
      </c>
      <c r="U196" t="inlineStr">
        <is>
          <t>2004-08-03</t>
        </is>
      </c>
      <c r="V196" t="inlineStr">
        <is>
          <t>2004-08-03</t>
        </is>
      </c>
      <c r="W196" t="inlineStr">
        <is>
          <t>2004-08-03</t>
        </is>
      </c>
      <c r="X196" t="inlineStr">
        <is>
          <t>2004-08-03</t>
        </is>
      </c>
      <c r="Y196" t="n">
        <v>28</v>
      </c>
      <c r="Z196" t="n">
        <v>12</v>
      </c>
      <c r="AA196" t="n">
        <v>507</v>
      </c>
      <c r="AB196" t="n">
        <v>1</v>
      </c>
      <c r="AC196" t="n">
        <v>5</v>
      </c>
      <c r="AD196" t="n">
        <v>1</v>
      </c>
      <c r="AE196" t="n">
        <v>30</v>
      </c>
      <c r="AF196" t="n">
        <v>0</v>
      </c>
      <c r="AG196" t="n">
        <v>7</v>
      </c>
      <c r="AH196" t="n">
        <v>0</v>
      </c>
      <c r="AI196" t="n">
        <v>9</v>
      </c>
      <c r="AJ196" t="n">
        <v>1</v>
      </c>
      <c r="AK196" t="n">
        <v>18</v>
      </c>
      <c r="AL196" t="n">
        <v>0</v>
      </c>
      <c r="AM196" t="n">
        <v>4</v>
      </c>
      <c r="AN196" t="n">
        <v>0</v>
      </c>
      <c r="AO196" t="n">
        <v>0</v>
      </c>
      <c r="AP196" t="inlineStr">
        <is>
          <t>No</t>
        </is>
      </c>
      <c r="AQ196" t="inlineStr">
        <is>
          <t>No</t>
        </is>
      </c>
      <c r="AS196">
        <f>HYPERLINK("https://creighton-primo.hosted.exlibrisgroup.com/primo-explore/search?tab=default_tab&amp;search_scope=EVERYTHING&amp;vid=01CRU&amp;lang=en_US&amp;offset=0&amp;query=any,contains,991004335139702656","Catalog Record")</f>
        <v/>
      </c>
      <c r="AT196">
        <f>HYPERLINK("http://www.worldcat.org/oclc/8707356","WorldCat Record")</f>
        <v/>
      </c>
      <c r="AU196" t="inlineStr">
        <is>
          <t>378673183:spa</t>
        </is>
      </c>
      <c r="AV196" t="inlineStr">
        <is>
          <t>8707356</t>
        </is>
      </c>
      <c r="AW196" t="inlineStr">
        <is>
          <t>991004335139702656</t>
        </is>
      </c>
      <c r="AX196" t="inlineStr">
        <is>
          <t>991004335139702656</t>
        </is>
      </c>
      <c r="AY196" t="inlineStr">
        <is>
          <t>2256123490002656</t>
        </is>
      </c>
      <c r="AZ196" t="inlineStr">
        <is>
          <t>BOOK</t>
        </is>
      </c>
      <c r="BB196" t="inlineStr">
        <is>
          <t>9788425056031</t>
        </is>
      </c>
      <c r="BC196" t="inlineStr">
        <is>
          <t>32285004927637</t>
        </is>
      </c>
      <c r="BD196" t="inlineStr">
        <is>
          <t>893782118</t>
        </is>
      </c>
    </row>
    <row r="197">
      <c r="A197" t="inlineStr">
        <is>
          <t>No</t>
        </is>
      </c>
      <c r="B197" t="inlineStr">
        <is>
          <t>PC4519 .B6 1946</t>
        </is>
      </c>
      <c r="C197" t="inlineStr">
        <is>
          <t>0                      PC 4519000B  6           1946</t>
        </is>
      </c>
      <c r="D197" t="inlineStr">
        <is>
          <t>Diccionario de la rima : precedido de un tratado de versificacion / Pascual Bloise Campoy.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Bloise Campoy, Pascual.</t>
        </is>
      </c>
      <c r="L197" t="inlineStr">
        <is>
          <t>Madrid : Aguilar, 1946.</t>
        </is>
      </c>
      <c r="M197" t="inlineStr">
        <is>
          <t>1946</t>
        </is>
      </c>
      <c r="O197" t="inlineStr">
        <is>
          <t>spa</t>
        </is>
      </c>
      <c r="P197" t="inlineStr">
        <is>
          <t xml:space="preserve">sp </t>
        </is>
      </c>
      <c r="R197" t="inlineStr">
        <is>
          <t xml:space="preserve">PC </t>
        </is>
      </c>
      <c r="S197" t="n">
        <v>1</v>
      </c>
      <c r="T197" t="n">
        <v>1</v>
      </c>
      <c r="U197" t="inlineStr">
        <is>
          <t>2001-12-12</t>
        </is>
      </c>
      <c r="V197" t="inlineStr">
        <is>
          <t>2001-12-12</t>
        </is>
      </c>
      <c r="W197" t="inlineStr">
        <is>
          <t>2001-12-11</t>
        </is>
      </c>
      <c r="X197" t="inlineStr">
        <is>
          <t>2001-12-11</t>
        </is>
      </c>
      <c r="Y197" t="n">
        <v>41</v>
      </c>
      <c r="Z197" t="n">
        <v>31</v>
      </c>
      <c r="AA197" t="n">
        <v>33</v>
      </c>
      <c r="AB197" t="n">
        <v>1</v>
      </c>
      <c r="AC197" t="n">
        <v>1</v>
      </c>
      <c r="AD197" t="n">
        <v>1</v>
      </c>
      <c r="AE197" t="n">
        <v>1</v>
      </c>
      <c r="AF197" t="n">
        <v>0</v>
      </c>
      <c r="AG197" t="n">
        <v>0</v>
      </c>
      <c r="AH197" t="n">
        <v>0</v>
      </c>
      <c r="AI197" t="n">
        <v>0</v>
      </c>
      <c r="AJ197" t="n">
        <v>1</v>
      </c>
      <c r="AK197" t="n">
        <v>1</v>
      </c>
      <c r="AL197" t="n">
        <v>0</v>
      </c>
      <c r="AM197" t="n">
        <v>0</v>
      </c>
      <c r="AN197" t="n">
        <v>0</v>
      </c>
      <c r="AO197" t="n">
        <v>0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HYPERLINK("http://catalog.hathitrust.org/Record/001220507","HathiTrust Record")</f>
        <v/>
      </c>
      <c r="AS197">
        <f>HYPERLINK("https://creighton-primo.hosted.exlibrisgroup.com/primo-explore/search?tab=default_tab&amp;search_scope=EVERYTHING&amp;vid=01CRU&amp;lang=en_US&amp;offset=0&amp;query=any,contains,991003694459702656","Catalog Record")</f>
        <v/>
      </c>
      <c r="AT197">
        <f>HYPERLINK("http://www.worldcat.org/oclc/10652277","WorldCat Record")</f>
        <v/>
      </c>
      <c r="AU197" t="inlineStr">
        <is>
          <t>368108495:spa</t>
        </is>
      </c>
      <c r="AV197" t="inlineStr">
        <is>
          <t>10652277</t>
        </is>
      </c>
      <c r="AW197" t="inlineStr">
        <is>
          <t>991003694459702656</t>
        </is>
      </c>
      <c r="AX197" t="inlineStr">
        <is>
          <t>991003694459702656</t>
        </is>
      </c>
      <c r="AY197" t="inlineStr">
        <is>
          <t>2258538590002656</t>
        </is>
      </c>
      <c r="AZ197" t="inlineStr">
        <is>
          <t>BOOK</t>
        </is>
      </c>
      <c r="BC197" t="inlineStr">
        <is>
          <t>32285004427588</t>
        </is>
      </c>
      <c r="BD197" t="inlineStr">
        <is>
          <t>893342870</t>
        </is>
      </c>
    </row>
    <row r="198">
      <c r="A198" t="inlineStr">
        <is>
          <t>No</t>
        </is>
      </c>
      <c r="B198" t="inlineStr">
        <is>
          <t>PC4580 .C59 1980</t>
        </is>
      </c>
      <c r="C198" t="inlineStr">
        <is>
          <t>0                      PC 4580000C  59          1980</t>
        </is>
      </c>
      <c r="D198" t="inlineStr">
        <is>
          <t>Diccionario crítico etimológico castellano e hispánico / por Joan Corominas ; con la colaboración de José A. Pascual.</t>
        </is>
      </c>
      <c r="E198" t="inlineStr">
        <is>
          <t>V. 4</t>
        </is>
      </c>
      <c r="F198" t="inlineStr">
        <is>
          <t>Yes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Coromines, Joan, 1905-1997.</t>
        </is>
      </c>
      <c r="L198" t="inlineStr">
        <is>
          <t>Madrid : Gredos, c1980-c1991.</t>
        </is>
      </c>
      <c r="M198" t="inlineStr">
        <is>
          <t>1980</t>
        </is>
      </c>
      <c r="O198" t="inlineStr">
        <is>
          <t>spa</t>
        </is>
      </c>
      <c r="P198" t="inlineStr">
        <is>
          <t xml:space="preserve">sp </t>
        </is>
      </c>
      <c r="Q198" t="inlineStr">
        <is>
          <t>Biblioteca románica hispánica. V, Diccionarios ; 7</t>
        </is>
      </c>
      <c r="R198" t="inlineStr">
        <is>
          <t xml:space="preserve">PC </t>
        </is>
      </c>
      <c r="S198" t="n">
        <v>1</v>
      </c>
      <c r="T198" t="n">
        <v>9</v>
      </c>
      <c r="U198" t="inlineStr">
        <is>
          <t>2006-06-21</t>
        </is>
      </c>
      <c r="V198" t="inlineStr">
        <is>
          <t>2006-06-21</t>
        </is>
      </c>
      <c r="W198" t="inlineStr">
        <is>
          <t>2006-06-21</t>
        </is>
      </c>
      <c r="X198" t="inlineStr">
        <is>
          <t>2006-06-21</t>
        </is>
      </c>
      <c r="Y198" t="n">
        <v>345</v>
      </c>
      <c r="Z198" t="n">
        <v>260</v>
      </c>
      <c r="AA198" t="n">
        <v>273</v>
      </c>
      <c r="AB198" t="n">
        <v>3</v>
      </c>
      <c r="AC198" t="n">
        <v>3</v>
      </c>
      <c r="AD198" t="n">
        <v>14</v>
      </c>
      <c r="AE198" t="n">
        <v>14</v>
      </c>
      <c r="AF198" t="n">
        <v>2</v>
      </c>
      <c r="AG198" t="n">
        <v>2</v>
      </c>
      <c r="AH198" t="n">
        <v>6</v>
      </c>
      <c r="AI198" t="n">
        <v>6</v>
      </c>
      <c r="AJ198" t="n">
        <v>8</v>
      </c>
      <c r="AK198" t="n">
        <v>8</v>
      </c>
      <c r="AL198" t="n">
        <v>2</v>
      </c>
      <c r="AM198" t="n">
        <v>2</v>
      </c>
      <c r="AN198" t="n">
        <v>0</v>
      </c>
      <c r="AO198" t="n">
        <v>0</v>
      </c>
      <c r="AP198" t="inlineStr">
        <is>
          <t>No</t>
        </is>
      </c>
      <c r="AQ198" t="inlineStr">
        <is>
          <t>Yes</t>
        </is>
      </c>
      <c r="AR198">
        <f>HYPERLINK("http://catalog.hathitrust.org/Record/000704206","HathiTrust Record")</f>
        <v/>
      </c>
      <c r="AS198">
        <f>HYPERLINK("https://creighton-primo.hosted.exlibrisgroup.com/primo-explore/search?tab=default_tab&amp;search_scope=EVERYTHING&amp;vid=01CRU&amp;lang=en_US&amp;offset=0&amp;query=any,contains,991004759079702656","Catalog Record")</f>
        <v/>
      </c>
      <c r="AT198">
        <f>HYPERLINK("http://www.worldcat.org/oclc/9893981","WorldCat Record")</f>
        <v/>
      </c>
      <c r="AU198" t="inlineStr">
        <is>
          <t>3373242971:spa</t>
        </is>
      </c>
      <c r="AV198" t="inlineStr">
        <is>
          <t>9893981</t>
        </is>
      </c>
      <c r="AW198" t="inlineStr">
        <is>
          <t>991004759079702656</t>
        </is>
      </c>
      <c r="AX198" t="inlineStr">
        <is>
          <t>991004759079702656</t>
        </is>
      </c>
      <c r="AY198" t="inlineStr">
        <is>
          <t>2265556220002656</t>
        </is>
      </c>
      <c r="AZ198" t="inlineStr">
        <is>
          <t>BOOK</t>
        </is>
      </c>
      <c r="BB198" t="inlineStr">
        <is>
          <t>9788424913625</t>
        </is>
      </c>
      <c r="BC198" t="inlineStr">
        <is>
          <t>32285005191829</t>
        </is>
      </c>
      <c r="BD198" t="inlineStr">
        <is>
          <t>893719317</t>
        </is>
      </c>
    </row>
    <row r="199">
      <c r="A199" t="inlineStr">
        <is>
          <t>No</t>
        </is>
      </c>
      <c r="B199" t="inlineStr">
        <is>
          <t>PC4580 .C59 1980</t>
        </is>
      </c>
      <c r="C199" t="inlineStr">
        <is>
          <t>0                      PC 4580000C  59          1980</t>
        </is>
      </c>
      <c r="D199" t="inlineStr">
        <is>
          <t>Diccionario crítico etimológico castellano e hispánico / por Joan Corominas ; con la colaboración de José A. Pascual.</t>
        </is>
      </c>
      <c r="E199" t="inlineStr">
        <is>
          <t>V. 2</t>
        </is>
      </c>
      <c r="F199" t="inlineStr">
        <is>
          <t>Yes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Coromines, Joan, 1905-1997.</t>
        </is>
      </c>
      <c r="L199" t="inlineStr">
        <is>
          <t>Madrid : Gredos, c1980-c1991.</t>
        </is>
      </c>
      <c r="M199" t="inlineStr">
        <is>
          <t>1980</t>
        </is>
      </c>
      <c r="O199" t="inlineStr">
        <is>
          <t>spa</t>
        </is>
      </c>
      <c r="P199" t="inlineStr">
        <is>
          <t xml:space="preserve">sp </t>
        </is>
      </c>
      <c r="Q199" t="inlineStr">
        <is>
          <t>Biblioteca románica hispánica. V, Diccionarios ; 7</t>
        </is>
      </c>
      <c r="R199" t="inlineStr">
        <is>
          <t xml:space="preserve">PC </t>
        </is>
      </c>
      <c r="S199" t="n">
        <v>2</v>
      </c>
      <c r="T199" t="n">
        <v>9</v>
      </c>
      <c r="U199" t="inlineStr">
        <is>
          <t>2006-06-21</t>
        </is>
      </c>
      <c r="V199" t="inlineStr">
        <is>
          <t>2006-06-21</t>
        </is>
      </c>
      <c r="W199" t="inlineStr">
        <is>
          <t>2006-06-21</t>
        </is>
      </c>
      <c r="X199" t="inlineStr">
        <is>
          <t>2006-06-21</t>
        </is>
      </c>
      <c r="Y199" t="n">
        <v>345</v>
      </c>
      <c r="Z199" t="n">
        <v>260</v>
      </c>
      <c r="AA199" t="n">
        <v>273</v>
      </c>
      <c r="AB199" t="n">
        <v>3</v>
      </c>
      <c r="AC199" t="n">
        <v>3</v>
      </c>
      <c r="AD199" t="n">
        <v>14</v>
      </c>
      <c r="AE199" t="n">
        <v>14</v>
      </c>
      <c r="AF199" t="n">
        <v>2</v>
      </c>
      <c r="AG199" t="n">
        <v>2</v>
      </c>
      <c r="AH199" t="n">
        <v>6</v>
      </c>
      <c r="AI199" t="n">
        <v>6</v>
      </c>
      <c r="AJ199" t="n">
        <v>8</v>
      </c>
      <c r="AK199" t="n">
        <v>8</v>
      </c>
      <c r="AL199" t="n">
        <v>2</v>
      </c>
      <c r="AM199" t="n">
        <v>2</v>
      </c>
      <c r="AN199" t="n">
        <v>0</v>
      </c>
      <c r="AO199" t="n">
        <v>0</v>
      </c>
      <c r="AP199" t="inlineStr">
        <is>
          <t>No</t>
        </is>
      </c>
      <c r="AQ199" t="inlineStr">
        <is>
          <t>Yes</t>
        </is>
      </c>
      <c r="AR199">
        <f>HYPERLINK("http://catalog.hathitrust.org/Record/000704206","HathiTrust Record")</f>
        <v/>
      </c>
      <c r="AS199">
        <f>HYPERLINK("https://creighton-primo.hosted.exlibrisgroup.com/primo-explore/search?tab=default_tab&amp;search_scope=EVERYTHING&amp;vid=01CRU&amp;lang=en_US&amp;offset=0&amp;query=any,contains,991004759079702656","Catalog Record")</f>
        <v/>
      </c>
      <c r="AT199">
        <f>HYPERLINK("http://www.worldcat.org/oclc/9893981","WorldCat Record")</f>
        <v/>
      </c>
      <c r="AU199" t="inlineStr">
        <is>
          <t>3373242971:spa</t>
        </is>
      </c>
      <c r="AV199" t="inlineStr">
        <is>
          <t>9893981</t>
        </is>
      </c>
      <c r="AW199" t="inlineStr">
        <is>
          <t>991004759079702656</t>
        </is>
      </c>
      <c r="AX199" t="inlineStr">
        <is>
          <t>991004759079702656</t>
        </is>
      </c>
      <c r="AY199" t="inlineStr">
        <is>
          <t>2265556220002656</t>
        </is>
      </c>
      <c r="AZ199" t="inlineStr">
        <is>
          <t>BOOK</t>
        </is>
      </c>
      <c r="BB199" t="inlineStr">
        <is>
          <t>9788424913625</t>
        </is>
      </c>
      <c r="BC199" t="inlineStr">
        <is>
          <t>32285005191803</t>
        </is>
      </c>
      <c r="BD199" t="inlineStr">
        <is>
          <t>893719316</t>
        </is>
      </c>
    </row>
    <row r="200">
      <c r="A200" t="inlineStr">
        <is>
          <t>No</t>
        </is>
      </c>
      <c r="B200" t="inlineStr">
        <is>
          <t>PC4580 .C59 1980</t>
        </is>
      </c>
      <c r="C200" t="inlineStr">
        <is>
          <t>0                      PC 4580000C  59          1980</t>
        </is>
      </c>
      <c r="D200" t="inlineStr">
        <is>
          <t>Diccionario crítico etimológico castellano e hispánico / por Joan Corominas ; con la colaboración de José A. Pascual.</t>
        </is>
      </c>
      <c r="E200" t="inlineStr">
        <is>
          <t>V. 5</t>
        </is>
      </c>
      <c r="F200" t="inlineStr">
        <is>
          <t>Yes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Coromines, Joan, 1905-1997.</t>
        </is>
      </c>
      <c r="L200" t="inlineStr">
        <is>
          <t>Madrid : Gredos, c1980-c1991.</t>
        </is>
      </c>
      <c r="M200" t="inlineStr">
        <is>
          <t>1980</t>
        </is>
      </c>
      <c r="O200" t="inlineStr">
        <is>
          <t>spa</t>
        </is>
      </c>
      <c r="P200" t="inlineStr">
        <is>
          <t xml:space="preserve">sp </t>
        </is>
      </c>
      <c r="Q200" t="inlineStr">
        <is>
          <t>Biblioteca románica hispánica. V, Diccionarios ; 7</t>
        </is>
      </c>
      <c r="R200" t="inlineStr">
        <is>
          <t xml:space="preserve">PC </t>
        </is>
      </c>
      <c r="S200" t="n">
        <v>1</v>
      </c>
      <c r="T200" t="n">
        <v>9</v>
      </c>
      <c r="U200" t="inlineStr">
        <is>
          <t>2006-06-21</t>
        </is>
      </c>
      <c r="V200" t="inlineStr">
        <is>
          <t>2006-06-21</t>
        </is>
      </c>
      <c r="W200" t="inlineStr">
        <is>
          <t>2006-06-21</t>
        </is>
      </c>
      <c r="X200" t="inlineStr">
        <is>
          <t>2006-06-21</t>
        </is>
      </c>
      <c r="Y200" t="n">
        <v>345</v>
      </c>
      <c r="Z200" t="n">
        <v>260</v>
      </c>
      <c r="AA200" t="n">
        <v>273</v>
      </c>
      <c r="AB200" t="n">
        <v>3</v>
      </c>
      <c r="AC200" t="n">
        <v>3</v>
      </c>
      <c r="AD200" t="n">
        <v>14</v>
      </c>
      <c r="AE200" t="n">
        <v>14</v>
      </c>
      <c r="AF200" t="n">
        <v>2</v>
      </c>
      <c r="AG200" t="n">
        <v>2</v>
      </c>
      <c r="AH200" t="n">
        <v>6</v>
      </c>
      <c r="AI200" t="n">
        <v>6</v>
      </c>
      <c r="AJ200" t="n">
        <v>8</v>
      </c>
      <c r="AK200" t="n">
        <v>8</v>
      </c>
      <c r="AL200" t="n">
        <v>2</v>
      </c>
      <c r="AM200" t="n">
        <v>2</v>
      </c>
      <c r="AN200" t="n">
        <v>0</v>
      </c>
      <c r="AO200" t="n">
        <v>0</v>
      </c>
      <c r="AP200" t="inlineStr">
        <is>
          <t>No</t>
        </is>
      </c>
      <c r="AQ200" t="inlineStr">
        <is>
          <t>Yes</t>
        </is>
      </c>
      <c r="AR200">
        <f>HYPERLINK("http://catalog.hathitrust.org/Record/000704206","HathiTrust Record")</f>
        <v/>
      </c>
      <c r="AS200">
        <f>HYPERLINK("https://creighton-primo.hosted.exlibrisgroup.com/primo-explore/search?tab=default_tab&amp;search_scope=EVERYTHING&amp;vid=01CRU&amp;lang=en_US&amp;offset=0&amp;query=any,contains,991004759079702656","Catalog Record")</f>
        <v/>
      </c>
      <c r="AT200">
        <f>HYPERLINK("http://www.worldcat.org/oclc/9893981","WorldCat Record")</f>
        <v/>
      </c>
      <c r="AU200" t="inlineStr">
        <is>
          <t>3373242971:spa</t>
        </is>
      </c>
      <c r="AV200" t="inlineStr">
        <is>
          <t>9893981</t>
        </is>
      </c>
      <c r="AW200" t="inlineStr">
        <is>
          <t>991004759079702656</t>
        </is>
      </c>
      <c r="AX200" t="inlineStr">
        <is>
          <t>991004759079702656</t>
        </is>
      </c>
      <c r="AY200" t="inlineStr">
        <is>
          <t>2265556220002656</t>
        </is>
      </c>
      <c r="AZ200" t="inlineStr">
        <is>
          <t>BOOK</t>
        </is>
      </c>
      <c r="BB200" t="inlineStr">
        <is>
          <t>9788424913625</t>
        </is>
      </c>
      <c r="BC200" t="inlineStr">
        <is>
          <t>32285005191837</t>
        </is>
      </c>
      <c r="BD200" t="inlineStr">
        <is>
          <t>893719315</t>
        </is>
      </c>
    </row>
    <row r="201">
      <c r="A201" t="inlineStr">
        <is>
          <t>No</t>
        </is>
      </c>
      <c r="B201" t="inlineStr">
        <is>
          <t>PC4580 .C59 1980</t>
        </is>
      </c>
      <c r="C201" t="inlineStr">
        <is>
          <t>0                      PC 4580000C  59          1980</t>
        </is>
      </c>
      <c r="D201" t="inlineStr">
        <is>
          <t>Diccionario crítico etimológico castellano e hispánico / por Joan Corominas ; con la colaboración de José A. Pascual.</t>
        </is>
      </c>
      <c r="E201" t="inlineStr">
        <is>
          <t>V. 1</t>
        </is>
      </c>
      <c r="F201" t="inlineStr">
        <is>
          <t>Yes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Coromines, Joan, 1905-1997.</t>
        </is>
      </c>
      <c r="L201" t="inlineStr">
        <is>
          <t>Madrid : Gredos, c1980-c1991.</t>
        </is>
      </c>
      <c r="M201" t="inlineStr">
        <is>
          <t>1980</t>
        </is>
      </c>
      <c r="O201" t="inlineStr">
        <is>
          <t>spa</t>
        </is>
      </c>
      <c r="P201" t="inlineStr">
        <is>
          <t xml:space="preserve">sp </t>
        </is>
      </c>
      <c r="Q201" t="inlineStr">
        <is>
          <t>Biblioteca románica hispánica. V, Diccionarios ; 7</t>
        </is>
      </c>
      <c r="R201" t="inlineStr">
        <is>
          <t xml:space="preserve">PC </t>
        </is>
      </c>
      <c r="S201" t="n">
        <v>2</v>
      </c>
      <c r="T201" t="n">
        <v>9</v>
      </c>
      <c r="U201" t="inlineStr">
        <is>
          <t>2006-06-21</t>
        </is>
      </c>
      <c r="V201" t="inlineStr">
        <is>
          <t>2006-06-21</t>
        </is>
      </c>
      <c r="W201" t="inlineStr">
        <is>
          <t>2006-06-21</t>
        </is>
      </c>
      <c r="X201" t="inlineStr">
        <is>
          <t>2006-06-21</t>
        </is>
      </c>
      <c r="Y201" t="n">
        <v>345</v>
      </c>
      <c r="Z201" t="n">
        <v>260</v>
      </c>
      <c r="AA201" t="n">
        <v>273</v>
      </c>
      <c r="AB201" t="n">
        <v>3</v>
      </c>
      <c r="AC201" t="n">
        <v>3</v>
      </c>
      <c r="AD201" t="n">
        <v>14</v>
      </c>
      <c r="AE201" t="n">
        <v>14</v>
      </c>
      <c r="AF201" t="n">
        <v>2</v>
      </c>
      <c r="AG201" t="n">
        <v>2</v>
      </c>
      <c r="AH201" t="n">
        <v>6</v>
      </c>
      <c r="AI201" t="n">
        <v>6</v>
      </c>
      <c r="AJ201" t="n">
        <v>8</v>
      </c>
      <c r="AK201" t="n">
        <v>8</v>
      </c>
      <c r="AL201" t="n">
        <v>2</v>
      </c>
      <c r="AM201" t="n">
        <v>2</v>
      </c>
      <c r="AN201" t="n">
        <v>0</v>
      </c>
      <c r="AO201" t="n">
        <v>0</v>
      </c>
      <c r="AP201" t="inlineStr">
        <is>
          <t>No</t>
        </is>
      </c>
      <c r="AQ201" t="inlineStr">
        <is>
          <t>Yes</t>
        </is>
      </c>
      <c r="AR201">
        <f>HYPERLINK("http://catalog.hathitrust.org/Record/000704206","HathiTrust Record")</f>
        <v/>
      </c>
      <c r="AS201">
        <f>HYPERLINK("https://creighton-primo.hosted.exlibrisgroup.com/primo-explore/search?tab=default_tab&amp;search_scope=EVERYTHING&amp;vid=01CRU&amp;lang=en_US&amp;offset=0&amp;query=any,contains,991004759079702656","Catalog Record")</f>
        <v/>
      </c>
      <c r="AT201">
        <f>HYPERLINK("http://www.worldcat.org/oclc/9893981","WorldCat Record")</f>
        <v/>
      </c>
      <c r="AU201" t="inlineStr">
        <is>
          <t>3373242971:spa</t>
        </is>
      </c>
      <c r="AV201" t="inlineStr">
        <is>
          <t>9893981</t>
        </is>
      </c>
      <c r="AW201" t="inlineStr">
        <is>
          <t>991004759079702656</t>
        </is>
      </c>
      <c r="AX201" t="inlineStr">
        <is>
          <t>991004759079702656</t>
        </is>
      </c>
      <c r="AY201" t="inlineStr">
        <is>
          <t>2265556220002656</t>
        </is>
      </c>
      <c r="AZ201" t="inlineStr">
        <is>
          <t>BOOK</t>
        </is>
      </c>
      <c r="BB201" t="inlineStr">
        <is>
          <t>9788424913625</t>
        </is>
      </c>
      <c r="BC201" t="inlineStr">
        <is>
          <t>32285005191795</t>
        </is>
      </c>
      <c r="BD201" t="inlineStr">
        <is>
          <t>893719318</t>
        </is>
      </c>
    </row>
    <row r="202">
      <c r="A202" t="inlineStr">
        <is>
          <t>No</t>
        </is>
      </c>
      <c r="B202" t="inlineStr">
        <is>
          <t>PC4580 .C59 1980</t>
        </is>
      </c>
      <c r="C202" t="inlineStr">
        <is>
          <t>0                      PC 4580000C  59          1980</t>
        </is>
      </c>
      <c r="D202" t="inlineStr">
        <is>
          <t>Diccionario crítico etimológico castellano e hispánico / por Joan Corominas ; con la colaboración de José A. Pascual.</t>
        </is>
      </c>
      <c r="E202" t="inlineStr">
        <is>
          <t>V. 3</t>
        </is>
      </c>
      <c r="F202" t="inlineStr">
        <is>
          <t>Yes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Coromines, Joan, 1905-1997.</t>
        </is>
      </c>
      <c r="L202" t="inlineStr">
        <is>
          <t>Madrid : Gredos, c1980-c1991.</t>
        </is>
      </c>
      <c r="M202" t="inlineStr">
        <is>
          <t>1980</t>
        </is>
      </c>
      <c r="O202" t="inlineStr">
        <is>
          <t>spa</t>
        </is>
      </c>
      <c r="P202" t="inlineStr">
        <is>
          <t xml:space="preserve">sp </t>
        </is>
      </c>
      <c r="Q202" t="inlineStr">
        <is>
          <t>Biblioteca románica hispánica. V, Diccionarios ; 7</t>
        </is>
      </c>
      <c r="R202" t="inlineStr">
        <is>
          <t xml:space="preserve">PC </t>
        </is>
      </c>
      <c r="S202" t="n">
        <v>2</v>
      </c>
      <c r="T202" t="n">
        <v>9</v>
      </c>
      <c r="U202" t="inlineStr">
        <is>
          <t>2006-06-21</t>
        </is>
      </c>
      <c r="V202" t="inlineStr">
        <is>
          <t>2006-06-21</t>
        </is>
      </c>
      <c r="W202" t="inlineStr">
        <is>
          <t>2006-06-21</t>
        </is>
      </c>
      <c r="X202" t="inlineStr">
        <is>
          <t>2006-06-21</t>
        </is>
      </c>
      <c r="Y202" t="n">
        <v>345</v>
      </c>
      <c r="Z202" t="n">
        <v>260</v>
      </c>
      <c r="AA202" t="n">
        <v>273</v>
      </c>
      <c r="AB202" t="n">
        <v>3</v>
      </c>
      <c r="AC202" t="n">
        <v>3</v>
      </c>
      <c r="AD202" t="n">
        <v>14</v>
      </c>
      <c r="AE202" t="n">
        <v>14</v>
      </c>
      <c r="AF202" t="n">
        <v>2</v>
      </c>
      <c r="AG202" t="n">
        <v>2</v>
      </c>
      <c r="AH202" t="n">
        <v>6</v>
      </c>
      <c r="AI202" t="n">
        <v>6</v>
      </c>
      <c r="AJ202" t="n">
        <v>8</v>
      </c>
      <c r="AK202" t="n">
        <v>8</v>
      </c>
      <c r="AL202" t="n">
        <v>2</v>
      </c>
      <c r="AM202" t="n">
        <v>2</v>
      </c>
      <c r="AN202" t="n">
        <v>0</v>
      </c>
      <c r="AO202" t="n">
        <v>0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HYPERLINK("http://catalog.hathitrust.org/Record/000704206","HathiTrust Record")</f>
        <v/>
      </c>
      <c r="AS202">
        <f>HYPERLINK("https://creighton-primo.hosted.exlibrisgroup.com/primo-explore/search?tab=default_tab&amp;search_scope=EVERYTHING&amp;vid=01CRU&amp;lang=en_US&amp;offset=0&amp;query=any,contains,991004759079702656","Catalog Record")</f>
        <v/>
      </c>
      <c r="AT202">
        <f>HYPERLINK("http://www.worldcat.org/oclc/9893981","WorldCat Record")</f>
        <v/>
      </c>
      <c r="AU202" t="inlineStr">
        <is>
          <t>3373242971:spa</t>
        </is>
      </c>
      <c r="AV202" t="inlineStr">
        <is>
          <t>9893981</t>
        </is>
      </c>
      <c r="AW202" t="inlineStr">
        <is>
          <t>991004759079702656</t>
        </is>
      </c>
      <c r="AX202" t="inlineStr">
        <is>
          <t>991004759079702656</t>
        </is>
      </c>
      <c r="AY202" t="inlineStr">
        <is>
          <t>2265556220002656</t>
        </is>
      </c>
      <c r="AZ202" t="inlineStr">
        <is>
          <t>BOOK</t>
        </is>
      </c>
      <c r="BB202" t="inlineStr">
        <is>
          <t>9788424913625</t>
        </is>
      </c>
      <c r="BC202" t="inlineStr">
        <is>
          <t>32285005191811</t>
        </is>
      </c>
      <c r="BD202" t="inlineStr">
        <is>
          <t>893700621</t>
        </is>
      </c>
    </row>
    <row r="203">
      <c r="A203" t="inlineStr">
        <is>
          <t>No</t>
        </is>
      </c>
      <c r="B203" t="inlineStr">
        <is>
          <t>PC4580 .C59 1980</t>
        </is>
      </c>
      <c r="C203" t="inlineStr">
        <is>
          <t>0                      PC 4580000C  59          1980</t>
        </is>
      </c>
      <c r="D203" t="inlineStr">
        <is>
          <t>Diccionario crítico etimológico castellano e hispánico / por Joan Corominas ; con la colaboración de José A. Pascual.</t>
        </is>
      </c>
      <c r="E203" t="inlineStr">
        <is>
          <t>V. 6</t>
        </is>
      </c>
      <c r="F203" t="inlineStr">
        <is>
          <t>Yes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Coromines, Joan, 1905-1997.</t>
        </is>
      </c>
      <c r="L203" t="inlineStr">
        <is>
          <t>Madrid : Gredos, c1980-c1991.</t>
        </is>
      </c>
      <c r="M203" t="inlineStr">
        <is>
          <t>1980</t>
        </is>
      </c>
      <c r="O203" t="inlineStr">
        <is>
          <t>spa</t>
        </is>
      </c>
      <c r="P203" t="inlineStr">
        <is>
          <t xml:space="preserve">sp </t>
        </is>
      </c>
      <c r="Q203" t="inlineStr">
        <is>
          <t>Biblioteca románica hispánica. V, Diccionarios ; 7</t>
        </is>
      </c>
      <c r="R203" t="inlineStr">
        <is>
          <t xml:space="preserve">PC </t>
        </is>
      </c>
      <c r="S203" t="n">
        <v>1</v>
      </c>
      <c r="T203" t="n">
        <v>9</v>
      </c>
      <c r="U203" t="inlineStr">
        <is>
          <t>2006-06-21</t>
        </is>
      </c>
      <c r="V203" t="inlineStr">
        <is>
          <t>2006-06-21</t>
        </is>
      </c>
      <c r="W203" t="inlineStr">
        <is>
          <t>2006-06-21</t>
        </is>
      </c>
      <c r="X203" t="inlineStr">
        <is>
          <t>2006-06-21</t>
        </is>
      </c>
      <c r="Y203" t="n">
        <v>345</v>
      </c>
      <c r="Z203" t="n">
        <v>260</v>
      </c>
      <c r="AA203" t="n">
        <v>273</v>
      </c>
      <c r="AB203" t="n">
        <v>3</v>
      </c>
      <c r="AC203" t="n">
        <v>3</v>
      </c>
      <c r="AD203" t="n">
        <v>14</v>
      </c>
      <c r="AE203" t="n">
        <v>14</v>
      </c>
      <c r="AF203" t="n">
        <v>2</v>
      </c>
      <c r="AG203" t="n">
        <v>2</v>
      </c>
      <c r="AH203" t="n">
        <v>6</v>
      </c>
      <c r="AI203" t="n">
        <v>6</v>
      </c>
      <c r="AJ203" t="n">
        <v>8</v>
      </c>
      <c r="AK203" t="n">
        <v>8</v>
      </c>
      <c r="AL203" t="n">
        <v>2</v>
      </c>
      <c r="AM203" t="n">
        <v>2</v>
      </c>
      <c r="AN203" t="n">
        <v>0</v>
      </c>
      <c r="AO203" t="n">
        <v>0</v>
      </c>
      <c r="AP203" t="inlineStr">
        <is>
          <t>No</t>
        </is>
      </c>
      <c r="AQ203" t="inlineStr">
        <is>
          <t>Yes</t>
        </is>
      </c>
      <c r="AR203">
        <f>HYPERLINK("http://catalog.hathitrust.org/Record/000704206","HathiTrust Record")</f>
        <v/>
      </c>
      <c r="AS203">
        <f>HYPERLINK("https://creighton-primo.hosted.exlibrisgroup.com/primo-explore/search?tab=default_tab&amp;search_scope=EVERYTHING&amp;vid=01CRU&amp;lang=en_US&amp;offset=0&amp;query=any,contains,991004759079702656","Catalog Record")</f>
        <v/>
      </c>
      <c r="AT203">
        <f>HYPERLINK("http://www.worldcat.org/oclc/9893981","WorldCat Record")</f>
        <v/>
      </c>
      <c r="AU203" t="inlineStr">
        <is>
          <t>3373242971:spa</t>
        </is>
      </c>
      <c r="AV203" t="inlineStr">
        <is>
          <t>9893981</t>
        </is>
      </c>
      <c r="AW203" t="inlineStr">
        <is>
          <t>991004759079702656</t>
        </is>
      </c>
      <c r="AX203" t="inlineStr">
        <is>
          <t>991004759079702656</t>
        </is>
      </c>
      <c r="AY203" t="inlineStr">
        <is>
          <t>2265556220002656</t>
        </is>
      </c>
      <c r="AZ203" t="inlineStr">
        <is>
          <t>BOOK</t>
        </is>
      </c>
      <c r="BB203" t="inlineStr">
        <is>
          <t>9788424913625</t>
        </is>
      </c>
      <c r="BC203" t="inlineStr">
        <is>
          <t>32285005191845</t>
        </is>
      </c>
      <c r="BD203" t="inlineStr">
        <is>
          <t>893700620</t>
        </is>
      </c>
    </row>
    <row r="204">
      <c r="A204" t="inlineStr">
        <is>
          <t>No</t>
        </is>
      </c>
      <c r="B204" t="inlineStr">
        <is>
          <t>PC4625 .C3 1959</t>
        </is>
      </c>
      <c r="C204" t="inlineStr">
        <is>
          <t>0                      PC 4625000C  3           1959</t>
        </is>
      </c>
      <c r="D204" t="inlineStr">
        <is>
          <t>Diccionario ideológico de la lengua española : desde la idea a la palabra, desde la palabra a la idea / Julio Casares.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Casares, Julio, 1877-1964.</t>
        </is>
      </c>
      <c r="L204" t="inlineStr">
        <is>
          <t>Barcelona : Editorial G. Gili, 1959.</t>
        </is>
      </c>
      <c r="M204" t="inlineStr">
        <is>
          <t>1959</t>
        </is>
      </c>
      <c r="N204" t="inlineStr">
        <is>
          <t>2. ed., corr., aumentada y puesta al día.</t>
        </is>
      </c>
      <c r="O204" t="inlineStr">
        <is>
          <t>spa</t>
        </is>
      </c>
      <c r="P204" t="inlineStr">
        <is>
          <t xml:space="preserve">sp </t>
        </is>
      </c>
      <c r="R204" t="inlineStr">
        <is>
          <t xml:space="preserve">PC </t>
        </is>
      </c>
      <c r="S204" t="n">
        <v>1</v>
      </c>
      <c r="T204" t="n">
        <v>1</v>
      </c>
      <c r="U204" t="inlineStr">
        <is>
          <t>2001-12-12</t>
        </is>
      </c>
      <c r="V204" t="inlineStr">
        <is>
          <t>2001-12-12</t>
        </is>
      </c>
      <c r="W204" t="inlineStr">
        <is>
          <t>2001-12-11</t>
        </is>
      </c>
      <c r="X204" t="inlineStr">
        <is>
          <t>2001-12-11</t>
        </is>
      </c>
      <c r="Y204" t="n">
        <v>130</v>
      </c>
      <c r="Z204" t="n">
        <v>117</v>
      </c>
      <c r="AA204" t="n">
        <v>311</v>
      </c>
      <c r="AB204" t="n">
        <v>3</v>
      </c>
      <c r="AC204" t="n">
        <v>3</v>
      </c>
      <c r="AD204" t="n">
        <v>7</v>
      </c>
      <c r="AE204" t="n">
        <v>14</v>
      </c>
      <c r="AF204" t="n">
        <v>1</v>
      </c>
      <c r="AG204" t="n">
        <v>1</v>
      </c>
      <c r="AH204" t="n">
        <v>2</v>
      </c>
      <c r="AI204" t="n">
        <v>5</v>
      </c>
      <c r="AJ204" t="n">
        <v>4</v>
      </c>
      <c r="AK204" t="n">
        <v>10</v>
      </c>
      <c r="AL204" t="n">
        <v>2</v>
      </c>
      <c r="AM204" t="n">
        <v>2</v>
      </c>
      <c r="AN204" t="n">
        <v>0</v>
      </c>
      <c r="AO204" t="n">
        <v>0</v>
      </c>
      <c r="AP204" t="inlineStr">
        <is>
          <t>No</t>
        </is>
      </c>
      <c r="AQ204" t="inlineStr">
        <is>
          <t>No</t>
        </is>
      </c>
      <c r="AS204">
        <f>HYPERLINK("https://creighton-primo.hosted.exlibrisgroup.com/primo-explore/search?tab=default_tab&amp;search_scope=EVERYTHING&amp;vid=01CRU&amp;lang=en_US&amp;offset=0&amp;query=any,contains,991003694649702656","Catalog Record")</f>
        <v/>
      </c>
      <c r="AT204">
        <f>HYPERLINK("http://www.worldcat.org/oclc/7324686","WorldCat Record")</f>
        <v/>
      </c>
      <c r="AU204" t="inlineStr">
        <is>
          <t>3521640:spa</t>
        </is>
      </c>
      <c r="AV204" t="inlineStr">
        <is>
          <t>7324686</t>
        </is>
      </c>
      <c r="AW204" t="inlineStr">
        <is>
          <t>991003694649702656</t>
        </is>
      </c>
      <c r="AX204" t="inlineStr">
        <is>
          <t>991003694649702656</t>
        </is>
      </c>
      <c r="AY204" t="inlineStr">
        <is>
          <t>2264526920002656</t>
        </is>
      </c>
      <c r="AZ204" t="inlineStr">
        <is>
          <t>BOOK</t>
        </is>
      </c>
      <c r="BC204" t="inlineStr">
        <is>
          <t>32285004427497</t>
        </is>
      </c>
      <c r="BD204" t="inlineStr">
        <is>
          <t>893887768</t>
        </is>
      </c>
    </row>
    <row r="205">
      <c r="A205" t="inlineStr">
        <is>
          <t>No</t>
        </is>
      </c>
      <c r="B205" t="inlineStr">
        <is>
          <t>PC4635 .S45 1992</t>
        </is>
      </c>
      <c r="C205" t="inlineStr">
        <is>
          <t>0                      PC 4635000S  45          1992</t>
        </is>
      </c>
      <c r="D205" t="inlineStr">
        <is>
          <t>Diccionario ingles-espanol-tzotzil / R. Seibert.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Seibert, R.</t>
        </is>
      </c>
      <c r="L205" t="inlineStr">
        <is>
          <t>[S.l. : s.n.], 1992.</t>
        </is>
      </c>
      <c r="M205" t="inlineStr">
        <is>
          <t>1992</t>
        </is>
      </c>
      <c r="O205" t="inlineStr">
        <is>
          <t>spa</t>
        </is>
      </c>
      <c r="P205" t="inlineStr">
        <is>
          <t xml:space="preserve">xx </t>
        </is>
      </c>
      <c r="R205" t="inlineStr">
        <is>
          <t xml:space="preserve">PC </t>
        </is>
      </c>
      <c r="S205" t="n">
        <v>2</v>
      </c>
      <c r="T205" t="n">
        <v>2</v>
      </c>
      <c r="U205" t="inlineStr">
        <is>
          <t>2006-02-14</t>
        </is>
      </c>
      <c r="V205" t="inlineStr">
        <is>
          <t>2006-02-14</t>
        </is>
      </c>
      <c r="W205" t="inlineStr">
        <is>
          <t>2006-01-23</t>
        </is>
      </c>
      <c r="X205" t="inlineStr">
        <is>
          <t>2006-01-23</t>
        </is>
      </c>
      <c r="Y205" t="n">
        <v>1</v>
      </c>
      <c r="Z205" t="n">
        <v>1</v>
      </c>
      <c r="AA205" t="n">
        <v>1</v>
      </c>
      <c r="AB205" t="n">
        <v>1</v>
      </c>
      <c r="AC205" t="n">
        <v>1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inlineStr">
        <is>
          <t>No</t>
        </is>
      </c>
      <c r="AQ205" t="inlineStr">
        <is>
          <t>No</t>
        </is>
      </c>
      <c r="AS205">
        <f>HYPERLINK("https://creighton-primo.hosted.exlibrisgroup.com/primo-explore/search?tab=default_tab&amp;search_scope=EVERYTHING&amp;vid=01CRU&amp;lang=en_US&amp;offset=0&amp;query=any,contains,991004720279702656","Catalog Record")</f>
        <v/>
      </c>
      <c r="AT205">
        <f>HYPERLINK("http://www.worldcat.org/oclc/62740335","WorldCat Record")</f>
        <v/>
      </c>
      <c r="AU205" t="inlineStr">
        <is>
          <t>47059909:spa</t>
        </is>
      </c>
      <c r="AV205" t="inlineStr">
        <is>
          <t>62740335</t>
        </is>
      </c>
      <c r="AW205" t="inlineStr">
        <is>
          <t>991004720279702656</t>
        </is>
      </c>
      <c r="AX205" t="inlineStr">
        <is>
          <t>991004720279702656</t>
        </is>
      </c>
      <c r="AY205" t="inlineStr">
        <is>
          <t>2255733790002656</t>
        </is>
      </c>
      <c r="AZ205" t="inlineStr">
        <is>
          <t>BOOK</t>
        </is>
      </c>
      <c r="BC205" t="inlineStr">
        <is>
          <t>32285005107908</t>
        </is>
      </c>
      <c r="BD205" t="inlineStr">
        <is>
          <t>893247898</t>
        </is>
      </c>
    </row>
    <row r="206">
      <c r="A206" t="inlineStr">
        <is>
          <t>No</t>
        </is>
      </c>
      <c r="B206" t="inlineStr">
        <is>
          <t>PC4640 .S48 1973</t>
        </is>
      </c>
      <c r="C206" t="inlineStr">
        <is>
          <t>0                      PC 4640000S  48          1973</t>
        </is>
      </c>
      <c r="D206" t="inlineStr">
        <is>
          <t>Simon and Schuster's international dictionary. Diccionario internacional Simon and Schuster. English/Spanish, Spanish/English. Tana de Gámez, editor in chief.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L206" t="inlineStr">
        <is>
          <t>New York : Simon and Schuster, [1973]</t>
        </is>
      </c>
      <c r="M206" t="inlineStr">
        <is>
          <t>1973</t>
        </is>
      </c>
      <c r="O206" t="inlineStr">
        <is>
          <t>eng</t>
        </is>
      </c>
      <c r="P206" t="inlineStr">
        <is>
          <t>nyu</t>
        </is>
      </c>
      <c r="R206" t="inlineStr">
        <is>
          <t xml:space="preserve">PC </t>
        </is>
      </c>
      <c r="S206" t="n">
        <v>5</v>
      </c>
      <c r="T206" t="n">
        <v>5</v>
      </c>
      <c r="U206" t="inlineStr">
        <is>
          <t>2006-07-13</t>
        </is>
      </c>
      <c r="V206" t="inlineStr">
        <is>
          <t>2006-07-13</t>
        </is>
      </c>
      <c r="W206" t="inlineStr">
        <is>
          <t>2001-10-29</t>
        </is>
      </c>
      <c r="X206" t="inlineStr">
        <is>
          <t>2001-10-29</t>
        </is>
      </c>
      <c r="Y206" t="n">
        <v>982</v>
      </c>
      <c r="Z206" t="n">
        <v>901</v>
      </c>
      <c r="AA206" t="n">
        <v>978</v>
      </c>
      <c r="AB206" t="n">
        <v>7</v>
      </c>
      <c r="AC206" t="n">
        <v>7</v>
      </c>
      <c r="AD206" t="n">
        <v>20</v>
      </c>
      <c r="AE206" t="n">
        <v>20</v>
      </c>
      <c r="AF206" t="n">
        <v>7</v>
      </c>
      <c r="AG206" t="n">
        <v>7</v>
      </c>
      <c r="AH206" t="n">
        <v>3</v>
      </c>
      <c r="AI206" t="n">
        <v>3</v>
      </c>
      <c r="AJ206" t="n">
        <v>7</v>
      </c>
      <c r="AK206" t="n">
        <v>7</v>
      </c>
      <c r="AL206" t="n">
        <v>5</v>
      </c>
      <c r="AM206" t="n">
        <v>5</v>
      </c>
      <c r="AN206" t="n">
        <v>0</v>
      </c>
      <c r="AO206" t="n">
        <v>0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HYPERLINK("http://catalog.hathitrust.org/Record/001770735","HathiTrust Record")</f>
        <v/>
      </c>
      <c r="AS206">
        <f>HYPERLINK("https://creighton-primo.hosted.exlibrisgroup.com/primo-explore/search?tab=default_tab&amp;search_scope=EVERYTHING&amp;vid=01CRU&amp;lang=en_US&amp;offset=0&amp;query=any,contains,991003662749702656","Catalog Record")</f>
        <v/>
      </c>
      <c r="AT206">
        <f>HYPERLINK("http://www.worldcat.org/oclc/621861","WorldCat Record")</f>
        <v/>
      </c>
      <c r="AU206" t="inlineStr">
        <is>
          <t>889800507:eng</t>
        </is>
      </c>
      <c r="AV206" t="inlineStr">
        <is>
          <t>621861</t>
        </is>
      </c>
      <c r="AW206" t="inlineStr">
        <is>
          <t>991003662749702656</t>
        </is>
      </c>
      <c r="AX206" t="inlineStr">
        <is>
          <t>991003662749702656</t>
        </is>
      </c>
      <c r="AY206" t="inlineStr">
        <is>
          <t>2256949060002656</t>
        </is>
      </c>
      <c r="AZ206" t="inlineStr">
        <is>
          <t>BOOK</t>
        </is>
      </c>
      <c r="BB206" t="inlineStr">
        <is>
          <t>9780671215071</t>
        </is>
      </c>
      <c r="BC206" t="inlineStr">
        <is>
          <t>32285002091527</t>
        </is>
      </c>
      <c r="BD206" t="inlineStr">
        <is>
          <t>893800007</t>
        </is>
      </c>
    </row>
    <row r="207">
      <c r="A207" t="inlineStr">
        <is>
          <t>No</t>
        </is>
      </c>
      <c r="B207" t="inlineStr">
        <is>
          <t>PC4689 .N38 2003</t>
        </is>
      </c>
      <c r="C207" t="inlineStr">
        <is>
          <t>0                      PC 4689000N  38          2003</t>
        </is>
      </c>
      <c r="D207" t="inlineStr">
        <is>
          <t>Mastering Spanish vocabulary : a thematic approach / José María Navarro and Axel J. Navarro Ramil.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Navarro, José María.</t>
        </is>
      </c>
      <c r="L207" t="inlineStr">
        <is>
          <t>Hauppauge, NY : Barron's, c2003.</t>
        </is>
      </c>
      <c r="M207" t="inlineStr">
        <is>
          <t>2003</t>
        </is>
      </c>
      <c r="N207" t="inlineStr">
        <is>
          <t>2nd ed.</t>
        </is>
      </c>
      <c r="O207" t="inlineStr">
        <is>
          <t>eng</t>
        </is>
      </c>
      <c r="P207" t="inlineStr">
        <is>
          <t>nyu</t>
        </is>
      </c>
      <c r="R207" t="inlineStr">
        <is>
          <t xml:space="preserve">PC </t>
        </is>
      </c>
      <c r="S207" t="n">
        <v>8</v>
      </c>
      <c r="T207" t="n">
        <v>8</v>
      </c>
      <c r="U207" t="inlineStr">
        <is>
          <t>2008-09-03</t>
        </is>
      </c>
      <c r="V207" t="inlineStr">
        <is>
          <t>2008-09-03</t>
        </is>
      </c>
      <c r="W207" t="inlineStr">
        <is>
          <t>2004-01-10</t>
        </is>
      </c>
      <c r="X207" t="inlineStr">
        <is>
          <t>2004-01-10</t>
        </is>
      </c>
      <c r="Y207" t="n">
        <v>207</v>
      </c>
      <c r="Z207" t="n">
        <v>176</v>
      </c>
      <c r="AA207" t="n">
        <v>373</v>
      </c>
      <c r="AB207" t="n">
        <v>2</v>
      </c>
      <c r="AC207" t="n">
        <v>4</v>
      </c>
      <c r="AD207" t="n">
        <v>1</v>
      </c>
      <c r="AE207" t="n">
        <v>3</v>
      </c>
      <c r="AF207" t="n">
        <v>0</v>
      </c>
      <c r="AG207" t="n">
        <v>1</v>
      </c>
      <c r="AH207" t="n">
        <v>0</v>
      </c>
      <c r="AI207" t="n">
        <v>0</v>
      </c>
      <c r="AJ207" t="n">
        <v>0</v>
      </c>
      <c r="AK207" t="n">
        <v>1</v>
      </c>
      <c r="AL207" t="n">
        <v>1</v>
      </c>
      <c r="AM207" t="n">
        <v>2</v>
      </c>
      <c r="AN207" t="n">
        <v>0</v>
      </c>
      <c r="AO207" t="n">
        <v>0</v>
      </c>
      <c r="AP207" t="inlineStr">
        <is>
          <t>No</t>
        </is>
      </c>
      <c r="AQ207" t="inlineStr">
        <is>
          <t>No</t>
        </is>
      </c>
      <c r="AS207">
        <f>HYPERLINK("https://creighton-primo.hosted.exlibrisgroup.com/primo-explore/search?tab=default_tab&amp;search_scope=EVERYTHING&amp;vid=01CRU&amp;lang=en_US&amp;offset=0&amp;query=any,contains,991004176239702656","Catalog Record")</f>
        <v/>
      </c>
      <c r="AT207">
        <f>HYPERLINK("http://www.worldcat.org/oclc/52543878","WorldCat Record")</f>
        <v/>
      </c>
      <c r="AU207" t="inlineStr">
        <is>
          <t>1010832390:eng</t>
        </is>
      </c>
      <c r="AV207" t="inlineStr">
        <is>
          <t>52543878</t>
        </is>
      </c>
      <c r="AW207" t="inlineStr">
        <is>
          <t>991004176239702656</t>
        </is>
      </c>
      <c r="AX207" t="inlineStr">
        <is>
          <t>991004176239702656</t>
        </is>
      </c>
      <c r="AY207" t="inlineStr">
        <is>
          <t>2257010930002656</t>
        </is>
      </c>
      <c r="AZ207" t="inlineStr">
        <is>
          <t>BOOK</t>
        </is>
      </c>
      <c r="BB207" t="inlineStr">
        <is>
          <t>9780764123962</t>
        </is>
      </c>
      <c r="BC207" t="inlineStr">
        <is>
          <t>32285004633573</t>
        </is>
      </c>
      <c r="BD207" t="inlineStr">
        <is>
          <t>893894662</t>
        </is>
      </c>
    </row>
    <row r="208">
      <c r="A208" t="inlineStr">
        <is>
          <t>No</t>
        </is>
      </c>
      <c r="B208" t="inlineStr">
        <is>
          <t>PC4721 .G8 1964</t>
        </is>
      </c>
      <c r="C208" t="inlineStr">
        <is>
          <t>0                      PC 4721000G  8           1964</t>
        </is>
      </c>
      <c r="D208" t="inlineStr">
        <is>
          <t>La gramática / Pierre Guiraud. [Traducida ... y adaptada a la lengua española por Abelardo Maljuri]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Guiraud, Pierre.</t>
        </is>
      </c>
      <c r="L208" t="inlineStr">
        <is>
          <t>Buenos Aires : Editorial Universitaria de Buenos Aires, [1964]</t>
        </is>
      </c>
      <c r="M208" t="inlineStr">
        <is>
          <t>1964</t>
        </is>
      </c>
      <c r="O208" t="inlineStr">
        <is>
          <t>spa</t>
        </is>
      </c>
      <c r="P208" t="inlineStr">
        <is>
          <t xml:space="preserve">ag </t>
        </is>
      </c>
      <c r="Q208" t="inlineStr">
        <is>
          <t>Cuadernos de EUDEBA, 13</t>
        </is>
      </c>
      <c r="R208" t="inlineStr">
        <is>
          <t xml:space="preserve">PC </t>
        </is>
      </c>
      <c r="S208" t="n">
        <v>3</v>
      </c>
      <c r="T208" t="n">
        <v>3</v>
      </c>
      <c r="U208" t="inlineStr">
        <is>
          <t>2002-02-19</t>
        </is>
      </c>
      <c r="V208" t="inlineStr">
        <is>
          <t>2002-02-19</t>
        </is>
      </c>
      <c r="W208" t="inlineStr">
        <is>
          <t>2002-02-19</t>
        </is>
      </c>
      <c r="X208" t="inlineStr">
        <is>
          <t>2002-02-19</t>
        </is>
      </c>
      <c r="Y208" t="n">
        <v>13</v>
      </c>
      <c r="Z208" t="n">
        <v>6</v>
      </c>
      <c r="AA208" t="n">
        <v>6</v>
      </c>
      <c r="AB208" t="n">
        <v>1</v>
      </c>
      <c r="AC208" t="n">
        <v>1</v>
      </c>
      <c r="AD208" t="n">
        <v>0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0</v>
      </c>
      <c r="AM208" t="n">
        <v>0</v>
      </c>
      <c r="AN208" t="n">
        <v>0</v>
      </c>
      <c r="AO208" t="n">
        <v>0</v>
      </c>
      <c r="AP208" t="inlineStr">
        <is>
          <t>No</t>
        </is>
      </c>
      <c r="AQ208" t="inlineStr">
        <is>
          <t>No</t>
        </is>
      </c>
      <c r="AS208">
        <f>HYPERLINK("https://creighton-primo.hosted.exlibrisgroup.com/primo-explore/search?tab=default_tab&amp;search_scope=EVERYTHING&amp;vid=01CRU&amp;lang=en_US&amp;offset=0&amp;query=any,contains,991003740069702656","Catalog Record")</f>
        <v/>
      </c>
      <c r="AT208">
        <f>HYPERLINK("http://www.worldcat.org/oclc/8380712","WorldCat Record")</f>
        <v/>
      </c>
      <c r="AU208" t="inlineStr">
        <is>
          <t>8910672640:spa</t>
        </is>
      </c>
      <c r="AV208" t="inlineStr">
        <is>
          <t>8380712</t>
        </is>
      </c>
      <c r="AW208" t="inlineStr">
        <is>
          <t>991003740069702656</t>
        </is>
      </c>
      <c r="AX208" t="inlineStr">
        <is>
          <t>991003740069702656</t>
        </is>
      </c>
      <c r="AY208" t="inlineStr">
        <is>
          <t>2265541530002656</t>
        </is>
      </c>
      <c r="AZ208" t="inlineStr">
        <is>
          <t>BOOK</t>
        </is>
      </c>
      <c r="BC208" t="inlineStr">
        <is>
          <t>32285004454772</t>
        </is>
      </c>
      <c r="BD208" t="inlineStr">
        <is>
          <t>893324413</t>
        </is>
      </c>
    </row>
    <row r="209">
      <c r="A209" t="inlineStr">
        <is>
          <t>No</t>
        </is>
      </c>
      <c r="B209" t="inlineStr">
        <is>
          <t>PC4811 .S6 1982</t>
        </is>
      </c>
      <c r="C209" t="inlineStr">
        <is>
          <t>0                      PC 4811000S  6           1982</t>
        </is>
      </c>
      <c r="D209" t="inlineStr">
        <is>
          <t>Glosario de voces ibéricas y latinas usadas entre los Mozárabes / por Francisco Javier Simonet.</t>
        </is>
      </c>
      <c r="E209" t="inlineStr">
        <is>
          <t>V. 1</t>
        </is>
      </c>
      <c r="F209" t="inlineStr">
        <is>
          <t>Yes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Simonet, Francisco Javier, 1829-1897.</t>
        </is>
      </c>
      <c r="L209" t="inlineStr">
        <is>
          <t>Madrid : Ediciones Atlas, 1982.</t>
        </is>
      </c>
      <c r="M209" t="inlineStr">
        <is>
          <t>1982</t>
        </is>
      </c>
      <c r="O209" t="inlineStr">
        <is>
          <t>spa</t>
        </is>
      </c>
      <c r="P209" t="inlineStr">
        <is>
          <t xml:space="preserve">sp </t>
        </is>
      </c>
      <c r="R209" t="inlineStr">
        <is>
          <t xml:space="preserve">PC </t>
        </is>
      </c>
      <c r="S209" t="n">
        <v>1</v>
      </c>
      <c r="T209" t="n">
        <v>2</v>
      </c>
      <c r="U209" t="inlineStr">
        <is>
          <t>1992-10-06</t>
        </is>
      </c>
      <c r="V209" t="inlineStr">
        <is>
          <t>1992-10-06</t>
        </is>
      </c>
      <c r="W209" t="inlineStr">
        <is>
          <t>1992-10-06</t>
        </is>
      </c>
      <c r="X209" t="inlineStr">
        <is>
          <t>1992-10-06</t>
        </is>
      </c>
      <c r="Y209" t="n">
        <v>22</v>
      </c>
      <c r="Z209" t="n">
        <v>15</v>
      </c>
      <c r="AA209" t="n">
        <v>73</v>
      </c>
      <c r="AB209" t="n">
        <v>1</v>
      </c>
      <c r="AC209" t="n">
        <v>1</v>
      </c>
      <c r="AD209" t="n">
        <v>1</v>
      </c>
      <c r="AE209" t="n">
        <v>4</v>
      </c>
      <c r="AF209" t="n">
        <v>0</v>
      </c>
      <c r="AG209" t="n">
        <v>0</v>
      </c>
      <c r="AH209" t="n">
        <v>0</v>
      </c>
      <c r="AI209" t="n">
        <v>2</v>
      </c>
      <c r="AJ209" t="n">
        <v>1</v>
      </c>
      <c r="AK209" t="n">
        <v>3</v>
      </c>
      <c r="AL209" t="n">
        <v>0</v>
      </c>
      <c r="AM209" t="n">
        <v>0</v>
      </c>
      <c r="AN209" t="n">
        <v>0</v>
      </c>
      <c r="AO209" t="n">
        <v>0</v>
      </c>
      <c r="AP209" t="inlineStr">
        <is>
          <t>Yes</t>
        </is>
      </c>
      <c r="AQ209" t="inlineStr">
        <is>
          <t>Yes</t>
        </is>
      </c>
      <c r="AR209">
        <f>HYPERLINK("http://catalog.hathitrust.org/Record/000443495","HathiTrust Record")</f>
        <v/>
      </c>
      <c r="AS209">
        <f>HYPERLINK("https://creighton-primo.hosted.exlibrisgroup.com/primo-explore/search?tab=default_tab&amp;search_scope=EVERYTHING&amp;vid=01CRU&amp;lang=en_US&amp;offset=0&amp;query=any,contains,991000150869702656","Catalog Record")</f>
        <v/>
      </c>
      <c r="AT209">
        <f>HYPERLINK("http://www.worldcat.org/oclc/13230493","WorldCat Record")</f>
        <v/>
      </c>
      <c r="AU209" t="inlineStr">
        <is>
          <t>5585881345:spa</t>
        </is>
      </c>
      <c r="AV209" t="inlineStr">
        <is>
          <t>13230493</t>
        </is>
      </c>
      <c r="AW209" t="inlineStr">
        <is>
          <t>991000150869702656</t>
        </is>
      </c>
      <c r="AX209" t="inlineStr">
        <is>
          <t>991000150869702656</t>
        </is>
      </c>
      <c r="AY209" t="inlineStr">
        <is>
          <t>2270125090002656</t>
        </is>
      </c>
      <c r="AZ209" t="inlineStr">
        <is>
          <t>BOOK</t>
        </is>
      </c>
      <c r="BB209" t="inlineStr">
        <is>
          <t>9788436305463</t>
        </is>
      </c>
      <c r="BC209" t="inlineStr">
        <is>
          <t>32285001328300</t>
        </is>
      </c>
      <c r="BD209" t="inlineStr">
        <is>
          <t>893345434</t>
        </is>
      </c>
    </row>
    <row r="210">
      <c r="A210" t="inlineStr">
        <is>
          <t>No</t>
        </is>
      </c>
      <c r="B210" t="inlineStr">
        <is>
          <t>PC4811 .S6 1982</t>
        </is>
      </c>
      <c r="C210" t="inlineStr">
        <is>
          <t>0                      PC 4811000S  6           1982</t>
        </is>
      </c>
      <c r="D210" t="inlineStr">
        <is>
          <t>Glosario de voces ibéricas y latinas usadas entre los Mozárabes / por Francisco Javier Simonet.</t>
        </is>
      </c>
      <c r="E210" t="inlineStr">
        <is>
          <t>V. 2</t>
        </is>
      </c>
      <c r="F210" t="inlineStr">
        <is>
          <t>Yes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Simonet, Francisco Javier, 1829-1897.</t>
        </is>
      </c>
      <c r="L210" t="inlineStr">
        <is>
          <t>Madrid : Ediciones Atlas, 1982.</t>
        </is>
      </c>
      <c r="M210" t="inlineStr">
        <is>
          <t>1982</t>
        </is>
      </c>
      <c r="O210" t="inlineStr">
        <is>
          <t>spa</t>
        </is>
      </c>
      <c r="P210" t="inlineStr">
        <is>
          <t xml:space="preserve">sp </t>
        </is>
      </c>
      <c r="R210" t="inlineStr">
        <is>
          <t xml:space="preserve">PC </t>
        </is>
      </c>
      <c r="S210" t="n">
        <v>1</v>
      </c>
      <c r="T210" t="n">
        <v>2</v>
      </c>
      <c r="U210" t="inlineStr">
        <is>
          <t>1992-10-06</t>
        </is>
      </c>
      <c r="V210" t="inlineStr">
        <is>
          <t>1992-10-06</t>
        </is>
      </c>
      <c r="W210" t="inlineStr">
        <is>
          <t>1992-10-06</t>
        </is>
      </c>
      <c r="X210" t="inlineStr">
        <is>
          <t>1992-10-06</t>
        </is>
      </c>
      <c r="Y210" t="n">
        <v>22</v>
      </c>
      <c r="Z210" t="n">
        <v>15</v>
      </c>
      <c r="AA210" t="n">
        <v>73</v>
      </c>
      <c r="AB210" t="n">
        <v>1</v>
      </c>
      <c r="AC210" t="n">
        <v>1</v>
      </c>
      <c r="AD210" t="n">
        <v>1</v>
      </c>
      <c r="AE210" t="n">
        <v>4</v>
      </c>
      <c r="AF210" t="n">
        <v>0</v>
      </c>
      <c r="AG210" t="n">
        <v>0</v>
      </c>
      <c r="AH210" t="n">
        <v>0</v>
      </c>
      <c r="AI210" t="n">
        <v>2</v>
      </c>
      <c r="AJ210" t="n">
        <v>1</v>
      </c>
      <c r="AK210" t="n">
        <v>3</v>
      </c>
      <c r="AL210" t="n">
        <v>0</v>
      </c>
      <c r="AM210" t="n">
        <v>0</v>
      </c>
      <c r="AN210" t="n">
        <v>0</v>
      </c>
      <c r="AO210" t="n">
        <v>0</v>
      </c>
      <c r="AP210" t="inlineStr">
        <is>
          <t>Yes</t>
        </is>
      </c>
      <c r="AQ210" t="inlineStr">
        <is>
          <t>Yes</t>
        </is>
      </c>
      <c r="AR210">
        <f>HYPERLINK("http://catalog.hathitrust.org/Record/000443495","HathiTrust Record")</f>
        <v/>
      </c>
      <c r="AS210">
        <f>HYPERLINK("https://creighton-primo.hosted.exlibrisgroup.com/primo-explore/search?tab=default_tab&amp;search_scope=EVERYTHING&amp;vid=01CRU&amp;lang=en_US&amp;offset=0&amp;query=any,contains,991000150869702656","Catalog Record")</f>
        <v/>
      </c>
      <c r="AT210">
        <f>HYPERLINK("http://www.worldcat.org/oclc/13230493","WorldCat Record")</f>
        <v/>
      </c>
      <c r="AU210" t="inlineStr">
        <is>
          <t>5585881345:spa</t>
        </is>
      </c>
      <c r="AV210" t="inlineStr">
        <is>
          <t>13230493</t>
        </is>
      </c>
      <c r="AW210" t="inlineStr">
        <is>
          <t>991000150869702656</t>
        </is>
      </c>
      <c r="AX210" t="inlineStr">
        <is>
          <t>991000150869702656</t>
        </is>
      </c>
      <c r="AY210" t="inlineStr">
        <is>
          <t>2270125090002656</t>
        </is>
      </c>
      <c r="AZ210" t="inlineStr">
        <is>
          <t>BOOK</t>
        </is>
      </c>
      <c r="BB210" t="inlineStr">
        <is>
          <t>9788436305463</t>
        </is>
      </c>
      <c r="BC210" t="inlineStr">
        <is>
          <t>32285001328318</t>
        </is>
      </c>
      <c r="BD210" t="inlineStr">
        <is>
          <t>893345433</t>
        </is>
      </c>
    </row>
    <row r="211">
      <c r="A211" t="inlineStr">
        <is>
          <t>No</t>
        </is>
      </c>
      <c r="B211" t="inlineStr">
        <is>
          <t>PC4813.7 .A74</t>
        </is>
      </c>
      <c r="C211" t="inlineStr">
        <is>
          <t>0                      PC 4813700A  74</t>
        </is>
      </c>
      <c r="D211" t="inlineStr">
        <is>
          <t>Poesía tradicional de los judíos españoles [por] Manuel Alvar.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Alvar, Manuel, 1923-2001 editor.</t>
        </is>
      </c>
      <c r="L211" t="inlineStr">
        <is>
          <t>México, Editorial Porrúa, 1966.</t>
        </is>
      </c>
      <c r="M211" t="inlineStr">
        <is>
          <t>1966</t>
        </is>
      </c>
      <c r="N211" t="inlineStr">
        <is>
          <t>[1. ed.]</t>
        </is>
      </c>
      <c r="O211" t="inlineStr">
        <is>
          <t>spa</t>
        </is>
      </c>
      <c r="P211" t="inlineStr">
        <is>
          <t xml:space="preserve">mx </t>
        </is>
      </c>
      <c r="Q211" t="inlineStr">
        <is>
          <t>Colección "Sepan cuantos," no. 43</t>
        </is>
      </c>
      <c r="R211" t="inlineStr">
        <is>
          <t xml:space="preserve">PC </t>
        </is>
      </c>
      <c r="S211" t="n">
        <v>3</v>
      </c>
      <c r="T211" t="n">
        <v>3</v>
      </c>
      <c r="U211" t="inlineStr">
        <is>
          <t>1998-10-26</t>
        </is>
      </c>
      <c r="V211" t="inlineStr">
        <is>
          <t>1998-10-26</t>
        </is>
      </c>
      <c r="W211" t="inlineStr">
        <is>
          <t>1997-09-12</t>
        </is>
      </c>
      <c r="X211" t="inlineStr">
        <is>
          <t>1997-09-12</t>
        </is>
      </c>
      <c r="Y211" t="n">
        <v>185</v>
      </c>
      <c r="Z211" t="n">
        <v>143</v>
      </c>
      <c r="AA211" t="n">
        <v>215</v>
      </c>
      <c r="AB211" t="n">
        <v>1</v>
      </c>
      <c r="AC211" t="n">
        <v>2</v>
      </c>
      <c r="AD211" t="n">
        <v>3</v>
      </c>
      <c r="AE211" t="n">
        <v>8</v>
      </c>
      <c r="AF211" t="n">
        <v>0</v>
      </c>
      <c r="AG211" t="n">
        <v>2</v>
      </c>
      <c r="AH211" t="n">
        <v>3</v>
      </c>
      <c r="AI211" t="n">
        <v>3</v>
      </c>
      <c r="AJ211" t="n">
        <v>3</v>
      </c>
      <c r="AK211" t="n">
        <v>6</v>
      </c>
      <c r="AL211" t="n">
        <v>0</v>
      </c>
      <c r="AM211" t="n">
        <v>1</v>
      </c>
      <c r="AN211" t="n">
        <v>0</v>
      </c>
      <c r="AO211" t="n">
        <v>0</v>
      </c>
      <c r="AP211" t="inlineStr">
        <is>
          <t>No</t>
        </is>
      </c>
      <c r="AQ211" t="inlineStr">
        <is>
          <t>Yes</t>
        </is>
      </c>
      <c r="AR211">
        <f>HYPERLINK("http://catalog.hathitrust.org/Record/006664885","HathiTrust Record")</f>
        <v/>
      </c>
      <c r="AS211">
        <f>HYPERLINK("https://creighton-primo.hosted.exlibrisgroup.com/primo-explore/search?tab=default_tab&amp;search_scope=EVERYTHING&amp;vid=01CRU&amp;lang=en_US&amp;offset=0&amp;query=any,contains,991002276469702656","Catalog Record")</f>
        <v/>
      </c>
      <c r="AT211">
        <f>HYPERLINK("http://www.worldcat.org/oclc/310353","WorldCat Record")</f>
        <v/>
      </c>
      <c r="AU211" t="inlineStr">
        <is>
          <t>132755399:spa</t>
        </is>
      </c>
      <c r="AV211" t="inlineStr">
        <is>
          <t>310353</t>
        </is>
      </c>
      <c r="AW211" t="inlineStr">
        <is>
          <t>991002276469702656</t>
        </is>
      </c>
      <c r="AX211" t="inlineStr">
        <is>
          <t>991002276469702656</t>
        </is>
      </c>
      <c r="AY211" t="inlineStr">
        <is>
          <t>2259590410002656</t>
        </is>
      </c>
      <c r="AZ211" t="inlineStr">
        <is>
          <t>BOOK</t>
        </is>
      </c>
      <c r="BC211" t="inlineStr">
        <is>
          <t>32285003226601</t>
        </is>
      </c>
      <c r="BD211" t="inlineStr">
        <is>
          <t>893244984</t>
        </is>
      </c>
    </row>
    <row r="212">
      <c r="A212" t="inlineStr">
        <is>
          <t>No</t>
        </is>
      </c>
      <c r="B212" t="inlineStr">
        <is>
          <t>PC4821 .D3 1969</t>
        </is>
      </c>
      <c r="C212" t="inlineStr">
        <is>
          <t>0                      PC 4821000D  3           1969</t>
        </is>
      </c>
      <c r="D212" t="inlineStr">
        <is>
          <t>Spanish pronunciation : theory and practice ; an introductory manual of Spanish phonology and remedial drill / [by] John B. Dalbor.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Dalbor, John B.</t>
        </is>
      </c>
      <c r="L212" t="inlineStr">
        <is>
          <t>New York : Holt, Rinehart and Winston, [1969]</t>
        </is>
      </c>
      <c r="M212" t="inlineStr">
        <is>
          <t>1969</t>
        </is>
      </c>
      <c r="O212" t="inlineStr">
        <is>
          <t>eng</t>
        </is>
      </c>
      <c r="P212" t="inlineStr">
        <is>
          <t>nyu</t>
        </is>
      </c>
      <c r="R212" t="inlineStr">
        <is>
          <t xml:space="preserve">PC </t>
        </is>
      </c>
      <c r="S212" t="n">
        <v>2</v>
      </c>
      <c r="T212" t="n">
        <v>2</v>
      </c>
      <c r="U212" t="inlineStr">
        <is>
          <t>2005-03-02</t>
        </is>
      </c>
      <c r="V212" t="inlineStr">
        <is>
          <t>2005-03-02</t>
        </is>
      </c>
      <c r="W212" t="inlineStr">
        <is>
          <t>2005-03-02</t>
        </is>
      </c>
      <c r="X212" t="inlineStr">
        <is>
          <t>2005-03-02</t>
        </is>
      </c>
      <c r="Y212" t="n">
        <v>237</v>
      </c>
      <c r="Z212" t="n">
        <v>203</v>
      </c>
      <c r="AA212" t="n">
        <v>312</v>
      </c>
      <c r="AB212" t="n">
        <v>1</v>
      </c>
      <c r="AC212" t="n">
        <v>1</v>
      </c>
      <c r="AD212" t="n">
        <v>6</v>
      </c>
      <c r="AE212" t="n">
        <v>10</v>
      </c>
      <c r="AF212" t="n">
        <v>3</v>
      </c>
      <c r="AG212" t="n">
        <v>5</v>
      </c>
      <c r="AH212" t="n">
        <v>1</v>
      </c>
      <c r="AI212" t="n">
        <v>3</v>
      </c>
      <c r="AJ212" t="n">
        <v>2</v>
      </c>
      <c r="AK212" t="n">
        <v>4</v>
      </c>
      <c r="AL212" t="n">
        <v>0</v>
      </c>
      <c r="AM212" t="n">
        <v>0</v>
      </c>
      <c r="AN212" t="n">
        <v>0</v>
      </c>
      <c r="AO212" t="n">
        <v>0</v>
      </c>
      <c r="AP212" t="inlineStr">
        <is>
          <t>No</t>
        </is>
      </c>
      <c r="AQ212" t="inlineStr">
        <is>
          <t>Yes</t>
        </is>
      </c>
      <c r="AR212">
        <f>HYPERLINK("http://catalog.hathitrust.org/Record/001182817","HathiTrust Record")</f>
        <v/>
      </c>
      <c r="AS212">
        <f>HYPERLINK("https://creighton-primo.hosted.exlibrisgroup.com/primo-explore/search?tab=default_tab&amp;search_scope=EVERYTHING&amp;vid=01CRU&amp;lang=en_US&amp;offset=0&amp;query=any,contains,991004489859702656","Catalog Record")</f>
        <v/>
      </c>
      <c r="AT212">
        <f>HYPERLINK("http://www.worldcat.org/oclc/874","WorldCat Record")</f>
        <v/>
      </c>
      <c r="AU212" t="inlineStr">
        <is>
          <t>18040007:eng</t>
        </is>
      </c>
      <c r="AV212" t="inlineStr">
        <is>
          <t>874</t>
        </is>
      </c>
      <c r="AW212" t="inlineStr">
        <is>
          <t>991004489859702656</t>
        </is>
      </c>
      <c r="AX212" t="inlineStr">
        <is>
          <t>991004489859702656</t>
        </is>
      </c>
      <c r="AY212" t="inlineStr">
        <is>
          <t>2272579700002656</t>
        </is>
      </c>
      <c r="AZ212" t="inlineStr">
        <is>
          <t>BOOK</t>
        </is>
      </c>
      <c r="BB212" t="inlineStr">
        <is>
          <t>9780030691201</t>
        </is>
      </c>
      <c r="BC212" t="inlineStr">
        <is>
          <t>32285005028773</t>
        </is>
      </c>
      <c r="BD212" t="inlineStr">
        <is>
          <t>893319301</t>
        </is>
      </c>
    </row>
    <row r="213">
      <c r="A213" t="inlineStr">
        <is>
          <t>No</t>
        </is>
      </c>
      <c r="B213" t="inlineStr">
        <is>
          <t>PC4821 .P25 1984</t>
        </is>
      </c>
      <c r="C213" t="inlineStr">
        <is>
          <t>0                      PC 4821000P  25          1984</t>
        </is>
      </c>
      <c r="D213" t="inlineStr">
        <is>
          <t>La lengua nuestra de cada día / Iraset Páez Urdaneta.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Páez Urdaneta, Iraset.</t>
        </is>
      </c>
      <c r="L213" t="inlineStr">
        <is>
          <t>Caracas : Academia Nacional de la Historia, 1984.</t>
        </is>
      </c>
      <c r="M213" t="inlineStr">
        <is>
          <t>1984</t>
        </is>
      </c>
      <c r="O213" t="inlineStr">
        <is>
          <t>spa</t>
        </is>
      </c>
      <c r="P213" t="inlineStr">
        <is>
          <t xml:space="preserve">ve </t>
        </is>
      </c>
      <c r="Q213" t="inlineStr">
        <is>
          <t>El Libro menor ; 59</t>
        </is>
      </c>
      <c r="R213" t="inlineStr">
        <is>
          <t xml:space="preserve">PC </t>
        </is>
      </c>
      <c r="S213" t="n">
        <v>3</v>
      </c>
      <c r="T213" t="n">
        <v>3</v>
      </c>
      <c r="U213" t="inlineStr">
        <is>
          <t>2004-08-05</t>
        </is>
      </c>
      <c r="V213" t="inlineStr">
        <is>
          <t>2004-08-05</t>
        </is>
      </c>
      <c r="W213" t="inlineStr">
        <is>
          <t>2004-08-05</t>
        </is>
      </c>
      <c r="X213" t="inlineStr">
        <is>
          <t>2004-08-05</t>
        </is>
      </c>
      <c r="Y213" t="n">
        <v>30</v>
      </c>
      <c r="Z213" t="n">
        <v>25</v>
      </c>
      <c r="AA213" t="n">
        <v>27</v>
      </c>
      <c r="AB213" t="n">
        <v>1</v>
      </c>
      <c r="AC213" t="n">
        <v>1</v>
      </c>
      <c r="AD213" t="n">
        <v>1</v>
      </c>
      <c r="AE213" t="n">
        <v>1</v>
      </c>
      <c r="AF213" t="n">
        <v>0</v>
      </c>
      <c r="AG213" t="n">
        <v>0</v>
      </c>
      <c r="AH213" t="n">
        <v>1</v>
      </c>
      <c r="AI213" t="n">
        <v>1</v>
      </c>
      <c r="AJ213" t="n">
        <v>0</v>
      </c>
      <c r="AK213" t="n">
        <v>0</v>
      </c>
      <c r="AL213" t="n">
        <v>0</v>
      </c>
      <c r="AM213" t="n">
        <v>0</v>
      </c>
      <c r="AN213" t="n">
        <v>0</v>
      </c>
      <c r="AO213" t="n">
        <v>0</v>
      </c>
      <c r="AP213" t="inlineStr">
        <is>
          <t>No</t>
        </is>
      </c>
      <c r="AQ213" t="inlineStr">
        <is>
          <t>Yes</t>
        </is>
      </c>
      <c r="AR213">
        <f>HYPERLINK("http://catalog.hathitrust.org/Record/101005513","HathiTrust Record")</f>
        <v/>
      </c>
      <c r="AS213">
        <f>HYPERLINK("https://creighton-primo.hosted.exlibrisgroup.com/primo-explore/search?tab=default_tab&amp;search_scope=EVERYTHING&amp;vid=01CRU&amp;lang=en_US&amp;offset=0&amp;query=any,contains,991004340619702656","Catalog Record")</f>
        <v/>
      </c>
      <c r="AT213">
        <f>HYPERLINK("http://www.worldcat.org/oclc/12908857","WorldCat Record")</f>
        <v/>
      </c>
      <c r="AU213" t="inlineStr">
        <is>
          <t>5442270:spa</t>
        </is>
      </c>
      <c r="AV213" t="inlineStr">
        <is>
          <t>12908857</t>
        </is>
      </c>
      <c r="AW213" t="inlineStr">
        <is>
          <t>991004340619702656</t>
        </is>
      </c>
      <c r="AX213" t="inlineStr">
        <is>
          <t>991004340619702656</t>
        </is>
      </c>
      <c r="AY213" t="inlineStr">
        <is>
          <t>2268324520002656</t>
        </is>
      </c>
      <c r="AZ213" t="inlineStr">
        <is>
          <t>BOOK</t>
        </is>
      </c>
      <c r="BC213" t="inlineStr">
        <is>
          <t>32285004929781</t>
        </is>
      </c>
      <c r="BD213" t="inlineStr">
        <is>
          <t>893624618</t>
        </is>
      </c>
    </row>
    <row r="214">
      <c r="A214" t="inlineStr">
        <is>
          <t>No</t>
        </is>
      </c>
      <c r="B214" t="inlineStr">
        <is>
          <t>PC4822 .A4 1982</t>
        </is>
      </c>
      <c r="C214" t="inlineStr">
        <is>
          <t>0                      PC 4822000A  4           1982</t>
        </is>
      </c>
      <c r="D214" t="inlineStr">
        <is>
          <t>Americanismos : diccionario ilustrado Sopena.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L214" t="inlineStr">
        <is>
          <t>Barcelona : R. Sopena, [1982?]</t>
        </is>
      </c>
      <c r="M214" t="inlineStr">
        <is>
          <t>1982</t>
        </is>
      </c>
      <c r="O214" t="inlineStr">
        <is>
          <t>spa</t>
        </is>
      </c>
      <c r="P214" t="inlineStr">
        <is>
          <t xml:space="preserve">sp </t>
        </is>
      </c>
      <c r="R214" t="inlineStr">
        <is>
          <t xml:space="preserve">PC </t>
        </is>
      </c>
      <c r="S214" t="n">
        <v>1</v>
      </c>
      <c r="T214" t="n">
        <v>1</v>
      </c>
      <c r="U214" t="inlineStr">
        <is>
          <t>2001-12-10</t>
        </is>
      </c>
      <c r="V214" t="inlineStr">
        <is>
          <t>2001-12-10</t>
        </is>
      </c>
      <c r="W214" t="inlineStr">
        <is>
          <t>2001-12-10</t>
        </is>
      </c>
      <c r="X214" t="inlineStr">
        <is>
          <t>2001-12-10</t>
        </is>
      </c>
      <c r="Y214" t="n">
        <v>159</v>
      </c>
      <c r="Z214" t="n">
        <v>113</v>
      </c>
      <c r="AA214" t="n">
        <v>142</v>
      </c>
      <c r="AB214" t="n">
        <v>1</v>
      </c>
      <c r="AC214" t="n">
        <v>2</v>
      </c>
      <c r="AD214" t="n">
        <v>2</v>
      </c>
      <c r="AE214" t="n">
        <v>3</v>
      </c>
      <c r="AF214" t="n">
        <v>1</v>
      </c>
      <c r="AG214" t="n">
        <v>1</v>
      </c>
      <c r="AH214" t="n">
        <v>0</v>
      </c>
      <c r="AI214" t="n">
        <v>0</v>
      </c>
      <c r="AJ214" t="n">
        <v>1</v>
      </c>
      <c r="AK214" t="n">
        <v>1</v>
      </c>
      <c r="AL214" t="n">
        <v>0</v>
      </c>
      <c r="AM214" t="n">
        <v>1</v>
      </c>
      <c r="AN214" t="n">
        <v>0</v>
      </c>
      <c r="AO214" t="n">
        <v>0</v>
      </c>
      <c r="AP214" t="inlineStr">
        <is>
          <t>No</t>
        </is>
      </c>
      <c r="AQ214" t="inlineStr">
        <is>
          <t>Yes</t>
        </is>
      </c>
      <c r="AR214">
        <f>HYPERLINK("http://catalog.hathitrust.org/Record/000196917","HathiTrust Record")</f>
        <v/>
      </c>
      <c r="AS214">
        <f>HYPERLINK("https://creighton-primo.hosted.exlibrisgroup.com/primo-explore/search?tab=default_tab&amp;search_scope=EVERYTHING&amp;vid=01CRU&amp;lang=en_US&amp;offset=0&amp;query=any,contains,991003693549702656","Catalog Record")</f>
        <v/>
      </c>
      <c r="AT214">
        <f>HYPERLINK("http://www.worldcat.org/oclc/9386359","WorldCat Record")</f>
        <v/>
      </c>
      <c r="AU214" t="inlineStr">
        <is>
          <t>345993297:spa</t>
        </is>
      </c>
      <c r="AV214" t="inlineStr">
        <is>
          <t>9386359</t>
        </is>
      </c>
      <c r="AW214" t="inlineStr">
        <is>
          <t>991003693549702656</t>
        </is>
      </c>
      <c r="AX214" t="inlineStr">
        <is>
          <t>991003693549702656</t>
        </is>
      </c>
      <c r="AY214" t="inlineStr">
        <is>
          <t>2270049970002656</t>
        </is>
      </c>
      <c r="AZ214" t="inlineStr">
        <is>
          <t>BOOK</t>
        </is>
      </c>
      <c r="BB214" t="inlineStr">
        <is>
          <t>9788430308927</t>
        </is>
      </c>
      <c r="BC214" t="inlineStr">
        <is>
          <t>32285004427109</t>
        </is>
      </c>
      <c r="BD214" t="inlineStr">
        <is>
          <t>893717979</t>
        </is>
      </c>
    </row>
    <row r="215">
      <c r="A215" t="inlineStr">
        <is>
          <t>No</t>
        </is>
      </c>
      <c r="B215" t="inlineStr">
        <is>
          <t>PC4826 .T47</t>
        </is>
      </c>
      <c r="C215" t="inlineStr">
        <is>
          <t>0                      PC 4826000T  47</t>
        </is>
      </c>
      <c r="D215" t="inlineStr">
        <is>
          <t>Spanish and English of United States Hispanos : a critical, annotated, linguistic bibliography / Richard V. Teschner, general editor ; Garland D. Bills and Jerry R. Craddock, associate editors.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Teschner, Richard V.</t>
        </is>
      </c>
      <c r="L215" t="inlineStr">
        <is>
          <t>Arlington, Va. : Center for Applied Linguistics, c1975.</t>
        </is>
      </c>
      <c r="M215" t="inlineStr">
        <is>
          <t>1975</t>
        </is>
      </c>
      <c r="O215" t="inlineStr">
        <is>
          <t>eng</t>
        </is>
      </c>
      <c r="P215" t="inlineStr">
        <is>
          <t>vau</t>
        </is>
      </c>
      <c r="R215" t="inlineStr">
        <is>
          <t xml:space="preserve">PC </t>
        </is>
      </c>
      <c r="S215" t="n">
        <v>3</v>
      </c>
      <c r="T215" t="n">
        <v>3</v>
      </c>
      <c r="U215" t="inlineStr">
        <is>
          <t>1993-10-25</t>
        </is>
      </c>
      <c r="V215" t="inlineStr">
        <is>
          <t>1993-10-25</t>
        </is>
      </c>
      <c r="W215" t="inlineStr">
        <is>
          <t>1993-04-21</t>
        </is>
      </c>
      <c r="X215" t="inlineStr">
        <is>
          <t>1993-04-21</t>
        </is>
      </c>
      <c r="Y215" t="n">
        <v>330</v>
      </c>
      <c r="Z215" t="n">
        <v>283</v>
      </c>
      <c r="AA215" t="n">
        <v>291</v>
      </c>
      <c r="AB215" t="n">
        <v>4</v>
      </c>
      <c r="AC215" t="n">
        <v>4</v>
      </c>
      <c r="AD215" t="n">
        <v>12</v>
      </c>
      <c r="AE215" t="n">
        <v>12</v>
      </c>
      <c r="AF215" t="n">
        <v>2</v>
      </c>
      <c r="AG215" t="n">
        <v>2</v>
      </c>
      <c r="AH215" t="n">
        <v>2</v>
      </c>
      <c r="AI215" t="n">
        <v>2</v>
      </c>
      <c r="AJ215" t="n">
        <v>7</v>
      </c>
      <c r="AK215" t="n">
        <v>7</v>
      </c>
      <c r="AL215" t="n">
        <v>3</v>
      </c>
      <c r="AM215" t="n">
        <v>3</v>
      </c>
      <c r="AN215" t="n">
        <v>0</v>
      </c>
      <c r="AO215" t="n">
        <v>0</v>
      </c>
      <c r="AP215" t="inlineStr">
        <is>
          <t>No</t>
        </is>
      </c>
      <c r="AQ215" t="inlineStr">
        <is>
          <t>No</t>
        </is>
      </c>
      <c r="AS215">
        <f>HYPERLINK("https://creighton-primo.hosted.exlibrisgroup.com/primo-explore/search?tab=default_tab&amp;search_scope=EVERYTHING&amp;vid=01CRU&amp;lang=en_US&amp;offset=0&amp;query=any,contains,991003951109702656","Catalog Record")</f>
        <v/>
      </c>
      <c r="AT215">
        <f>HYPERLINK("http://www.worldcat.org/oclc/1923912","WorldCat Record")</f>
        <v/>
      </c>
      <c r="AU215" t="inlineStr">
        <is>
          <t>791976370:eng</t>
        </is>
      </c>
      <c r="AV215" t="inlineStr">
        <is>
          <t>1923912</t>
        </is>
      </c>
      <c r="AW215" t="inlineStr">
        <is>
          <t>991003951109702656</t>
        </is>
      </c>
      <c r="AX215" t="inlineStr">
        <is>
          <t>991003951109702656</t>
        </is>
      </c>
      <c r="AY215" t="inlineStr">
        <is>
          <t>2262950500002656</t>
        </is>
      </c>
      <c r="AZ215" t="inlineStr">
        <is>
          <t>BOOK</t>
        </is>
      </c>
      <c r="BB215" t="inlineStr">
        <is>
          <t>9780872810426</t>
        </is>
      </c>
      <c r="BC215" t="inlineStr">
        <is>
          <t>32285001645679</t>
        </is>
      </c>
      <c r="BD215" t="inlineStr">
        <is>
          <t>893711984</t>
        </is>
      </c>
    </row>
    <row r="216">
      <c r="A216" t="inlineStr">
        <is>
          <t>No</t>
        </is>
      </c>
      <c r="B216" t="inlineStr">
        <is>
          <t>PC4832 .H36 1996</t>
        </is>
      </c>
      <c r="C216" t="inlineStr">
        <is>
          <t>0                      PC 4832000H  36          1996</t>
        </is>
      </c>
      <c r="D216" t="inlineStr">
        <is>
          <t>Hamel's bilingual dictionary of Mexican Spanish = Diccionario bilingue de mexicanismos / Bernard H. Hamel.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Hamel, Bernard H.</t>
        </is>
      </c>
      <c r="L216" t="inlineStr">
        <is>
          <t>Los Angeles, Calif : Bilingual Book Press, c1996.</t>
        </is>
      </c>
      <c r="M216" t="inlineStr">
        <is>
          <t>1996</t>
        </is>
      </c>
      <c r="N216" t="inlineStr">
        <is>
          <t>2nd ed.</t>
        </is>
      </c>
      <c r="O216" t="inlineStr">
        <is>
          <t>eng</t>
        </is>
      </c>
      <c r="P216" t="inlineStr">
        <is>
          <t>cau</t>
        </is>
      </c>
      <c r="R216" t="inlineStr">
        <is>
          <t xml:space="preserve">PC </t>
        </is>
      </c>
      <c r="S216" t="n">
        <v>5</v>
      </c>
      <c r="T216" t="n">
        <v>5</v>
      </c>
      <c r="U216" t="inlineStr">
        <is>
          <t>2000-10-16</t>
        </is>
      </c>
      <c r="V216" t="inlineStr">
        <is>
          <t>2000-10-16</t>
        </is>
      </c>
      <c r="W216" t="inlineStr">
        <is>
          <t>1996-06-11</t>
        </is>
      </c>
      <c r="X216" t="inlineStr">
        <is>
          <t>1996-06-11</t>
        </is>
      </c>
      <c r="Y216" t="n">
        <v>265</v>
      </c>
      <c r="Z216" t="n">
        <v>260</v>
      </c>
      <c r="AA216" t="n">
        <v>359</v>
      </c>
      <c r="AB216" t="n">
        <v>3</v>
      </c>
      <c r="AC216" t="n">
        <v>4</v>
      </c>
      <c r="AD216" t="n">
        <v>7</v>
      </c>
      <c r="AE216" t="n">
        <v>10</v>
      </c>
      <c r="AF216" t="n">
        <v>1</v>
      </c>
      <c r="AG216" t="n">
        <v>2</v>
      </c>
      <c r="AH216" t="n">
        <v>2</v>
      </c>
      <c r="AI216" t="n">
        <v>3</v>
      </c>
      <c r="AJ216" t="n">
        <v>4</v>
      </c>
      <c r="AK216" t="n">
        <v>5</v>
      </c>
      <c r="AL216" t="n">
        <v>1</v>
      </c>
      <c r="AM216" t="n">
        <v>2</v>
      </c>
      <c r="AN216" t="n">
        <v>0</v>
      </c>
      <c r="AO216" t="n">
        <v>0</v>
      </c>
      <c r="AP216" t="inlineStr">
        <is>
          <t>No</t>
        </is>
      </c>
      <c r="AQ216" t="inlineStr">
        <is>
          <t>Yes</t>
        </is>
      </c>
      <c r="AR216">
        <f>HYPERLINK("http://catalog.hathitrust.org/Record/004202633","HathiTrust Record")</f>
        <v/>
      </c>
      <c r="AS216">
        <f>HYPERLINK("https://creighton-primo.hosted.exlibrisgroup.com/primo-explore/search?tab=default_tab&amp;search_scope=EVERYTHING&amp;vid=01CRU&amp;lang=en_US&amp;offset=0&amp;query=any,contains,991002608529702656","Catalog Record")</f>
        <v/>
      </c>
      <c r="AT216">
        <f>HYPERLINK("http://www.worldcat.org/oclc/34166703","WorldCat Record")</f>
        <v/>
      </c>
      <c r="AU216" t="inlineStr">
        <is>
          <t>6616559:eng</t>
        </is>
      </c>
      <c r="AV216" t="inlineStr">
        <is>
          <t>34166703</t>
        </is>
      </c>
      <c r="AW216" t="inlineStr">
        <is>
          <t>991002608529702656</t>
        </is>
      </c>
      <c r="AX216" t="inlineStr">
        <is>
          <t>991002608529702656</t>
        </is>
      </c>
      <c r="AY216" t="inlineStr">
        <is>
          <t>2261518240002656</t>
        </is>
      </c>
      <c r="AZ216" t="inlineStr">
        <is>
          <t>BOOK</t>
        </is>
      </c>
      <c r="BC216" t="inlineStr">
        <is>
          <t>32285002191319</t>
        </is>
      </c>
      <c r="BD216" t="inlineStr">
        <is>
          <t>893773801</t>
        </is>
      </c>
    </row>
    <row r="217">
      <c r="A217" t="inlineStr">
        <is>
          <t>No</t>
        </is>
      </c>
      <c r="B217" t="inlineStr">
        <is>
          <t>PC4838 .B53 1985</t>
        </is>
      </c>
      <c r="C217" t="inlineStr">
        <is>
          <t>0                      PC 4838000B  53          1985</t>
        </is>
      </c>
      <c r="D217" t="inlineStr">
        <is>
          <t>Bibliografaia sobre el espaanol del Caribe hispaanico / Rafael Angel Rivas D. ... [et al.] ; praologo de Iraset Paaez U.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L217" t="inlineStr">
        <is>
          <t>Caracas : Instituto Universitario Pedagaogico de Caracas, Departamento de Castellano, Literatura y Latain : Centro de Investigaciones Lingeuaisticas y Literarias "Andraes Bello", 1985.</t>
        </is>
      </c>
      <c r="M217" t="inlineStr">
        <is>
          <t>1985</t>
        </is>
      </c>
      <c r="O217" t="inlineStr">
        <is>
          <t>spa</t>
        </is>
      </c>
      <c r="P217" t="inlineStr">
        <is>
          <t xml:space="preserve">ve </t>
        </is>
      </c>
      <c r="R217" t="inlineStr">
        <is>
          <t xml:space="preserve">PC </t>
        </is>
      </c>
      <c r="S217" t="n">
        <v>1</v>
      </c>
      <c r="T217" t="n">
        <v>1</v>
      </c>
      <c r="U217" t="inlineStr">
        <is>
          <t>2004-08-02</t>
        </is>
      </c>
      <c r="V217" t="inlineStr">
        <is>
          <t>2004-08-02</t>
        </is>
      </c>
      <c r="W217" t="inlineStr">
        <is>
          <t>2004-08-02</t>
        </is>
      </c>
      <c r="X217" t="inlineStr">
        <is>
          <t>2004-08-02</t>
        </is>
      </c>
      <c r="Y217" t="n">
        <v>48</v>
      </c>
      <c r="Z217" t="n">
        <v>37</v>
      </c>
      <c r="AA217" t="n">
        <v>40</v>
      </c>
      <c r="AB217" t="n">
        <v>1</v>
      </c>
      <c r="AC217" t="n">
        <v>1</v>
      </c>
      <c r="AD217" t="n">
        <v>1</v>
      </c>
      <c r="AE217" t="n">
        <v>1</v>
      </c>
      <c r="AF217" t="n">
        <v>0</v>
      </c>
      <c r="AG217" t="n">
        <v>0</v>
      </c>
      <c r="AH217" t="n">
        <v>1</v>
      </c>
      <c r="AI217" t="n">
        <v>1</v>
      </c>
      <c r="AJ217" t="n">
        <v>0</v>
      </c>
      <c r="AK217" t="n">
        <v>0</v>
      </c>
      <c r="AL217" t="n">
        <v>0</v>
      </c>
      <c r="AM217" t="n">
        <v>0</v>
      </c>
      <c r="AN217" t="n">
        <v>0</v>
      </c>
      <c r="AO217" t="n">
        <v>0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HYPERLINK("http://catalog.hathitrust.org/Record/101171313","HathiTrust Record")</f>
        <v/>
      </c>
      <c r="AS217">
        <f>HYPERLINK("https://creighton-primo.hosted.exlibrisgroup.com/primo-explore/search?tab=default_tab&amp;search_scope=EVERYTHING&amp;vid=01CRU&amp;lang=en_US&amp;offset=0&amp;query=any,contains,991004331979702656","Catalog Record")</f>
        <v/>
      </c>
      <c r="AT217">
        <f>HYPERLINK("http://www.worldcat.org/oclc/14181558","WorldCat Record")</f>
        <v/>
      </c>
      <c r="AU217" t="inlineStr">
        <is>
          <t>7590403:spa</t>
        </is>
      </c>
      <c r="AV217" t="inlineStr">
        <is>
          <t>14181558</t>
        </is>
      </c>
      <c r="AW217" t="inlineStr">
        <is>
          <t>991004331979702656</t>
        </is>
      </c>
      <c r="AX217" t="inlineStr">
        <is>
          <t>991004331979702656</t>
        </is>
      </c>
      <c r="AY217" t="inlineStr">
        <is>
          <t>2255448300002656</t>
        </is>
      </c>
      <c r="AZ217" t="inlineStr">
        <is>
          <t>BOOK</t>
        </is>
      </c>
      <c r="BC217" t="inlineStr">
        <is>
          <t>32285004925409</t>
        </is>
      </c>
      <c r="BD217" t="inlineStr">
        <is>
          <t>893241285</t>
        </is>
      </c>
    </row>
    <row r="218">
      <c r="A218" t="inlineStr">
        <is>
          <t>No</t>
        </is>
      </c>
      <c r="B218" t="inlineStr">
        <is>
          <t>PC4838 .S55 1981</t>
        </is>
      </c>
      <c r="C218" t="inlineStr">
        <is>
          <t>0                      PC 4838000S  55          1981</t>
        </is>
      </c>
      <c r="D218" t="inlineStr">
        <is>
          <t>El español del Caribe : ponencias del VI Simposio de Dialectología / Orlando Alba, editor.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Simposio de Dialectología (6th : 1981 : Universidad Católica Madre y Maestra)</t>
        </is>
      </c>
      <c r="L218" t="inlineStr">
        <is>
          <t>Santiago, República Domincana : Universidad Católica Madre y Maestra, Departamento de Publicaciones, 1982.</t>
        </is>
      </c>
      <c r="M218" t="inlineStr">
        <is>
          <t>1982</t>
        </is>
      </c>
      <c r="O218" t="inlineStr">
        <is>
          <t>spa</t>
        </is>
      </c>
      <c r="P218" t="inlineStr">
        <is>
          <t xml:space="preserve">cl </t>
        </is>
      </c>
      <c r="Q218" t="inlineStr">
        <is>
          <t>Colección "Estudios"</t>
        </is>
      </c>
      <c r="R218" t="inlineStr">
        <is>
          <t xml:space="preserve">PC </t>
        </is>
      </c>
      <c r="S218" t="n">
        <v>0</v>
      </c>
      <c r="T218" t="n">
        <v>0</v>
      </c>
      <c r="U218" t="inlineStr">
        <is>
          <t>2001-07-11</t>
        </is>
      </c>
      <c r="V218" t="inlineStr">
        <is>
          <t>2001-07-11</t>
        </is>
      </c>
      <c r="W218" t="inlineStr">
        <is>
          <t>1998-04-29</t>
        </is>
      </c>
      <c r="X218" t="inlineStr">
        <is>
          <t>1998-04-29</t>
        </is>
      </c>
      <c r="Y218" t="n">
        <v>63</v>
      </c>
      <c r="Z218" t="n">
        <v>52</v>
      </c>
      <c r="AA218" t="n">
        <v>55</v>
      </c>
      <c r="AB218" t="n">
        <v>1</v>
      </c>
      <c r="AC218" t="n">
        <v>1</v>
      </c>
      <c r="AD218" t="n">
        <v>4</v>
      </c>
      <c r="AE218" t="n">
        <v>4</v>
      </c>
      <c r="AF218" t="n">
        <v>0</v>
      </c>
      <c r="AG218" t="n">
        <v>0</v>
      </c>
      <c r="AH218" t="n">
        <v>3</v>
      </c>
      <c r="AI218" t="n">
        <v>3</v>
      </c>
      <c r="AJ218" t="n">
        <v>2</v>
      </c>
      <c r="AK218" t="n">
        <v>2</v>
      </c>
      <c r="AL218" t="n">
        <v>0</v>
      </c>
      <c r="AM218" t="n">
        <v>0</v>
      </c>
      <c r="AN218" t="n">
        <v>0</v>
      </c>
      <c r="AO218" t="n">
        <v>0</v>
      </c>
      <c r="AP218" t="inlineStr">
        <is>
          <t>No</t>
        </is>
      </c>
      <c r="AQ218" t="inlineStr">
        <is>
          <t>Yes</t>
        </is>
      </c>
      <c r="AR218">
        <f>HYPERLINK("http://catalog.hathitrust.org/Record/101005638","HathiTrust Record")</f>
        <v/>
      </c>
      <c r="AS218">
        <f>HYPERLINK("https://creighton-primo.hosted.exlibrisgroup.com/primo-explore/search?tab=default_tab&amp;search_scope=EVERYTHING&amp;vid=01CRU&amp;lang=en_US&amp;offset=0&amp;query=any,contains,991000331159702656","Catalog Record")</f>
        <v/>
      </c>
      <c r="AT218">
        <f>HYPERLINK("http://www.worldcat.org/oclc/10207076","WorldCat Record")</f>
        <v/>
      </c>
      <c r="AU218" t="inlineStr">
        <is>
          <t>891289766:spa</t>
        </is>
      </c>
      <c r="AV218" t="inlineStr">
        <is>
          <t>10207076</t>
        </is>
      </c>
      <c r="AW218" t="inlineStr">
        <is>
          <t>991000331159702656</t>
        </is>
      </c>
      <c r="AX218" t="inlineStr">
        <is>
          <t>991000331159702656</t>
        </is>
      </c>
      <c r="AY218" t="inlineStr">
        <is>
          <t>2264930800002656</t>
        </is>
      </c>
      <c r="AZ218" t="inlineStr">
        <is>
          <t>BOOK</t>
        </is>
      </c>
      <c r="BC218" t="inlineStr">
        <is>
          <t>32285003379038</t>
        </is>
      </c>
      <c r="BD218" t="inlineStr">
        <is>
          <t>893534117</t>
        </is>
      </c>
    </row>
    <row r="219">
      <c r="A219" t="inlineStr">
        <is>
          <t>No</t>
        </is>
      </c>
      <c r="B219" t="inlineStr">
        <is>
          <t>PC4854.D6 C78 2001</t>
        </is>
      </c>
      <c r="C219" t="inlineStr">
        <is>
          <t>0                      PC 4854000D  6                  C  78          2001</t>
        </is>
      </c>
      <c r="D219" t="inlineStr">
        <is>
          <t>El latin : su presencia en el habla castellana : una contribución al español dominicano / Luis F. Cruz.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Cruz, Luis F. (Luis Federico)</t>
        </is>
      </c>
      <c r="L219" t="inlineStr">
        <is>
          <t>Santo Domingo, D.N. : Editora Centenario, 2001.</t>
        </is>
      </c>
      <c r="M219" t="inlineStr">
        <is>
          <t>2001</t>
        </is>
      </c>
      <c r="N219" t="inlineStr">
        <is>
          <t>1. ed.</t>
        </is>
      </c>
      <c r="O219" t="inlineStr">
        <is>
          <t>spa</t>
        </is>
      </c>
      <c r="P219" t="inlineStr">
        <is>
          <t xml:space="preserve">dr </t>
        </is>
      </c>
      <c r="R219" t="inlineStr">
        <is>
          <t xml:space="preserve">PC </t>
        </is>
      </c>
      <c r="S219" t="n">
        <v>1</v>
      </c>
      <c r="T219" t="n">
        <v>1</v>
      </c>
      <c r="U219" t="inlineStr">
        <is>
          <t>2003-02-27</t>
        </is>
      </c>
      <c r="V219" t="inlineStr">
        <is>
          <t>2003-02-27</t>
        </is>
      </c>
      <c r="W219" t="inlineStr">
        <is>
          <t>2003-02-27</t>
        </is>
      </c>
      <c r="X219" t="inlineStr">
        <is>
          <t>2003-02-27</t>
        </is>
      </c>
      <c r="Y219" t="n">
        <v>5</v>
      </c>
      <c r="Z219" t="n">
        <v>5</v>
      </c>
      <c r="AA219" t="n">
        <v>7</v>
      </c>
      <c r="AB219" t="n">
        <v>1</v>
      </c>
      <c r="AC219" t="n">
        <v>1</v>
      </c>
      <c r="AD219" t="n">
        <v>0</v>
      </c>
      <c r="AE219" t="n">
        <v>0</v>
      </c>
      <c r="AF219" t="n">
        <v>0</v>
      </c>
      <c r="AG219" t="n">
        <v>0</v>
      </c>
      <c r="AH219" t="n">
        <v>0</v>
      </c>
      <c r="AI219" t="n">
        <v>0</v>
      </c>
      <c r="AJ219" t="n">
        <v>0</v>
      </c>
      <c r="AK219" t="n">
        <v>0</v>
      </c>
      <c r="AL219" t="n">
        <v>0</v>
      </c>
      <c r="AM219" t="n">
        <v>0</v>
      </c>
      <c r="AN219" t="n">
        <v>0</v>
      </c>
      <c r="AO219" t="n">
        <v>0</v>
      </c>
      <c r="AP219" t="inlineStr">
        <is>
          <t>No</t>
        </is>
      </c>
      <c r="AQ219" t="inlineStr">
        <is>
          <t>No</t>
        </is>
      </c>
      <c r="AS219">
        <f>HYPERLINK("https://creighton-primo.hosted.exlibrisgroup.com/primo-explore/search?tab=default_tab&amp;search_scope=EVERYTHING&amp;vid=01CRU&amp;lang=en_US&amp;offset=0&amp;query=any,contains,991004009319702656","Catalog Record")</f>
        <v/>
      </c>
      <c r="AT219">
        <f>HYPERLINK("http://www.worldcat.org/oclc/51326747","WorldCat Record")</f>
        <v/>
      </c>
      <c r="AU219" t="inlineStr">
        <is>
          <t>7968943:spa</t>
        </is>
      </c>
      <c r="AV219" t="inlineStr">
        <is>
          <t>51326747</t>
        </is>
      </c>
      <c r="AW219" t="inlineStr">
        <is>
          <t>991004009319702656</t>
        </is>
      </c>
      <c r="AX219" t="inlineStr">
        <is>
          <t>991004009319702656</t>
        </is>
      </c>
      <c r="AY219" t="inlineStr">
        <is>
          <t>2256850510002656</t>
        </is>
      </c>
      <c r="AZ219" t="inlineStr">
        <is>
          <t>BOOK</t>
        </is>
      </c>
      <c r="BC219" t="inlineStr">
        <is>
          <t>32285004681408</t>
        </is>
      </c>
      <c r="BD219" t="inlineStr">
        <is>
          <t>893247045</t>
        </is>
      </c>
    </row>
    <row r="220">
      <c r="A220" t="inlineStr">
        <is>
          <t>No</t>
        </is>
      </c>
      <c r="B220" t="inlineStr">
        <is>
          <t>PC4854.D6 G66 1999</t>
        </is>
      </c>
      <c r="C220" t="inlineStr">
        <is>
          <t>0                      PC 4854000D  6                  G  66          1999</t>
        </is>
      </c>
      <c r="D220" t="inlineStr">
        <is>
          <t>La problemática del lenguaje sexista en la República Dominicana ; Feminía de bien / Rafael González Tirado.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González Tirado, Rafael, 1931-</t>
        </is>
      </c>
      <c r="L220" t="inlineStr">
        <is>
          <t>Santo Domingo, R.D. : [s.n.], 1999</t>
        </is>
      </c>
      <c r="M220" t="inlineStr">
        <is>
          <t>1999</t>
        </is>
      </c>
      <c r="N220" t="inlineStr">
        <is>
          <t>1a. ed.</t>
        </is>
      </c>
      <c r="O220" t="inlineStr">
        <is>
          <t>spa</t>
        </is>
      </c>
      <c r="P220" t="inlineStr">
        <is>
          <t xml:space="preserve">dr </t>
        </is>
      </c>
      <c r="Q220" t="inlineStr">
        <is>
          <t>Colección Cámara de diputados</t>
        </is>
      </c>
      <c r="R220" t="inlineStr">
        <is>
          <t xml:space="preserve">PC </t>
        </is>
      </c>
      <c r="S220" t="n">
        <v>2</v>
      </c>
      <c r="T220" t="n">
        <v>2</v>
      </c>
      <c r="U220" t="inlineStr">
        <is>
          <t>2001-05-23</t>
        </is>
      </c>
      <c r="V220" t="inlineStr">
        <is>
          <t>2001-05-23</t>
        </is>
      </c>
      <c r="W220" t="inlineStr">
        <is>
          <t>2000-10-31</t>
        </is>
      </c>
      <c r="X220" t="inlineStr">
        <is>
          <t>2000-10-31</t>
        </is>
      </c>
      <c r="Y220" t="n">
        <v>11</v>
      </c>
      <c r="Z220" t="n">
        <v>9</v>
      </c>
      <c r="AA220" t="n">
        <v>9</v>
      </c>
      <c r="AB220" t="n">
        <v>1</v>
      </c>
      <c r="AC220" t="n">
        <v>1</v>
      </c>
      <c r="AD220" t="n">
        <v>0</v>
      </c>
      <c r="AE220" t="n">
        <v>0</v>
      </c>
      <c r="AF220" t="n">
        <v>0</v>
      </c>
      <c r="AG220" t="n">
        <v>0</v>
      </c>
      <c r="AH220" t="n">
        <v>0</v>
      </c>
      <c r="AI220" t="n">
        <v>0</v>
      </c>
      <c r="AJ220" t="n">
        <v>0</v>
      </c>
      <c r="AK220" t="n">
        <v>0</v>
      </c>
      <c r="AL220" t="n">
        <v>0</v>
      </c>
      <c r="AM220" t="n">
        <v>0</v>
      </c>
      <c r="AN220" t="n">
        <v>0</v>
      </c>
      <c r="AO220" t="n">
        <v>0</v>
      </c>
      <c r="AP220" t="inlineStr">
        <is>
          <t>No</t>
        </is>
      </c>
      <c r="AQ220" t="inlineStr">
        <is>
          <t>No</t>
        </is>
      </c>
      <c r="AS220">
        <f>HYPERLINK("https://creighton-primo.hosted.exlibrisgroup.com/primo-explore/search?tab=default_tab&amp;search_scope=EVERYTHING&amp;vid=01CRU&amp;lang=en_US&amp;offset=0&amp;query=any,contains,991003336469702656","Catalog Record")</f>
        <v/>
      </c>
      <c r="AT220">
        <f>HYPERLINK("http://www.worldcat.org/oclc/45006196","WorldCat Record")</f>
        <v/>
      </c>
      <c r="AU220" t="inlineStr">
        <is>
          <t>477471283:spa</t>
        </is>
      </c>
      <c r="AV220" t="inlineStr">
        <is>
          <t>45006196</t>
        </is>
      </c>
      <c r="AW220" t="inlineStr">
        <is>
          <t>991003336469702656</t>
        </is>
      </c>
      <c r="AX220" t="inlineStr">
        <is>
          <t>991003336469702656</t>
        </is>
      </c>
      <c r="AY220" t="inlineStr">
        <is>
          <t>2272644080002656</t>
        </is>
      </c>
      <c r="AZ220" t="inlineStr">
        <is>
          <t>BOOK</t>
        </is>
      </c>
      <c r="BC220" t="inlineStr">
        <is>
          <t>32285004270509</t>
        </is>
      </c>
      <c r="BD220" t="inlineStr">
        <is>
          <t>893698922</t>
        </is>
      </c>
    </row>
    <row r="221">
      <c r="A221" t="inlineStr">
        <is>
          <t>No</t>
        </is>
      </c>
      <c r="B221" t="inlineStr">
        <is>
          <t>PC4854.D6 H38 1997</t>
        </is>
      </c>
      <c r="C221" t="inlineStr">
        <is>
          <t>0                      PC 4854000D  6                  H  38          1997</t>
        </is>
      </c>
      <c r="D221" t="inlineStr">
        <is>
          <t>Diccionario dominicano / Pedro Henríquez Ureña.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Henríquez Ureña, Pedro, 1884-1946.</t>
        </is>
      </c>
      <c r="L221" t="inlineStr">
        <is>
          <t>Santo Domingo, República Dominicana : Editora Alfa &amp; Omega, 1997.</t>
        </is>
      </c>
      <c r="M221" t="inlineStr">
        <is>
          <t>1997</t>
        </is>
      </c>
      <c r="N221" t="inlineStr">
        <is>
          <t>1. ed.</t>
        </is>
      </c>
      <c r="O221" t="inlineStr">
        <is>
          <t>spa</t>
        </is>
      </c>
      <c r="P221" t="inlineStr">
        <is>
          <t xml:space="preserve">dr </t>
        </is>
      </c>
      <c r="R221" t="inlineStr">
        <is>
          <t xml:space="preserve">PC </t>
        </is>
      </c>
      <c r="S221" t="n">
        <v>1</v>
      </c>
      <c r="T221" t="n">
        <v>1</v>
      </c>
      <c r="U221" t="inlineStr">
        <is>
          <t>2001-11-12</t>
        </is>
      </c>
      <c r="V221" t="inlineStr">
        <is>
          <t>2001-11-12</t>
        </is>
      </c>
      <c r="W221" t="inlineStr">
        <is>
          <t>2001-07-17</t>
        </is>
      </c>
      <c r="X221" t="inlineStr">
        <is>
          <t>2001-07-17</t>
        </is>
      </c>
      <c r="Y221" t="n">
        <v>3</v>
      </c>
      <c r="Z221" t="n">
        <v>3</v>
      </c>
      <c r="AA221" t="n">
        <v>15</v>
      </c>
      <c r="AB221" t="n">
        <v>1</v>
      </c>
      <c r="AC221" t="n">
        <v>1</v>
      </c>
      <c r="AD221" t="n">
        <v>0</v>
      </c>
      <c r="AE221" t="n">
        <v>0</v>
      </c>
      <c r="AF221" t="n">
        <v>0</v>
      </c>
      <c r="AG221" t="n">
        <v>0</v>
      </c>
      <c r="AH221" t="n">
        <v>0</v>
      </c>
      <c r="AI221" t="n">
        <v>0</v>
      </c>
      <c r="AJ221" t="n">
        <v>0</v>
      </c>
      <c r="AK221" t="n">
        <v>0</v>
      </c>
      <c r="AL221" t="n">
        <v>0</v>
      </c>
      <c r="AM221" t="n">
        <v>0</v>
      </c>
      <c r="AN221" t="n">
        <v>0</v>
      </c>
      <c r="AO221" t="n">
        <v>0</v>
      </c>
      <c r="AP221" t="inlineStr">
        <is>
          <t>No</t>
        </is>
      </c>
      <c r="AQ221" t="inlineStr">
        <is>
          <t>No</t>
        </is>
      </c>
      <c r="AS221">
        <f>HYPERLINK("https://creighton-primo.hosted.exlibrisgroup.com/primo-explore/search?tab=default_tab&amp;search_scope=EVERYTHING&amp;vid=01CRU&amp;lang=en_US&amp;offset=0&amp;query=any,contains,991003571029702656","Catalog Record")</f>
        <v/>
      </c>
      <c r="AT221">
        <f>HYPERLINK("http://www.worldcat.org/oclc/40223245","WorldCat Record")</f>
        <v/>
      </c>
      <c r="AU221" t="inlineStr">
        <is>
          <t>3886872:spa</t>
        </is>
      </c>
      <c r="AV221" t="inlineStr">
        <is>
          <t>40223245</t>
        </is>
      </c>
      <c r="AW221" t="inlineStr">
        <is>
          <t>991003571029702656</t>
        </is>
      </c>
      <c r="AX221" t="inlineStr">
        <is>
          <t>991003571029702656</t>
        </is>
      </c>
      <c r="AY221" t="inlineStr">
        <is>
          <t>2257556290002656</t>
        </is>
      </c>
      <c r="AZ221" t="inlineStr">
        <is>
          <t>BOOK</t>
        </is>
      </c>
      <c r="BC221" t="inlineStr">
        <is>
          <t>32285004327358</t>
        </is>
      </c>
      <c r="BD221" t="inlineStr">
        <is>
          <t>893623634</t>
        </is>
      </c>
    </row>
    <row r="222">
      <c r="A222" t="inlineStr">
        <is>
          <t>No</t>
        </is>
      </c>
      <c r="B222" t="inlineStr">
        <is>
          <t>PC4854.D6 M33 1989</t>
        </is>
      </c>
      <c r="C222" t="inlineStr">
        <is>
          <t>0                      PC 4854000D  6                  M  33          1989</t>
        </is>
      </c>
      <c r="D222" t="inlineStr">
        <is>
          <t>Obras lexicográficas / Patin Maceo.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Maceo, Patín.</t>
        </is>
      </c>
      <c r="L222" t="inlineStr">
        <is>
          <t>Santo Domingo, República Dominicana : Sociedad Dominicana de Bibliófilos, 1989.</t>
        </is>
      </c>
      <c r="M222" t="inlineStr">
        <is>
          <t>1898</t>
        </is>
      </c>
      <c r="O222" t="inlineStr">
        <is>
          <t>spa</t>
        </is>
      </c>
      <c r="P222" t="inlineStr">
        <is>
          <t xml:space="preserve">dr </t>
        </is>
      </c>
      <c r="R222" t="inlineStr">
        <is>
          <t xml:space="preserve">PC </t>
        </is>
      </c>
      <c r="S222" t="n">
        <v>1</v>
      </c>
      <c r="T222" t="n">
        <v>1</v>
      </c>
      <c r="U222" t="inlineStr">
        <is>
          <t>2001-06-14</t>
        </is>
      </c>
      <c r="V222" t="inlineStr">
        <is>
          <t>2001-06-14</t>
        </is>
      </c>
      <c r="W222" t="inlineStr">
        <is>
          <t>2001-06-14</t>
        </is>
      </c>
      <c r="X222" t="inlineStr">
        <is>
          <t>2001-06-14</t>
        </is>
      </c>
      <c r="Y222" t="n">
        <v>4</v>
      </c>
      <c r="Z222" t="n">
        <v>3</v>
      </c>
      <c r="AA222" t="n">
        <v>19</v>
      </c>
      <c r="AB222" t="n">
        <v>1</v>
      </c>
      <c r="AC222" t="n">
        <v>1</v>
      </c>
      <c r="AD222" t="n">
        <v>0</v>
      </c>
      <c r="AE222" t="n">
        <v>0</v>
      </c>
      <c r="AF222" t="n">
        <v>0</v>
      </c>
      <c r="AG222" t="n">
        <v>0</v>
      </c>
      <c r="AH222" t="n">
        <v>0</v>
      </c>
      <c r="AI222" t="n">
        <v>0</v>
      </c>
      <c r="AJ222" t="n">
        <v>0</v>
      </c>
      <c r="AK222" t="n">
        <v>0</v>
      </c>
      <c r="AL222" t="n">
        <v>0</v>
      </c>
      <c r="AM222" t="n">
        <v>0</v>
      </c>
      <c r="AN222" t="n">
        <v>0</v>
      </c>
      <c r="AO222" t="n">
        <v>0</v>
      </c>
      <c r="AP222" t="inlineStr">
        <is>
          <t>No</t>
        </is>
      </c>
      <c r="AQ222" t="inlineStr">
        <is>
          <t>No</t>
        </is>
      </c>
      <c r="AS222">
        <f>HYPERLINK("https://creighton-primo.hosted.exlibrisgroup.com/primo-explore/search?tab=default_tab&amp;search_scope=EVERYTHING&amp;vid=01CRU&amp;lang=en_US&amp;offset=0&amp;query=any,contains,991003559699702656","Catalog Record")</f>
        <v/>
      </c>
      <c r="AT222">
        <f>HYPERLINK("http://www.worldcat.org/oclc/24086495","WorldCat Record")</f>
        <v/>
      </c>
      <c r="AU222" t="inlineStr">
        <is>
          <t>14740925:spa</t>
        </is>
      </c>
      <c r="AV222" t="inlineStr">
        <is>
          <t>24086495</t>
        </is>
      </c>
      <c r="AW222" t="inlineStr">
        <is>
          <t>991003559699702656</t>
        </is>
      </c>
      <c r="AX222" t="inlineStr">
        <is>
          <t>991003559699702656</t>
        </is>
      </c>
      <c r="AY222" t="inlineStr">
        <is>
          <t>2271517280002656</t>
        </is>
      </c>
      <c r="AZ222" t="inlineStr">
        <is>
          <t>BOOK</t>
        </is>
      </c>
      <c r="BC222" t="inlineStr">
        <is>
          <t>32285004326079</t>
        </is>
      </c>
      <c r="BD222" t="inlineStr">
        <is>
          <t>893518620</t>
        </is>
      </c>
    </row>
    <row r="223">
      <c r="A223" t="inlineStr">
        <is>
          <t>No</t>
        </is>
      </c>
      <c r="B223" t="inlineStr">
        <is>
          <t>PC4854.D6 O4 1967</t>
        </is>
      </c>
      <c r="C223" t="inlineStr">
        <is>
          <t>0                      PC 4854000D  6                  O  4           1967</t>
        </is>
      </c>
      <c r="D223" t="inlineStr">
        <is>
          <t>De nuestro lenguaje y costumbres / Consuelo Olivier Vda. Germán Ariza.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Olivier viuda Germán Ariza, Consuelo.</t>
        </is>
      </c>
      <c r="L223" t="inlineStr">
        <is>
          <t>Santo Domingo : Editorial Arte y Cine, 1967.</t>
        </is>
      </c>
      <c r="M223" t="inlineStr">
        <is>
          <t>1967</t>
        </is>
      </c>
      <c r="O223" t="inlineStr">
        <is>
          <t>spa</t>
        </is>
      </c>
      <c r="P223" t="inlineStr">
        <is>
          <t xml:space="preserve">dr </t>
        </is>
      </c>
      <c r="R223" t="inlineStr">
        <is>
          <t xml:space="preserve">PC </t>
        </is>
      </c>
      <c r="S223" t="n">
        <v>1</v>
      </c>
      <c r="T223" t="n">
        <v>1</v>
      </c>
      <c r="U223" t="inlineStr">
        <is>
          <t>2004-12-16</t>
        </is>
      </c>
      <c r="V223" t="inlineStr">
        <is>
          <t>2004-12-16</t>
        </is>
      </c>
      <c r="W223" t="inlineStr">
        <is>
          <t>2004-12-16</t>
        </is>
      </c>
      <c r="X223" t="inlineStr">
        <is>
          <t>2004-12-16</t>
        </is>
      </c>
      <c r="Y223" t="n">
        <v>9</v>
      </c>
      <c r="Z223" t="n">
        <v>8</v>
      </c>
      <c r="AA223" t="n">
        <v>31</v>
      </c>
      <c r="AB223" t="n">
        <v>1</v>
      </c>
      <c r="AC223" t="n">
        <v>1</v>
      </c>
      <c r="AD223" t="n">
        <v>1</v>
      </c>
      <c r="AE223" t="n">
        <v>1</v>
      </c>
      <c r="AF223" t="n">
        <v>0</v>
      </c>
      <c r="AG223" t="n">
        <v>0</v>
      </c>
      <c r="AH223" t="n">
        <v>1</v>
      </c>
      <c r="AI223" t="n">
        <v>1</v>
      </c>
      <c r="AJ223" t="n">
        <v>0</v>
      </c>
      <c r="AK223" t="n">
        <v>0</v>
      </c>
      <c r="AL223" t="n">
        <v>0</v>
      </c>
      <c r="AM223" t="n">
        <v>0</v>
      </c>
      <c r="AN223" t="n">
        <v>0</v>
      </c>
      <c r="AO223" t="n">
        <v>0</v>
      </c>
      <c r="AP223" t="inlineStr">
        <is>
          <t>No</t>
        </is>
      </c>
      <c r="AQ223" t="inlineStr">
        <is>
          <t>No</t>
        </is>
      </c>
      <c r="AS223">
        <f>HYPERLINK("https://creighton-primo.hosted.exlibrisgroup.com/primo-explore/search?tab=default_tab&amp;search_scope=EVERYTHING&amp;vid=01CRU&amp;lang=en_US&amp;offset=0&amp;query=any,contains,991004439899702656","Catalog Record")</f>
        <v/>
      </c>
      <c r="AT223">
        <f>HYPERLINK("http://www.worldcat.org/oclc/5815043","WorldCat Record")</f>
        <v/>
      </c>
      <c r="AU223" t="inlineStr">
        <is>
          <t>424126690:spa</t>
        </is>
      </c>
      <c r="AV223" t="inlineStr">
        <is>
          <t>5815043</t>
        </is>
      </c>
      <c r="AW223" t="inlineStr">
        <is>
          <t>991004439899702656</t>
        </is>
      </c>
      <c r="AX223" t="inlineStr">
        <is>
          <t>991004439899702656</t>
        </is>
      </c>
      <c r="AY223" t="inlineStr">
        <is>
          <t>2259963830002656</t>
        </is>
      </c>
      <c r="AZ223" t="inlineStr">
        <is>
          <t>BOOK</t>
        </is>
      </c>
      <c r="BC223" t="inlineStr">
        <is>
          <t>32285005018212</t>
        </is>
      </c>
      <c r="BD223" t="inlineStr">
        <is>
          <t>893442620</t>
        </is>
      </c>
    </row>
    <row r="224">
      <c r="A224" t="inlineStr">
        <is>
          <t>No</t>
        </is>
      </c>
      <c r="B224" t="inlineStr">
        <is>
          <t>PC4854.D695 S22 2000</t>
        </is>
      </c>
      <c r="C224" t="inlineStr">
        <is>
          <t>0                      PC 4854000D  695                S  22          2000</t>
        </is>
      </c>
      <c r="D224" t="inlineStr">
        <is>
          <t>Nuevos aspectos del español en Santo Domingo / Orlando Alba ; prólogo de Manuel Alvar.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Alba, Orlando.</t>
        </is>
      </c>
      <c r="L224" t="inlineStr">
        <is>
          <t>[Santo Domingo, República Dominicana] : Librería La Trinitaria ; [Provo, Utah] : Brigham Young University, 2000.</t>
        </is>
      </c>
      <c r="M224" t="inlineStr">
        <is>
          <t>2000</t>
        </is>
      </c>
      <c r="N224" t="inlineStr">
        <is>
          <t>1. ed.</t>
        </is>
      </c>
      <c r="O224" t="inlineStr">
        <is>
          <t>spa</t>
        </is>
      </c>
      <c r="P224" t="inlineStr">
        <is>
          <t xml:space="preserve">dr </t>
        </is>
      </c>
      <c r="R224" t="inlineStr">
        <is>
          <t xml:space="preserve">PC </t>
        </is>
      </c>
      <c r="S224" t="n">
        <v>1</v>
      </c>
      <c r="T224" t="n">
        <v>1</v>
      </c>
      <c r="U224" t="inlineStr">
        <is>
          <t>2001-06-12</t>
        </is>
      </c>
      <c r="V224" t="inlineStr">
        <is>
          <t>2001-06-12</t>
        </is>
      </c>
      <c r="W224" t="inlineStr">
        <is>
          <t>2001-06-12</t>
        </is>
      </c>
      <c r="X224" t="inlineStr">
        <is>
          <t>2001-06-12</t>
        </is>
      </c>
      <c r="Y224" t="n">
        <v>49</v>
      </c>
      <c r="Z224" t="n">
        <v>44</v>
      </c>
      <c r="AA224" t="n">
        <v>67</v>
      </c>
      <c r="AB224" t="n">
        <v>1</v>
      </c>
      <c r="AC224" t="n">
        <v>1</v>
      </c>
      <c r="AD224" t="n">
        <v>2</v>
      </c>
      <c r="AE224" t="n">
        <v>3</v>
      </c>
      <c r="AF224" t="n">
        <v>0</v>
      </c>
      <c r="AG224" t="n">
        <v>1</v>
      </c>
      <c r="AH224" t="n">
        <v>2</v>
      </c>
      <c r="AI224" t="n">
        <v>2</v>
      </c>
      <c r="AJ224" t="n">
        <v>1</v>
      </c>
      <c r="AK224" t="n">
        <v>2</v>
      </c>
      <c r="AL224" t="n">
        <v>0</v>
      </c>
      <c r="AM224" t="n">
        <v>0</v>
      </c>
      <c r="AN224" t="n">
        <v>0</v>
      </c>
      <c r="AO224" t="n">
        <v>0</v>
      </c>
      <c r="AP224" t="inlineStr">
        <is>
          <t>No</t>
        </is>
      </c>
      <c r="AQ224" t="inlineStr">
        <is>
          <t>Yes</t>
        </is>
      </c>
      <c r="AR224">
        <f>HYPERLINK("http://catalog.hathitrust.org/Record/101005718","HathiTrust Record")</f>
        <v/>
      </c>
      <c r="AS224">
        <f>HYPERLINK("https://creighton-primo.hosted.exlibrisgroup.com/primo-explore/search?tab=default_tab&amp;search_scope=EVERYTHING&amp;vid=01CRU&amp;lang=en_US&amp;offset=0&amp;query=any,contains,991003558159702656","Catalog Record")</f>
        <v/>
      </c>
      <c r="AT224">
        <f>HYPERLINK("http://www.worldcat.org/oclc/45127698","WorldCat Record")</f>
        <v/>
      </c>
      <c r="AU224" t="inlineStr">
        <is>
          <t>34730155:spa</t>
        </is>
      </c>
      <c r="AV224" t="inlineStr">
        <is>
          <t>45127698</t>
        </is>
      </c>
      <c r="AW224" t="inlineStr">
        <is>
          <t>991003558159702656</t>
        </is>
      </c>
      <c r="AX224" t="inlineStr">
        <is>
          <t>991003558159702656</t>
        </is>
      </c>
      <c r="AY224" t="inlineStr">
        <is>
          <t>2259013840002656</t>
        </is>
      </c>
      <c r="AZ224" t="inlineStr">
        <is>
          <t>BOOK</t>
        </is>
      </c>
      <c r="BC224" t="inlineStr">
        <is>
          <t>32285004326830</t>
        </is>
      </c>
      <c r="BD224" t="inlineStr">
        <is>
          <t>893330432</t>
        </is>
      </c>
    </row>
    <row r="225">
      <c r="A225" t="inlineStr">
        <is>
          <t>No</t>
        </is>
      </c>
      <c r="B225" t="inlineStr">
        <is>
          <t>PC5333 .M5</t>
        </is>
      </c>
      <c r="C225" t="inlineStr">
        <is>
          <t>0                      PC 5333000M  5</t>
        </is>
      </c>
      <c r="D225" t="inlineStr">
        <is>
          <t>A new dictionary of the Portuguese and English languages.</t>
        </is>
      </c>
      <c r="E225" t="inlineStr">
        <is>
          <t>V. 2</t>
        </is>
      </c>
      <c r="F225" t="inlineStr">
        <is>
          <t>Yes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Michaelis, H. (Henriette), 1849-</t>
        </is>
      </c>
      <c r="L225" t="inlineStr">
        <is>
          <t>New York : F. Ungar Pub. Co., [19--]</t>
        </is>
      </c>
      <c r="M225" t="inlineStr">
        <is>
          <t>1900</t>
        </is>
      </c>
      <c r="O225" t="inlineStr">
        <is>
          <t>eng</t>
        </is>
      </c>
      <c r="P225" t="inlineStr">
        <is>
          <t>nyu</t>
        </is>
      </c>
      <c r="R225" t="inlineStr">
        <is>
          <t xml:space="preserve">PC </t>
        </is>
      </c>
      <c r="S225" t="n">
        <v>0</v>
      </c>
      <c r="T225" t="n">
        <v>2</v>
      </c>
      <c r="V225" t="inlineStr">
        <is>
          <t>1999-11-09</t>
        </is>
      </c>
      <c r="W225" t="inlineStr">
        <is>
          <t>1996-12-20</t>
        </is>
      </c>
      <c r="X225" t="inlineStr">
        <is>
          <t>1996-12-20</t>
        </is>
      </c>
      <c r="Y225" t="n">
        <v>20</v>
      </c>
      <c r="Z225" t="n">
        <v>17</v>
      </c>
      <c r="AA225" t="n">
        <v>26</v>
      </c>
      <c r="AB225" t="n">
        <v>1</v>
      </c>
      <c r="AC225" t="n">
        <v>1</v>
      </c>
      <c r="AD225" t="n">
        <v>1</v>
      </c>
      <c r="AE225" t="n">
        <v>1</v>
      </c>
      <c r="AF225" t="n">
        <v>0</v>
      </c>
      <c r="AG225" t="n">
        <v>0</v>
      </c>
      <c r="AH225" t="n">
        <v>0</v>
      </c>
      <c r="AI225" t="n">
        <v>0</v>
      </c>
      <c r="AJ225" t="n">
        <v>1</v>
      </c>
      <c r="AK225" t="n">
        <v>1</v>
      </c>
      <c r="AL225" t="n">
        <v>0</v>
      </c>
      <c r="AM225" t="n">
        <v>0</v>
      </c>
      <c r="AN225" t="n">
        <v>0</v>
      </c>
      <c r="AO225" t="n">
        <v>0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HYPERLINK("http://catalog.hathitrust.org/Record/101740830","HathiTrust Record")</f>
        <v/>
      </c>
      <c r="AS225">
        <f>HYPERLINK("https://creighton-primo.hosted.exlibrisgroup.com/primo-explore/search?tab=default_tab&amp;search_scope=EVERYTHING&amp;vid=01CRU&amp;lang=en_US&amp;offset=0&amp;query=any,contains,991000356639702656","Catalog Record")</f>
        <v/>
      </c>
      <c r="AT225">
        <f>HYPERLINK("http://www.worldcat.org/oclc/10336624","WorldCat Record")</f>
        <v/>
      </c>
      <c r="AU225" t="inlineStr">
        <is>
          <t>4915329113:eng</t>
        </is>
      </c>
      <c r="AV225" t="inlineStr">
        <is>
          <t>10336624</t>
        </is>
      </c>
      <c r="AW225" t="inlineStr">
        <is>
          <t>991000356639702656</t>
        </is>
      </c>
      <c r="AX225" t="inlineStr">
        <is>
          <t>991000356639702656</t>
        </is>
      </c>
      <c r="AY225" t="inlineStr">
        <is>
          <t>2265759290002656</t>
        </is>
      </c>
      <c r="AZ225" t="inlineStr">
        <is>
          <t>BOOK</t>
        </is>
      </c>
      <c r="BC225" t="inlineStr">
        <is>
          <t>32285002401866</t>
        </is>
      </c>
      <c r="BD225" t="inlineStr">
        <is>
          <t>893534126</t>
        </is>
      </c>
    </row>
    <row r="226">
      <c r="A226" t="inlineStr">
        <is>
          <t>No</t>
        </is>
      </c>
      <c r="B226" t="inlineStr">
        <is>
          <t>PC5333 .M5</t>
        </is>
      </c>
      <c r="C226" t="inlineStr">
        <is>
          <t>0                      PC 5333000M  5</t>
        </is>
      </c>
      <c r="D226" t="inlineStr">
        <is>
          <t>A new dictionary of the Portuguese and English languages.</t>
        </is>
      </c>
      <c r="E226" t="inlineStr">
        <is>
          <t>V. 1</t>
        </is>
      </c>
      <c r="F226" t="inlineStr">
        <is>
          <t>Yes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Michaelis, H. (Henriette), 1849-</t>
        </is>
      </c>
      <c r="L226" t="inlineStr">
        <is>
          <t>New York : F. Ungar Pub. Co., [19--]</t>
        </is>
      </c>
      <c r="M226" t="inlineStr">
        <is>
          <t>1900</t>
        </is>
      </c>
      <c r="O226" t="inlineStr">
        <is>
          <t>eng</t>
        </is>
      </c>
      <c r="P226" t="inlineStr">
        <is>
          <t>nyu</t>
        </is>
      </c>
      <c r="R226" t="inlineStr">
        <is>
          <t xml:space="preserve">PC </t>
        </is>
      </c>
      <c r="S226" t="n">
        <v>2</v>
      </c>
      <c r="T226" t="n">
        <v>2</v>
      </c>
      <c r="U226" t="inlineStr">
        <is>
          <t>1999-11-09</t>
        </is>
      </c>
      <c r="V226" t="inlineStr">
        <is>
          <t>1999-11-09</t>
        </is>
      </c>
      <c r="W226" t="inlineStr">
        <is>
          <t>1996-12-20</t>
        </is>
      </c>
      <c r="X226" t="inlineStr">
        <is>
          <t>1996-12-20</t>
        </is>
      </c>
      <c r="Y226" t="n">
        <v>20</v>
      </c>
      <c r="Z226" t="n">
        <v>17</v>
      </c>
      <c r="AA226" t="n">
        <v>26</v>
      </c>
      <c r="AB226" t="n">
        <v>1</v>
      </c>
      <c r="AC226" t="n">
        <v>1</v>
      </c>
      <c r="AD226" t="n">
        <v>1</v>
      </c>
      <c r="AE226" t="n">
        <v>1</v>
      </c>
      <c r="AF226" t="n">
        <v>0</v>
      </c>
      <c r="AG226" t="n">
        <v>0</v>
      </c>
      <c r="AH226" t="n">
        <v>0</v>
      </c>
      <c r="AI226" t="n">
        <v>0</v>
      </c>
      <c r="AJ226" t="n">
        <v>1</v>
      </c>
      <c r="AK226" t="n">
        <v>1</v>
      </c>
      <c r="AL226" t="n">
        <v>0</v>
      </c>
      <c r="AM226" t="n">
        <v>0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HYPERLINK("http://catalog.hathitrust.org/Record/101740830","HathiTrust Record")</f>
        <v/>
      </c>
      <c r="AS226">
        <f>HYPERLINK("https://creighton-primo.hosted.exlibrisgroup.com/primo-explore/search?tab=default_tab&amp;search_scope=EVERYTHING&amp;vid=01CRU&amp;lang=en_US&amp;offset=0&amp;query=any,contains,991000356639702656","Catalog Record")</f>
        <v/>
      </c>
      <c r="AT226">
        <f>HYPERLINK("http://www.worldcat.org/oclc/10336624","WorldCat Record")</f>
        <v/>
      </c>
      <c r="AU226" t="inlineStr">
        <is>
          <t>4915329113:eng</t>
        </is>
      </c>
      <c r="AV226" t="inlineStr">
        <is>
          <t>10336624</t>
        </is>
      </c>
      <c r="AW226" t="inlineStr">
        <is>
          <t>991000356639702656</t>
        </is>
      </c>
      <c r="AX226" t="inlineStr">
        <is>
          <t>991000356639702656</t>
        </is>
      </c>
      <c r="AY226" t="inlineStr">
        <is>
          <t>2265759290002656</t>
        </is>
      </c>
      <c r="AZ226" t="inlineStr">
        <is>
          <t>BOOK</t>
        </is>
      </c>
      <c r="BC226" t="inlineStr">
        <is>
          <t>32285002401858</t>
        </is>
      </c>
      <c r="BD226" t="inlineStr">
        <is>
          <t>893527981</t>
        </is>
      </c>
    </row>
    <row r="227">
      <c r="A227" t="inlineStr">
        <is>
          <t>No</t>
        </is>
      </c>
      <c r="B227" t="inlineStr">
        <is>
          <t>PD2003 .P3</t>
        </is>
      </c>
      <c r="C227" t="inlineStr">
        <is>
          <t>0                      PD 2003000P  3</t>
        </is>
      </c>
      <c r="D227" t="inlineStr">
        <is>
          <t>An introduction to English runes / [by] R. I. Page.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Page, R. I. (Raymond Ian)</t>
        </is>
      </c>
      <c r="L227" t="inlineStr">
        <is>
          <t>London : Methuen ; distributed by Harper &amp; Row, Barnes &amp; Noble Export Division, New York, [1973]</t>
        </is>
      </c>
      <c r="M227" t="inlineStr">
        <is>
          <t>1973</t>
        </is>
      </c>
      <c r="O227" t="inlineStr">
        <is>
          <t>eng</t>
        </is>
      </c>
      <c r="P227" t="inlineStr">
        <is>
          <t>enk</t>
        </is>
      </c>
      <c r="R227" t="inlineStr">
        <is>
          <t xml:space="preserve">PD </t>
        </is>
      </c>
      <c r="S227" t="n">
        <v>6</v>
      </c>
      <c r="T227" t="n">
        <v>6</v>
      </c>
      <c r="U227" t="inlineStr">
        <is>
          <t>2001-11-02</t>
        </is>
      </c>
      <c r="V227" t="inlineStr">
        <is>
          <t>2001-11-02</t>
        </is>
      </c>
      <c r="W227" t="inlineStr">
        <is>
          <t>1992-04-01</t>
        </is>
      </c>
      <c r="X227" t="inlineStr">
        <is>
          <t>1992-04-01</t>
        </is>
      </c>
      <c r="Y227" t="n">
        <v>442</v>
      </c>
      <c r="Z227" t="n">
        <v>282</v>
      </c>
      <c r="AA227" t="n">
        <v>1090</v>
      </c>
      <c r="AB227" t="n">
        <v>1</v>
      </c>
      <c r="AC227" t="n">
        <v>3</v>
      </c>
      <c r="AD227" t="n">
        <v>15</v>
      </c>
      <c r="AE227" t="n">
        <v>32</v>
      </c>
      <c r="AF227" t="n">
        <v>6</v>
      </c>
      <c r="AG227" t="n">
        <v>16</v>
      </c>
      <c r="AH227" t="n">
        <v>4</v>
      </c>
      <c r="AI227" t="n">
        <v>7</v>
      </c>
      <c r="AJ227" t="n">
        <v>9</v>
      </c>
      <c r="AK227" t="n">
        <v>15</v>
      </c>
      <c r="AL227" t="n">
        <v>0</v>
      </c>
      <c r="AM227" t="n">
        <v>2</v>
      </c>
      <c r="AN227" t="n">
        <v>0</v>
      </c>
      <c r="AO227" t="n">
        <v>0</v>
      </c>
      <c r="AP227" t="inlineStr">
        <is>
          <t>No</t>
        </is>
      </c>
      <c r="AQ227" t="inlineStr">
        <is>
          <t>Yes</t>
        </is>
      </c>
      <c r="AR227">
        <f>HYPERLINK("http://catalog.hathitrust.org/Record/001199628","HathiTrust Record")</f>
        <v/>
      </c>
      <c r="AS227">
        <f>HYPERLINK("https://creighton-primo.hosted.exlibrisgroup.com/primo-explore/search?tab=default_tab&amp;search_scope=EVERYTHING&amp;vid=01CRU&amp;lang=en_US&amp;offset=0&amp;query=any,contains,991003273289702656","Catalog Record")</f>
        <v/>
      </c>
      <c r="AT227">
        <f>HYPERLINK("http://www.worldcat.org/oclc/798148","WorldCat Record")</f>
        <v/>
      </c>
      <c r="AU227" t="inlineStr">
        <is>
          <t>726629:eng</t>
        </is>
      </c>
      <c r="AV227" t="inlineStr">
        <is>
          <t>798148</t>
        </is>
      </c>
      <c r="AW227" t="inlineStr">
        <is>
          <t>991003273289702656</t>
        </is>
      </c>
      <c r="AX227" t="inlineStr">
        <is>
          <t>991003273289702656</t>
        </is>
      </c>
      <c r="AY227" t="inlineStr">
        <is>
          <t>2261277700002656</t>
        </is>
      </c>
      <c r="AZ227" t="inlineStr">
        <is>
          <t>BOOK</t>
        </is>
      </c>
      <c r="BB227" t="inlineStr">
        <is>
          <t>9780416662306</t>
        </is>
      </c>
      <c r="BC227" t="inlineStr">
        <is>
          <t>32285001030989</t>
        </is>
      </c>
      <c r="BD227" t="inlineStr">
        <is>
          <t>893246203</t>
        </is>
      </c>
    </row>
    <row r="228">
      <c r="A228" t="inlineStr">
        <is>
          <t>No</t>
        </is>
      </c>
      <c r="B228" t="inlineStr">
        <is>
          <t>PD2013 .E4 1989</t>
        </is>
      </c>
      <c r="C228" t="inlineStr">
        <is>
          <t>0                      PD 2013000E  4           1989</t>
        </is>
      </c>
      <c r="D228" t="inlineStr">
        <is>
          <t>Runes, an introduction / Ralph W.V. Elliott.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Yes</t>
        </is>
      </c>
      <c r="J228" t="inlineStr">
        <is>
          <t>0</t>
        </is>
      </c>
      <c r="K228" t="inlineStr">
        <is>
          <t>Elliott, Ralph Warren Victor.</t>
        </is>
      </c>
      <c r="L228" t="inlineStr">
        <is>
          <t>Manchester [England] : Manchester University Press ; New York, NY, USA : St. Martin's Press, 1989.</t>
        </is>
      </c>
      <c r="M228" t="inlineStr">
        <is>
          <t>1989</t>
        </is>
      </c>
      <c r="N228" t="inlineStr">
        <is>
          <t>2nd ed.</t>
        </is>
      </c>
      <c r="O228" t="inlineStr">
        <is>
          <t>eng</t>
        </is>
      </c>
      <c r="P228" t="inlineStr">
        <is>
          <t>enk</t>
        </is>
      </c>
      <c r="R228" t="inlineStr">
        <is>
          <t xml:space="preserve">PD </t>
        </is>
      </c>
      <c r="S228" t="n">
        <v>5</v>
      </c>
      <c r="T228" t="n">
        <v>5</v>
      </c>
      <c r="U228" t="inlineStr">
        <is>
          <t>2001-11-02</t>
        </is>
      </c>
      <c r="V228" t="inlineStr">
        <is>
          <t>2001-11-02</t>
        </is>
      </c>
      <c r="W228" t="inlineStr">
        <is>
          <t>1989-11-07</t>
        </is>
      </c>
      <c r="X228" t="inlineStr">
        <is>
          <t>1989-11-07</t>
        </is>
      </c>
      <c r="Y228" t="n">
        <v>233</v>
      </c>
      <c r="Z228" t="n">
        <v>158</v>
      </c>
      <c r="AA228" t="n">
        <v>513</v>
      </c>
      <c r="AB228" t="n">
        <v>1</v>
      </c>
      <c r="AC228" t="n">
        <v>3</v>
      </c>
      <c r="AD228" t="n">
        <v>8</v>
      </c>
      <c r="AE228" t="n">
        <v>28</v>
      </c>
      <c r="AF228" t="n">
        <v>3</v>
      </c>
      <c r="AG228" t="n">
        <v>13</v>
      </c>
      <c r="AH228" t="n">
        <v>3</v>
      </c>
      <c r="AI228" t="n">
        <v>7</v>
      </c>
      <c r="AJ228" t="n">
        <v>4</v>
      </c>
      <c r="AK228" t="n">
        <v>15</v>
      </c>
      <c r="AL228" t="n">
        <v>0</v>
      </c>
      <c r="AM228" t="n">
        <v>2</v>
      </c>
      <c r="AN228" t="n">
        <v>0</v>
      </c>
      <c r="AO228" t="n">
        <v>0</v>
      </c>
      <c r="AP228" t="inlineStr">
        <is>
          <t>No</t>
        </is>
      </c>
      <c r="AQ228" t="inlineStr">
        <is>
          <t>No</t>
        </is>
      </c>
      <c r="AS228">
        <f>HYPERLINK("https://creighton-primo.hosted.exlibrisgroup.com/primo-explore/search?tab=default_tab&amp;search_scope=EVERYTHING&amp;vid=01CRU&amp;lang=en_US&amp;offset=0&amp;query=any,contains,991001351619702656","Catalog Record")</f>
        <v/>
      </c>
      <c r="AT228">
        <f>HYPERLINK("http://www.worldcat.org/oclc/18442382","WorldCat Record")</f>
        <v/>
      </c>
      <c r="AU228" t="inlineStr">
        <is>
          <t>10942853:eng</t>
        </is>
      </c>
      <c r="AV228" t="inlineStr">
        <is>
          <t>18442382</t>
        </is>
      </c>
      <c r="AW228" t="inlineStr">
        <is>
          <t>991001351619702656</t>
        </is>
      </c>
      <c r="AX228" t="inlineStr">
        <is>
          <t>991001351619702656</t>
        </is>
      </c>
      <c r="AY228" t="inlineStr">
        <is>
          <t>2269640160002656</t>
        </is>
      </c>
      <c r="AZ228" t="inlineStr">
        <is>
          <t>BOOK</t>
        </is>
      </c>
      <c r="BB228" t="inlineStr">
        <is>
          <t>9780719030086</t>
        </is>
      </c>
      <c r="BC228" t="inlineStr">
        <is>
          <t>32285000011899</t>
        </is>
      </c>
      <c r="BD228" t="inlineStr">
        <is>
          <t>893408056</t>
        </is>
      </c>
    </row>
    <row r="229">
      <c r="A229" t="inlineStr">
        <is>
          <t>No</t>
        </is>
      </c>
      <c r="B229" t="inlineStr">
        <is>
          <t>PD64.G7 M5 1970b</t>
        </is>
      </c>
      <c r="C229" t="inlineStr">
        <is>
          <t>0                      PD 0064000G  7                  M  5           1970b</t>
        </is>
      </c>
      <c r="D229" t="inlineStr">
        <is>
          <t>The brothers Grimm.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Michaelis-Jena, Ruth.</t>
        </is>
      </c>
      <c r="L229" t="inlineStr">
        <is>
          <t>New York, Praeger [1970]</t>
        </is>
      </c>
      <c r="M229" t="inlineStr">
        <is>
          <t>1970</t>
        </is>
      </c>
      <c r="O229" t="inlineStr">
        <is>
          <t>eng</t>
        </is>
      </c>
      <c r="P229" t="inlineStr">
        <is>
          <t>nyu</t>
        </is>
      </c>
      <c r="R229" t="inlineStr">
        <is>
          <t xml:space="preserve">PD </t>
        </is>
      </c>
      <c r="S229" t="n">
        <v>6</v>
      </c>
      <c r="T229" t="n">
        <v>6</v>
      </c>
      <c r="U229" t="inlineStr">
        <is>
          <t>2008-10-09</t>
        </is>
      </c>
      <c r="V229" t="inlineStr">
        <is>
          <t>2008-10-09</t>
        </is>
      </c>
      <c r="W229" t="inlineStr">
        <is>
          <t>1997-09-12</t>
        </is>
      </c>
      <c r="X229" t="inlineStr">
        <is>
          <t>1997-09-12</t>
        </is>
      </c>
      <c r="Y229" t="n">
        <v>848</v>
      </c>
      <c r="Z229" t="n">
        <v>813</v>
      </c>
      <c r="AA229" t="n">
        <v>934</v>
      </c>
      <c r="AB229" t="n">
        <v>6</v>
      </c>
      <c r="AC229" t="n">
        <v>7</v>
      </c>
      <c r="AD229" t="n">
        <v>28</v>
      </c>
      <c r="AE229" t="n">
        <v>31</v>
      </c>
      <c r="AF229" t="n">
        <v>13</v>
      </c>
      <c r="AG229" t="n">
        <v>13</v>
      </c>
      <c r="AH229" t="n">
        <v>5</v>
      </c>
      <c r="AI229" t="n">
        <v>5</v>
      </c>
      <c r="AJ229" t="n">
        <v>14</v>
      </c>
      <c r="AK229" t="n">
        <v>16</v>
      </c>
      <c r="AL229" t="n">
        <v>3</v>
      </c>
      <c r="AM229" t="n">
        <v>4</v>
      </c>
      <c r="AN229" t="n">
        <v>0</v>
      </c>
      <c r="AO229" t="n">
        <v>0</v>
      </c>
      <c r="AP229" t="inlineStr">
        <is>
          <t>No</t>
        </is>
      </c>
      <c r="AQ229" t="inlineStr">
        <is>
          <t>No</t>
        </is>
      </c>
      <c r="AS229">
        <f>HYPERLINK("https://creighton-primo.hosted.exlibrisgroup.com/primo-explore/search?tab=default_tab&amp;search_scope=EVERYTHING&amp;vid=01CRU&amp;lang=en_US&amp;offset=0&amp;query=any,contains,991000539629702656","Catalog Record")</f>
        <v/>
      </c>
      <c r="AT229">
        <f>HYPERLINK("http://www.worldcat.org/oclc/90278","WorldCat Record")</f>
        <v/>
      </c>
      <c r="AU229" t="inlineStr">
        <is>
          <t>1174357:eng</t>
        </is>
      </c>
      <c r="AV229" t="inlineStr">
        <is>
          <t>90278</t>
        </is>
      </c>
      <c r="AW229" t="inlineStr">
        <is>
          <t>991000539629702656</t>
        </is>
      </c>
      <c r="AX229" t="inlineStr">
        <is>
          <t>991000539629702656</t>
        </is>
      </c>
      <c r="AY229" t="inlineStr">
        <is>
          <t>2266263610002656</t>
        </is>
      </c>
      <c r="AZ229" t="inlineStr">
        <is>
          <t>BOOK</t>
        </is>
      </c>
      <c r="BC229" t="inlineStr">
        <is>
          <t>32285003226718</t>
        </is>
      </c>
      <c r="BD229" t="inlineStr">
        <is>
          <t>893528138</t>
        </is>
      </c>
    </row>
    <row r="230">
      <c r="A230" t="inlineStr">
        <is>
          <t>No</t>
        </is>
      </c>
      <c r="B230" t="inlineStr">
        <is>
          <t>PD64.G7 P4</t>
        </is>
      </c>
      <c r="C230" t="inlineStr">
        <is>
          <t>0                      PD 0064000G  7                  P  4</t>
        </is>
      </c>
      <c r="D230" t="inlineStr">
        <is>
          <t>Paths through the forest; a biography of the brothers Grimm [by] Murray B. Peppard.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Peppard, Murray B., 1917-</t>
        </is>
      </c>
      <c r="L230" t="inlineStr">
        <is>
          <t>New York, Holt, Rinehart and Winston [1971]</t>
        </is>
      </c>
      <c r="M230" t="inlineStr">
        <is>
          <t>1971</t>
        </is>
      </c>
      <c r="N230" t="inlineStr">
        <is>
          <t>[1st ed.]</t>
        </is>
      </c>
      <c r="O230" t="inlineStr">
        <is>
          <t>eng</t>
        </is>
      </c>
      <c r="P230" t="inlineStr">
        <is>
          <t>nyu</t>
        </is>
      </c>
      <c r="R230" t="inlineStr">
        <is>
          <t xml:space="preserve">PD </t>
        </is>
      </c>
      <c r="S230" t="n">
        <v>6</v>
      </c>
      <c r="T230" t="n">
        <v>6</v>
      </c>
      <c r="U230" t="inlineStr">
        <is>
          <t>2008-10-09</t>
        </is>
      </c>
      <c r="V230" t="inlineStr">
        <is>
          <t>2008-10-09</t>
        </is>
      </c>
      <c r="W230" t="inlineStr">
        <is>
          <t>1997-09-12</t>
        </is>
      </c>
      <c r="X230" t="inlineStr">
        <is>
          <t>1997-09-12</t>
        </is>
      </c>
      <c r="Y230" t="n">
        <v>916</v>
      </c>
      <c r="Z230" t="n">
        <v>844</v>
      </c>
      <c r="AA230" t="n">
        <v>873</v>
      </c>
      <c r="AB230" t="n">
        <v>6</v>
      </c>
      <c r="AC230" t="n">
        <v>6</v>
      </c>
      <c r="AD230" t="n">
        <v>20</v>
      </c>
      <c r="AE230" t="n">
        <v>21</v>
      </c>
      <c r="AF230" t="n">
        <v>5</v>
      </c>
      <c r="AG230" t="n">
        <v>6</v>
      </c>
      <c r="AH230" t="n">
        <v>5</v>
      </c>
      <c r="AI230" t="n">
        <v>5</v>
      </c>
      <c r="AJ230" t="n">
        <v>12</v>
      </c>
      <c r="AK230" t="n">
        <v>12</v>
      </c>
      <c r="AL230" t="n">
        <v>3</v>
      </c>
      <c r="AM230" t="n">
        <v>3</v>
      </c>
      <c r="AN230" t="n">
        <v>0</v>
      </c>
      <c r="AO230" t="n">
        <v>0</v>
      </c>
      <c r="AP230" t="inlineStr">
        <is>
          <t>No</t>
        </is>
      </c>
      <c r="AQ230" t="inlineStr">
        <is>
          <t>Yes</t>
        </is>
      </c>
      <c r="AR230">
        <f>HYPERLINK("http://catalog.hathitrust.org/Record/001182834","HathiTrust Record")</f>
        <v/>
      </c>
      <c r="AS230">
        <f>HYPERLINK("https://creighton-primo.hosted.exlibrisgroup.com/primo-explore/search?tab=default_tab&amp;search_scope=EVERYTHING&amp;vid=01CRU&amp;lang=en_US&amp;offset=0&amp;query=any,contains,991000832629702656","Catalog Record")</f>
        <v/>
      </c>
      <c r="AT230">
        <f>HYPERLINK("http://www.worldcat.org/oclc/148303","WorldCat Record")</f>
        <v/>
      </c>
      <c r="AU230" t="inlineStr">
        <is>
          <t>1333528:eng</t>
        </is>
      </c>
      <c r="AV230" t="inlineStr">
        <is>
          <t>148303</t>
        </is>
      </c>
      <c r="AW230" t="inlineStr">
        <is>
          <t>991000832629702656</t>
        </is>
      </c>
      <c r="AX230" t="inlineStr">
        <is>
          <t>991000832629702656</t>
        </is>
      </c>
      <c r="AY230" t="inlineStr">
        <is>
          <t>2259968960002656</t>
        </is>
      </c>
      <c r="AZ230" t="inlineStr">
        <is>
          <t>BOOK</t>
        </is>
      </c>
      <c r="BB230" t="inlineStr">
        <is>
          <t>9780030850769</t>
        </is>
      </c>
      <c r="BC230" t="inlineStr">
        <is>
          <t>32285003226726</t>
        </is>
      </c>
      <c r="BD230" t="inlineStr">
        <is>
          <t>893444483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